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900E6865-29F1-4A07-9688-FAF68436A847}" xr6:coauthVersionLast="47" xr6:coauthVersionMax="47" xr10:uidLastSave="{00000000-0000-0000-0000-000000000000}"/>
  <bookViews>
    <workbookView xWindow="-26460" yWindow="1155" windowWidth="17280" windowHeight="897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Application!$A$1:$AT$123</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4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2" i="9" l="1"/>
  <c r="E62" i="9"/>
  <c r="E42" i="25"/>
  <c r="B42" i="25"/>
  <c r="F97" i="18"/>
  <c r="C97" i="18"/>
  <c r="F93" i="18"/>
  <c r="F92" i="18"/>
  <c r="F91" i="18"/>
  <c r="F90" i="18"/>
  <c r="F89" i="18"/>
  <c r="F88" i="18"/>
  <c r="F87" i="18"/>
  <c r="F85" i="18"/>
  <c r="F84" i="18"/>
  <c r="F83" i="18"/>
  <c r="F82" i="18"/>
  <c r="C93" i="18"/>
  <c r="C92" i="18"/>
  <c r="C91" i="18"/>
  <c r="C90" i="18"/>
  <c r="C89" i="18"/>
  <c r="C88" i="18"/>
  <c r="C87" i="18"/>
  <c r="C86" i="18"/>
  <c r="C85" i="18"/>
  <c r="C84" i="18"/>
  <c r="C83" i="18"/>
  <c r="C82" i="18"/>
  <c r="C81" i="18"/>
  <c r="F78" i="18"/>
  <c r="F77" i="18"/>
  <c r="C78" i="18"/>
  <c r="C77" i="18"/>
  <c r="C74" i="18"/>
  <c r="C73" i="18"/>
  <c r="C72" i="18"/>
  <c r="C71" i="18"/>
  <c r="C70" i="18"/>
  <c r="F67" i="18"/>
  <c r="F66" i="18"/>
  <c r="F65" i="18"/>
  <c r="F64" i="18"/>
  <c r="F63" i="18"/>
  <c r="C67" i="18"/>
  <c r="C66" i="18"/>
  <c r="C65" i="18"/>
  <c r="C64" i="18"/>
  <c r="C63" i="18"/>
  <c r="C57" i="18"/>
  <c r="C56" i="18"/>
  <c r="C55" i="18"/>
  <c r="F51" i="18"/>
  <c r="F50" i="18"/>
  <c r="F49" i="18"/>
  <c r="F48" i="18"/>
  <c r="F47" i="18"/>
  <c r="F46" i="18"/>
  <c r="F45" i="18"/>
  <c r="F44" i="18"/>
  <c r="C51" i="18"/>
  <c r="C50" i="18"/>
  <c r="C49" i="18"/>
  <c r="C48" i="18"/>
  <c r="C47" i="18"/>
  <c r="C46" i="18"/>
  <c r="C45" i="18"/>
  <c r="C44" i="18"/>
  <c r="C42" i="18"/>
  <c r="F42" i="18"/>
  <c r="F40" i="18"/>
  <c r="F39" i="18"/>
  <c r="F36" i="18"/>
  <c r="F35" i="18"/>
  <c r="F34" i="18"/>
  <c r="F33" i="18"/>
  <c r="F32" i="18"/>
  <c r="F31" i="18"/>
  <c r="F30" i="18"/>
  <c r="F29" i="18"/>
  <c r="C40" i="18"/>
  <c r="C39" i="18"/>
  <c r="C30" i="18"/>
  <c r="C31" i="18"/>
  <c r="C32" i="18"/>
  <c r="C33" i="18"/>
  <c r="C34" i="18"/>
  <c r="C35" i="18"/>
  <c r="C29" i="18"/>
  <c r="C4" i="18"/>
  <c r="S98" i="4"/>
  <c r="S94" i="4"/>
  <c r="S93" i="4"/>
  <c r="S92" i="4"/>
  <c r="S91" i="4"/>
  <c r="S90" i="4"/>
  <c r="S89" i="4"/>
  <c r="S88" i="4"/>
  <c r="S86" i="4"/>
  <c r="S85" i="4"/>
  <c r="S84" i="4"/>
  <c r="S83" i="4"/>
  <c r="S79" i="4"/>
  <c r="S78" i="4"/>
  <c r="S68" i="4"/>
  <c r="S67" i="4"/>
  <c r="S66" i="4"/>
  <c r="S65" i="4"/>
  <c r="S64" i="4"/>
  <c r="S52" i="4"/>
  <c r="S51" i="4"/>
  <c r="S50" i="4"/>
  <c r="S49" i="4"/>
  <c r="S48" i="4"/>
  <c r="S47" i="4"/>
  <c r="S46" i="4"/>
  <c r="S43" i="4"/>
  <c r="C45" i="4"/>
  <c r="E45" i="4" s="1"/>
  <c r="E98" i="4"/>
  <c r="E93" i="4"/>
  <c r="E92" i="4"/>
  <c r="E91" i="4"/>
  <c r="E90" i="4"/>
  <c r="E89" i="4"/>
  <c r="E88" i="4"/>
  <c r="E87" i="4"/>
  <c r="E86" i="4"/>
  <c r="E85" i="4"/>
  <c r="E84" i="4"/>
  <c r="E83" i="4"/>
  <c r="E82" i="4"/>
  <c r="E79" i="4"/>
  <c r="E78" i="4"/>
  <c r="E75" i="4"/>
  <c r="E74" i="4"/>
  <c r="E73" i="4"/>
  <c r="E72" i="4"/>
  <c r="E71" i="4"/>
  <c r="E68" i="4"/>
  <c r="E67" i="4"/>
  <c r="E66" i="4"/>
  <c r="E65" i="4"/>
  <c r="E64" i="4"/>
  <c r="E58" i="4"/>
  <c r="E57" i="4"/>
  <c r="E56" i="4"/>
  <c r="E55" i="4"/>
  <c r="E52" i="4"/>
  <c r="E51" i="4"/>
  <c r="E50" i="4"/>
  <c r="E49" i="4"/>
  <c r="E48" i="4"/>
  <c r="E47" i="4"/>
  <c r="E46" i="4"/>
  <c r="E43" i="4"/>
  <c r="E41" i="4"/>
  <c r="E40" i="4"/>
  <c r="E37" i="4"/>
  <c r="E36" i="4"/>
  <c r="E35" i="4"/>
  <c r="E34" i="4"/>
  <c r="E33" i="4"/>
  <c r="E32" i="4"/>
  <c r="E31" i="4"/>
  <c r="E30" i="4"/>
  <c r="E29" i="4"/>
  <c r="E4" i="4"/>
  <c r="AC865" i="3"/>
  <c r="W832" i="3"/>
  <c r="O706" i="3"/>
  <c r="O705" i="3"/>
  <c r="O704" i="3"/>
  <c r="O703" i="3"/>
  <c r="O702" i="3"/>
  <c r="O701" i="3"/>
  <c r="O700" i="3"/>
  <c r="O699" i="3"/>
  <c r="O698" i="3"/>
  <c r="O697" i="3"/>
  <c r="O696" i="3"/>
  <c r="O695" i="3"/>
  <c r="Q621"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F707" i="3" s="1"/>
  <c r="BG707" i="3" s="1"/>
  <c r="BE708" i="3"/>
  <c r="BE709" i="3"/>
  <c r="BE710" i="3"/>
  <c r="BE711" i="3"/>
  <c r="BE712" i="3"/>
  <c r="BE713" i="3"/>
  <c r="BE714" i="3"/>
  <c r="BE715" i="3"/>
  <c r="BE716" i="3"/>
  <c r="BE717" i="3"/>
  <c r="BE718" i="3"/>
  <c r="BE729" i="3"/>
  <c r="C65" i="25"/>
  <c r="AY730" i="3" l="1"/>
  <c r="BG627" i="3"/>
  <c r="BE730" i="3"/>
  <c r="BF700" i="3" s="1"/>
  <c r="AZ260" i="3"/>
  <c r="BO245" i="3" s="1"/>
  <c r="T269" i="3" s="1"/>
  <c r="Y22" i="5"/>
  <c r="AD22" i="5"/>
  <c r="AI22" i="5"/>
  <c r="T22" i="5"/>
  <c r="BF705" i="3" l="1"/>
  <c r="BF696" i="3"/>
  <c r="BF701" i="3"/>
  <c r="BF704" i="3"/>
  <c r="BF703" i="3"/>
  <c r="BF706" i="3"/>
  <c r="AZ728" i="3"/>
  <c r="BA728" i="3" s="1"/>
  <c r="AZ729" i="3"/>
  <c r="BF695" i="3"/>
  <c r="BF702" i="3"/>
  <c r="BF697" i="3"/>
  <c r="BF698" i="3"/>
  <c r="BF699"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E102" i="15"/>
  <c r="D102" i="15"/>
  <c r="B103" i="15"/>
  <c r="C103" i="15"/>
  <c r="D103" i="15"/>
  <c r="D99" i="15"/>
  <c r="C99" i="15"/>
  <c r="E99" i="15" s="1"/>
  <c r="B99" i="15"/>
  <c r="B84" i="15"/>
  <c r="C84" i="15"/>
  <c r="D84" i="15"/>
  <c r="B85" i="15"/>
  <c r="C85" i="15"/>
  <c r="D85" i="15"/>
  <c r="B86" i="15"/>
  <c r="C86" i="15"/>
  <c r="E86" i="15" s="1"/>
  <c r="D86" i="15"/>
  <c r="B87" i="15"/>
  <c r="C87" i="15"/>
  <c r="E87" i="15" s="1"/>
  <c r="D87" i="15"/>
  <c r="B88" i="15"/>
  <c r="E88" i="15" s="1"/>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D83" i="15"/>
  <c r="C83" i="15"/>
  <c r="E83" i="15" s="1"/>
  <c r="B83" i="15"/>
  <c r="B80" i="15"/>
  <c r="E80" i="15" s="1"/>
  <c r="C80" i="15"/>
  <c r="D80" i="15"/>
  <c r="D79" i="15"/>
  <c r="C79" i="15"/>
  <c r="E79" i="15" s="1"/>
  <c r="B79" i="15"/>
  <c r="B73" i="15"/>
  <c r="C73" i="15"/>
  <c r="E73" i="15" s="1"/>
  <c r="D73" i="15"/>
  <c r="B74" i="15"/>
  <c r="C74" i="15"/>
  <c r="E74" i="15" s="1"/>
  <c r="D74" i="15"/>
  <c r="B75" i="15"/>
  <c r="C75" i="15"/>
  <c r="D75" i="15"/>
  <c r="B76" i="15"/>
  <c r="C76" i="15"/>
  <c r="D76" i="15"/>
  <c r="D72" i="15"/>
  <c r="C72" i="15"/>
  <c r="E72" i="15" s="1"/>
  <c r="B72" i="15"/>
  <c r="B66" i="15"/>
  <c r="C66" i="15"/>
  <c r="D66" i="15"/>
  <c r="B67" i="15"/>
  <c r="C67" i="15"/>
  <c r="D67" i="15"/>
  <c r="B68" i="15"/>
  <c r="C68" i="15"/>
  <c r="E68" i="15" s="1"/>
  <c r="D68" i="15"/>
  <c r="B69" i="15"/>
  <c r="C69" i="15"/>
  <c r="E69" i="15" s="1"/>
  <c r="D69" i="15"/>
  <c r="D65" i="15"/>
  <c r="C65" i="15"/>
  <c r="B65" i="15"/>
  <c r="B57" i="15"/>
  <c r="C57" i="15"/>
  <c r="E57" i="15" s="1"/>
  <c r="D57" i="15"/>
  <c r="B58" i="15"/>
  <c r="C58" i="15"/>
  <c r="D58" i="15"/>
  <c r="B59" i="15"/>
  <c r="C59" i="15"/>
  <c r="E59" i="15" s="1"/>
  <c r="D59" i="15"/>
  <c r="B60" i="15"/>
  <c r="C60" i="15"/>
  <c r="E60" i="15" s="1"/>
  <c r="D60" i="15"/>
  <c r="B61" i="15"/>
  <c r="C61" i="15"/>
  <c r="D61" i="15"/>
  <c r="D56" i="15"/>
  <c r="C56" i="15"/>
  <c r="E56" i="15" s="1"/>
  <c r="B56" i="15"/>
  <c r="B47" i="15"/>
  <c r="C47" i="15"/>
  <c r="E47" i="15" s="1"/>
  <c r="D47" i="15"/>
  <c r="B48" i="15"/>
  <c r="C48" i="15"/>
  <c r="E48" i="15" s="1"/>
  <c r="D48" i="15"/>
  <c r="B49" i="15"/>
  <c r="C49" i="15"/>
  <c r="E49" i="15" s="1"/>
  <c r="D49" i="15"/>
  <c r="B50" i="15"/>
  <c r="C50" i="15"/>
  <c r="E50" i="15" s="1"/>
  <c r="D50" i="15"/>
  <c r="B51" i="15"/>
  <c r="C51" i="15"/>
  <c r="E51" i="15" s="1"/>
  <c r="D51" i="15"/>
  <c r="B52" i="15"/>
  <c r="E52" i="15" s="1"/>
  <c r="C52" i="15"/>
  <c r="D52" i="15"/>
  <c r="B53" i="15"/>
  <c r="C53" i="15"/>
  <c r="D53" i="15"/>
  <c r="D46" i="15"/>
  <c r="C46" i="15"/>
  <c r="B46" i="15"/>
  <c r="B44" i="15"/>
  <c r="C44" i="15"/>
  <c r="E44" i="15" s="1"/>
  <c r="D44" i="15"/>
  <c r="B42" i="15"/>
  <c r="C42" i="15"/>
  <c r="D42" i="15"/>
  <c r="D41" i="15"/>
  <c r="C41" i="15"/>
  <c r="E41" i="15" s="1"/>
  <c r="B41" i="15"/>
  <c r="B38" i="15"/>
  <c r="C38" i="15"/>
  <c r="E38" i="15" s="1"/>
  <c r="D38" i="15"/>
  <c r="B31" i="15"/>
  <c r="C31" i="15"/>
  <c r="E31" i="15" s="1"/>
  <c r="D31" i="15"/>
  <c r="B32" i="15"/>
  <c r="C32" i="15"/>
  <c r="E32" i="15" s="1"/>
  <c r="D32" i="15"/>
  <c r="B33" i="15"/>
  <c r="C33" i="15"/>
  <c r="E33" i="15" s="1"/>
  <c r="D33" i="15"/>
  <c r="B34" i="15"/>
  <c r="E34" i="15" s="1"/>
  <c r="C34" i="15"/>
  <c r="D34" i="15"/>
  <c r="B35" i="15"/>
  <c r="C35" i="15"/>
  <c r="E35" i="15" s="1"/>
  <c r="D35" i="15"/>
  <c r="B36" i="15"/>
  <c r="C36" i="15"/>
  <c r="E36" i="15" s="1"/>
  <c r="D36" i="15"/>
  <c r="B37" i="15"/>
  <c r="C37" i="15"/>
  <c r="E37" i="15" s="1"/>
  <c r="D37" i="15"/>
  <c r="D30" i="15"/>
  <c r="C30" i="15"/>
  <c r="B30" i="15"/>
  <c r="B19" i="15"/>
  <c r="C19" i="15"/>
  <c r="D19" i="15"/>
  <c r="B20" i="15"/>
  <c r="C20" i="15"/>
  <c r="E20" i="15"/>
  <c r="D20" i="15"/>
  <c r="B21" i="15"/>
  <c r="E21" i="15" s="1"/>
  <c r="C21" i="15"/>
  <c r="D21" i="15"/>
  <c r="B22" i="15"/>
  <c r="C22" i="15"/>
  <c r="D22" i="15"/>
  <c r="B23" i="15"/>
  <c r="C23" i="15"/>
  <c r="D23" i="15"/>
  <c r="B24" i="15"/>
  <c r="C24" i="15"/>
  <c r="E24" i="15" s="1"/>
  <c r="D24" i="15"/>
  <c r="B25" i="15"/>
  <c r="C25" i="15"/>
  <c r="D25" i="15"/>
  <c r="B26" i="15"/>
  <c r="C26" i="15"/>
  <c r="E26" i="15" s="1"/>
  <c r="D26" i="15"/>
  <c r="B28" i="15"/>
  <c r="C28" i="15"/>
  <c r="E28" i="15" s="1"/>
  <c r="D28" i="15"/>
  <c r="B5" i="15"/>
  <c r="C5" i="15"/>
  <c r="E5" i="15" s="1"/>
  <c r="B6" i="15"/>
  <c r="C6" i="15"/>
  <c r="B7" i="15"/>
  <c r="C7" i="15"/>
  <c r="E7" i="15" s="1"/>
  <c r="B8" i="15"/>
  <c r="C8" i="15"/>
  <c r="B10" i="15"/>
  <c r="C10" i="15"/>
  <c r="B11" i="15"/>
  <c r="C11" i="15"/>
  <c r="B14" i="15"/>
  <c r="C14" i="15"/>
  <c r="B15" i="15"/>
  <c r="C15" i="15"/>
  <c r="E15" i="15" s="1"/>
  <c r="B16" i="15"/>
  <c r="E16" i="15" s="1"/>
  <c r="C16" i="15"/>
  <c r="B18" i="15"/>
  <c r="E18" i="15" s="1"/>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53" i="15"/>
  <c r="E67" i="15"/>
  <c r="E89" i="15"/>
  <c r="E61" i="15"/>
  <c r="E14" i="15"/>
  <c r="E42" i="15"/>
  <c r="C12" i="15"/>
  <c r="E6" i="15"/>
  <c r="E23" i="15"/>
  <c r="E30" i="15"/>
  <c r="E10"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9" i="4" s="1"/>
  <c r="R65" i="4"/>
  <c r="B67" i="4"/>
  <c r="B66" i="4"/>
  <c r="B65" i="4"/>
  <c r="B36" i="4"/>
  <c r="R36" i="4"/>
  <c r="S36" i="4"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B38" i="4" s="1"/>
  <c r="C42" i="4"/>
  <c r="C53" i="4"/>
  <c r="C54" i="15" s="1"/>
  <c r="C61" i="4"/>
  <c r="D62" i="15" s="1"/>
  <c r="C69" i="4"/>
  <c r="B68" i="18" s="1"/>
  <c r="C76" i="4"/>
  <c r="C80" i="4"/>
  <c r="B79" i="18" s="1"/>
  <c r="C95" i="4"/>
  <c r="B96" i="15" s="1"/>
  <c r="C103" i="4"/>
  <c r="C104" i="15" s="1"/>
  <c r="C66" i="25"/>
  <c r="Y20" i="5"/>
  <c r="AI20" i="5"/>
  <c r="S26" i="4"/>
  <c r="S53" i="4"/>
  <c r="E52" i="18" s="1"/>
  <c r="S69" i="4"/>
  <c r="S80" i="4"/>
  <c r="E79" i="18" s="1"/>
  <c r="S95" i="4"/>
  <c r="E94" i="18" s="1"/>
  <c r="S103" i="4"/>
  <c r="E102" i="18" s="1"/>
  <c r="F25" i="18"/>
  <c r="F37" i="18"/>
  <c r="F41" i="18"/>
  <c r="F61" i="18" s="1"/>
  <c r="F52" i="18"/>
  <c r="F68" i="18"/>
  <c r="F79" i="18"/>
  <c r="F94" i="18"/>
  <c r="F102" i="18"/>
  <c r="T20" i="5"/>
  <c r="T26" i="4"/>
  <c r="T38" i="4"/>
  <c r="T42" i="4"/>
  <c r="T53" i="4"/>
  <c r="T11" i="4"/>
  <c r="T69" i="4"/>
  <c r="H68" i="18" s="1"/>
  <c r="T80" i="4"/>
  <c r="H79" i="18"/>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62" i="4" s="1"/>
  <c r="J96" i="4" s="1"/>
  <c r="J104" i="4" s="1"/>
  <c r="J26" i="4"/>
  <c r="J38" i="4"/>
  <c r="J42" i="4"/>
  <c r="J53" i="4"/>
  <c r="J61" i="4"/>
  <c r="J69" i="4"/>
  <c r="J76" i="4"/>
  <c r="J95" i="4"/>
  <c r="K8" i="4"/>
  <c r="K11" i="4"/>
  <c r="K26" i="4"/>
  <c r="K38" i="4"/>
  <c r="K42" i="4"/>
  <c r="K53" i="4"/>
  <c r="K61" i="4"/>
  <c r="K69" i="4"/>
  <c r="K76" i="4"/>
  <c r="K80" i="4"/>
  <c r="K95" i="4"/>
  <c r="L8" i="4"/>
  <c r="L62" i="4" s="1"/>
  <c r="L96" i="4" s="1"/>
  <c r="L104" i="4" s="1"/>
  <c r="L11" i="4"/>
  <c r="L26" i="4"/>
  <c r="L38" i="4"/>
  <c r="L42" i="4"/>
  <c r="L53" i="4"/>
  <c r="L61" i="4"/>
  <c r="L69" i="4"/>
  <c r="L76" i="4"/>
  <c r="L80" i="4"/>
  <c r="L95" i="4"/>
  <c r="M8" i="4"/>
  <c r="M11" i="4"/>
  <c r="M26" i="4"/>
  <c r="M38" i="4"/>
  <c r="M42" i="4"/>
  <c r="M53" i="4"/>
  <c r="M61" i="4"/>
  <c r="M69" i="4"/>
  <c r="M76" i="4"/>
  <c r="M80" i="4"/>
  <c r="M95" i="4"/>
  <c r="N8" i="4"/>
  <c r="N11" i="4"/>
  <c r="N26" i="4"/>
  <c r="N38" i="4"/>
  <c r="N62" i="4" s="1"/>
  <c r="N96" i="4" s="1"/>
  <c r="N104" i="4" s="1"/>
  <c r="N42" i="4"/>
  <c r="N53" i="4"/>
  <c r="N61" i="4"/>
  <c r="N69" i="4"/>
  <c r="N76" i="4"/>
  <c r="N80" i="4"/>
  <c r="N95" i="4"/>
  <c r="O8" i="4"/>
  <c r="O11" i="4"/>
  <c r="O26" i="4"/>
  <c r="O38" i="4"/>
  <c r="O42" i="4"/>
  <c r="O53" i="4"/>
  <c r="O61" i="4"/>
  <c r="O62" i="4" s="1"/>
  <c r="O96" i="4" s="1"/>
  <c r="O104" i="4" s="1"/>
  <c r="O69" i="4"/>
  <c r="O76" i="4"/>
  <c r="O80" i="4"/>
  <c r="O95" i="4"/>
  <c r="P8" i="4"/>
  <c r="P12" i="4" s="1"/>
  <c r="P11" i="4"/>
  <c r="P62" i="4" s="1"/>
  <c r="P96" i="4" s="1"/>
  <c r="P104"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80" i="4" s="1"/>
  <c r="R78" i="4"/>
  <c r="B102" i="4"/>
  <c r="B25" i="18"/>
  <c r="G25" i="18"/>
  <c r="G37" i="18"/>
  <c r="G41" i="18"/>
  <c r="G52" i="18"/>
  <c r="G61" i="18" s="1"/>
  <c r="G95" i="18" s="1"/>
  <c r="G103" i="18" s="1"/>
  <c r="G105" i="18" s="1"/>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53" i="4" s="1"/>
  <c r="R43" i="4"/>
  <c r="R41" i="4"/>
  <c r="R42" i="4" s="1"/>
  <c r="R40" i="4"/>
  <c r="S40" i="4" s="1"/>
  <c r="S42" i="4" s="1"/>
  <c r="R37" i="4"/>
  <c r="R35" i="4"/>
  <c r="S35" i="4" s="1"/>
  <c r="E34" i="18" s="1"/>
  <c r="R34" i="4"/>
  <c r="S34" i="4" s="1"/>
  <c r="E33" i="18" s="1"/>
  <c r="R33" i="4"/>
  <c r="S33" i="4" s="1"/>
  <c r="E32" i="18" s="1"/>
  <c r="R32" i="4"/>
  <c r="S32" i="4" s="1"/>
  <c r="R30" i="4"/>
  <c r="S30" i="4" s="1"/>
  <c r="E29" i="18" s="1"/>
  <c r="R31" i="4"/>
  <c r="S31" i="4" s="1"/>
  <c r="R29" i="4"/>
  <c r="R27" i="4"/>
  <c r="R25" i="4"/>
  <c r="R23" i="4"/>
  <c r="R22" i="4"/>
  <c r="R21" i="4"/>
  <c r="R20" i="4"/>
  <c r="R19" i="4"/>
  <c r="R18" i="4"/>
  <c r="R17" i="4"/>
  <c r="R26" i="4" s="1"/>
  <c r="R15" i="4"/>
  <c r="R14" i="4"/>
  <c r="R13" i="4"/>
  <c r="R7" i="4"/>
  <c r="R6" i="4"/>
  <c r="R8" i="4" s="1"/>
  <c r="R12" i="4" s="1"/>
  <c r="D5" i="15"/>
  <c r="D6" i="15"/>
  <c r="D7" i="15"/>
  <c r="D8" i="15"/>
  <c r="D10" i="15"/>
  <c r="D11" i="15"/>
  <c r="D14" i="15"/>
  <c r="D15" i="15"/>
  <c r="D16" i="15"/>
  <c r="D18" i="15"/>
  <c r="E68" i="18"/>
  <c r="H25" i="18"/>
  <c r="H37" i="18"/>
  <c r="H52" i="18"/>
  <c r="H94"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62" i="4" s="1"/>
  <c r="F96" i="4" s="1"/>
  <c r="F104" i="4" s="1"/>
  <c r="G8" i="4"/>
  <c r="G12" i="4" s="1"/>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H62" i="4" s="1"/>
  <c r="H96" i="4" s="1"/>
  <c r="H104" i="4" s="1"/>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D12" i="4"/>
  <c r="B43" i="15"/>
  <c r="C43" i="15"/>
  <c r="D43" i="15"/>
  <c r="B27" i="15"/>
  <c r="D27" i="15"/>
  <c r="C27" i="15"/>
  <c r="C81" i="15"/>
  <c r="B81" i="15"/>
  <c r="D81" i="15"/>
  <c r="B11" i="4"/>
  <c r="B76" i="4"/>
  <c r="B77" i="15"/>
  <c r="C77" i="15"/>
  <c r="D77" i="15"/>
  <c r="T62" i="4"/>
  <c r="T96" i="4" s="1"/>
  <c r="T104" i="4" s="1"/>
  <c r="D70" i="15"/>
  <c r="B11" i="18"/>
  <c r="G52" i="25"/>
  <c r="AB47" i="26"/>
  <c r="I61" i="18"/>
  <c r="I95" i="18"/>
  <c r="I103" i="18"/>
  <c r="I105" i="18"/>
  <c r="J61" i="18"/>
  <c r="J95" i="18"/>
  <c r="J103" i="18"/>
  <c r="J105" i="18"/>
  <c r="R76" i="4"/>
  <c r="K12" i="4"/>
  <c r="B42" i="4"/>
  <c r="R11" i="4"/>
  <c r="D12" i="15"/>
  <c r="M62" i="4"/>
  <c r="M96" i="4" s="1"/>
  <c r="M104" i="4" s="1"/>
  <c r="D62" i="4"/>
  <c r="D96" i="4"/>
  <c r="D104" i="4"/>
  <c r="B75" i="18"/>
  <c r="H12" i="4"/>
  <c r="H11" i="18"/>
  <c r="Q62" i="4"/>
  <c r="Q96" i="4" s="1"/>
  <c r="Q104" i="4" s="1"/>
  <c r="K62" i="4"/>
  <c r="K96" i="4" s="1"/>
  <c r="K104" i="4" s="1"/>
  <c r="I62" i="4"/>
  <c r="I96" i="4" s="1"/>
  <c r="M12" i="4"/>
  <c r="D61" i="18"/>
  <c r="D95" i="18" s="1"/>
  <c r="D103" i="18" s="1"/>
  <c r="T24" i="27"/>
  <c r="T24" i="26"/>
  <c r="F95" i="18" l="1"/>
  <c r="F103" i="18" s="1"/>
  <c r="F105" i="18" s="1"/>
  <c r="C61" i="18"/>
  <c r="C95" i="18" s="1"/>
  <c r="C103" i="18" s="1"/>
  <c r="C12" i="18"/>
  <c r="E41" i="18"/>
  <c r="R95" i="4"/>
  <c r="E22" i="15"/>
  <c r="E100" i="15"/>
  <c r="E85" i="15"/>
  <c r="J12" i="4"/>
  <c r="L12" i="4"/>
  <c r="H61" i="18"/>
  <c r="F12" i="4"/>
  <c r="R61" i="4"/>
  <c r="S38" i="4"/>
  <c r="E37" i="18" s="1"/>
  <c r="E66" i="15"/>
  <c r="R103" i="4"/>
  <c r="E43" i="15"/>
  <c r="E58" i="15"/>
  <c r="E84" i="15"/>
  <c r="G62" i="4"/>
  <c r="G96" i="4" s="1"/>
  <c r="G104" i="4" s="1"/>
  <c r="E19" i="15"/>
  <c r="E76" i="15"/>
  <c r="B12" i="15"/>
  <c r="E12" i="15" s="1"/>
  <c r="E65" i="15"/>
  <c r="E103" i="15"/>
  <c r="E8" i="15"/>
  <c r="H103" i="18"/>
  <c r="T106" i="4"/>
  <c r="H105" i="18" s="1"/>
  <c r="H95" i="18"/>
  <c r="E11" i="15"/>
  <c r="C9" i="15"/>
  <c r="E9" i="15" s="1"/>
  <c r="E81" i="15"/>
  <c r="E93" i="15"/>
  <c r="E92" i="15"/>
  <c r="E91" i="15"/>
  <c r="D9" i="15"/>
  <c r="D13" i="15" s="1"/>
  <c r="E90" i="15"/>
  <c r="E75" i="15"/>
  <c r="E77" i="15"/>
  <c r="I104" i="4"/>
  <c r="E46" i="15"/>
  <c r="R38" i="4"/>
  <c r="E62" i="4"/>
  <c r="E96" i="4" s="1"/>
  <c r="E104" i="4" s="1"/>
  <c r="E12" i="4"/>
  <c r="B94" i="18"/>
  <c r="B95" i="4"/>
  <c r="D96" i="15"/>
  <c r="C96" i="15"/>
  <c r="E96" i="15" s="1"/>
  <c r="B69" i="4"/>
  <c r="C70" i="15"/>
  <c r="B70" i="15"/>
  <c r="B61" i="4"/>
  <c r="B60" i="18"/>
  <c r="C62" i="15"/>
  <c r="B62" i="15"/>
  <c r="B54" i="15"/>
  <c r="E54" i="15"/>
  <c r="B53" i="4"/>
  <c r="B52" i="18"/>
  <c r="D54" i="15"/>
  <c r="C62" i="4"/>
  <c r="C96" i="4" s="1"/>
  <c r="B95" i="18" s="1"/>
  <c r="B37" i="18"/>
  <c r="B39" i="15"/>
  <c r="D39" i="15"/>
  <c r="C39" i="15"/>
  <c r="E39" i="15" s="1"/>
  <c r="B9" i="15"/>
  <c r="B13" i="15" s="1"/>
  <c r="C12" i="4"/>
  <c r="B12" i="18" s="1"/>
  <c r="B8" i="18"/>
  <c r="B8" i="4"/>
  <c r="B12" i="4" s="1"/>
  <c r="AC28" i="9"/>
  <c r="BG730" i="3"/>
  <c r="AM730" i="3" s="1"/>
  <c r="AP93" i="6"/>
  <c r="AP97" i="6" s="1"/>
  <c r="G33" i="9"/>
  <c r="I33" i="9" s="1"/>
  <c r="K33" i="9" s="1"/>
  <c r="M33" i="9" s="1"/>
  <c r="O33" i="9" s="1"/>
  <c r="Q33" i="9" s="1"/>
  <c r="S33" i="9" s="1"/>
  <c r="U33" i="9" s="1"/>
  <c r="W33" i="9" s="1"/>
  <c r="Y33" i="9" s="1"/>
  <c r="AA33" i="9" s="1"/>
  <c r="AC33" i="9" s="1"/>
  <c r="AE33" i="9" s="1"/>
  <c r="AG33" i="9" s="1"/>
  <c r="AO635" i="3"/>
  <c r="AM550" i="3" s="1"/>
  <c r="AM561" i="3"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C13" i="15" l="1"/>
  <c r="E13" i="15" s="1"/>
  <c r="R62" i="4"/>
  <c r="R96" i="4" s="1"/>
  <c r="R104" i="4" s="1"/>
  <c r="S62" i="4"/>
  <c r="E62" i="15"/>
  <c r="AD11" i="5"/>
  <c r="AD23" i="5" s="1"/>
  <c r="AD26" i="5" s="1"/>
  <c r="AI11" i="27"/>
  <c r="AI23" i="27" s="1"/>
  <c r="AI26" i="27" s="1"/>
  <c r="AI11" i="26"/>
  <c r="AD11" i="27"/>
  <c r="AD23" i="27" s="1"/>
  <c r="AD26" i="27" s="1"/>
  <c r="AD11" i="26"/>
  <c r="AD23" i="26" s="1"/>
  <c r="AD26" i="26" s="1"/>
  <c r="AI23" i="26"/>
  <c r="AI26" i="26" s="1"/>
  <c r="E70" i="15"/>
  <c r="B62" i="4"/>
  <c r="B63" i="15"/>
  <c r="C63" i="15"/>
  <c r="E63" i="15" s="1"/>
  <c r="D63" i="15"/>
  <c r="B96" i="4"/>
  <c r="D97" i="15"/>
  <c r="B97" i="15"/>
  <c r="C104" i="4"/>
  <c r="AC448" i="3" s="1"/>
  <c r="C97" i="15"/>
  <c r="B61" i="18"/>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61" i="18" l="1"/>
  <c r="S96" i="4"/>
  <c r="AI28" i="26"/>
  <c r="AD63" i="26" s="1"/>
  <c r="AD28" i="27"/>
  <c r="AD28" i="26"/>
  <c r="AI28" i="27"/>
  <c r="AD63" i="27" s="1"/>
  <c r="E97" i="15"/>
  <c r="AD28" i="5"/>
  <c r="B103" i="18"/>
  <c r="B104" i="4"/>
  <c r="AC447" i="3" s="1"/>
  <c r="F450" i="3" s="1"/>
  <c r="C105" i="15"/>
  <c r="B105" i="15"/>
  <c r="E105" i="15" s="1"/>
  <c r="D105" i="15"/>
  <c r="J58" i="2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95" i="18" l="1"/>
  <c r="S104" i="4"/>
  <c r="AB46" i="5"/>
  <c r="AB48" i="5" s="1"/>
  <c r="AB53" i="5" s="1"/>
  <c r="AB54" i="5" s="1"/>
  <c r="AB46" i="26"/>
  <c r="AB48" i="26" s="1"/>
  <c r="AB53" i="26" s="1"/>
  <c r="AB54" i="26"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103" i="18" l="1"/>
  <c r="S106" i="4"/>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AC449" i="3" l="1"/>
  <c r="E105" i="18"/>
  <c r="X1024" i="3"/>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11" i="27" l="1"/>
  <c r="Y23" i="27" s="1"/>
  <c r="Y26" i="27" s="1"/>
  <c r="Y28" i="27" s="1"/>
  <c r="Y63" i="27" s="1"/>
  <c r="Y67" i="27" s="1"/>
  <c r="T11" i="27"/>
  <c r="T23" i="27" s="1"/>
  <c r="T11" i="26"/>
  <c r="T23" i="26" s="1"/>
  <c r="Y11" i="5"/>
  <c r="Y23" i="5" s="1"/>
  <c r="Y26" i="5" s="1"/>
  <c r="Y28" i="5" s="1"/>
  <c r="Y63" i="5" s="1"/>
  <c r="Y67" i="5" s="1"/>
  <c r="T11" i="5"/>
  <c r="Y11" i="26"/>
  <c r="Y23" i="26" s="1"/>
  <c r="Y26" i="26" s="1"/>
  <c r="Y28" i="26" s="1"/>
  <c r="Y63" i="26" s="1"/>
  <c r="Y67"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T26" i="27" l="1"/>
  <c r="T28" i="27" s="1"/>
  <c r="T29" i="27" s="1"/>
  <c r="Y38" i="27"/>
  <c r="Y40" i="27" s="1"/>
  <c r="AD38" i="27"/>
  <c r="AD40" i="27" s="1"/>
  <c r="BE16" i="28"/>
  <c r="T23" i="5"/>
  <c r="AD38" i="5" s="1"/>
  <c r="AD40" i="5" s="1"/>
  <c r="AD38" i="26"/>
  <c r="AD40" i="26" s="1"/>
  <c r="Y38" i="26"/>
  <c r="Y40" i="26" s="1"/>
  <c r="T26" i="26"/>
  <c r="T28" i="26" s="1"/>
  <c r="T29" i="26" s="1"/>
  <c r="W4" i="9"/>
  <c r="Y4" i="9" s="1"/>
  <c r="G62" i="9"/>
  <c r="G67" i="9"/>
  <c r="G68" i="9"/>
  <c r="G69" i="9"/>
  <c r="D1026" i="3"/>
  <c r="CD575" i="6"/>
  <c r="BY577" i="6"/>
  <c r="K45" i="9"/>
  <c r="K60" i="9" s="1"/>
  <c r="K69" i="9" s="1"/>
  <c r="Q6" i="9"/>
  <c r="O7" i="9"/>
  <c r="O11" i="9" s="1"/>
  <c r="O37" i="9" s="1"/>
  <c r="I62" i="9"/>
  <c r="I67" i="9"/>
  <c r="I69" i="9"/>
  <c r="I68" i="9"/>
  <c r="I66" i="9"/>
  <c r="AE15" i="9"/>
  <c r="M45" i="9"/>
  <c r="M49" i="9"/>
  <c r="W16" i="9"/>
  <c r="U22" i="9"/>
  <c r="U35" i="9" s="1"/>
  <c r="Y32" i="9"/>
  <c r="U8" i="9"/>
  <c r="S9" i="9"/>
  <c r="Y41" i="27" l="1"/>
  <c r="AB55" i="27" s="1"/>
  <c r="AB56" i="27" s="1"/>
  <c r="AB58" i="27" s="1"/>
  <c r="Y41" i="26"/>
  <c r="AB55" i="26" s="1"/>
  <c r="AB56" i="26" s="1"/>
  <c r="AB58" i="26" s="1"/>
  <c r="Q71" i="25"/>
  <c r="O75" i="25" s="1"/>
  <c r="R75" i="25" s="1"/>
  <c r="T26" i="5"/>
  <c r="T28" i="5" s="1"/>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75" i="27" l="1"/>
  <c r="AB76" i="27" s="1"/>
  <c r="AB77" i="27" s="1"/>
  <c r="AB79" i="27" s="1"/>
  <c r="J80" i="27" s="1"/>
  <c r="F59" i="27"/>
  <c r="T29" i="5"/>
  <c r="Y38" i="5"/>
  <c r="Y40" i="5" s="1"/>
  <c r="F59" i="26"/>
  <c r="AB75" i="26"/>
  <c r="AB76" i="26" s="1"/>
  <c r="AB77" i="26" s="1"/>
  <c r="AB79" i="26" s="1"/>
  <c r="J80" i="26"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R43" i="5" l="1"/>
  <c r="AR42" i="5"/>
  <c r="Y41" i="5" s="1"/>
  <c r="AB55" i="5" s="1"/>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Q22" i="28" l="1"/>
  <c r="V33" i="28" s="1"/>
  <c r="V35" i="28" s="1"/>
  <c r="AB56" i="5"/>
  <c r="AB58" i="5" s="1"/>
  <c r="AB75" i="5" s="1"/>
  <c r="AB76" i="5" s="1"/>
  <c r="M27" i="3" s="1"/>
  <c r="M25" i="3"/>
  <c r="P203" i="3" s="1"/>
  <c r="BE15" i="28"/>
  <c r="AE5" i="9"/>
  <c r="AG4" i="9"/>
  <c r="O70" i="9"/>
  <c r="O72" i="9" s="1"/>
  <c r="S47" i="9"/>
  <c r="S48" i="9"/>
  <c r="S60" i="9"/>
  <c r="W7" i="9"/>
  <c r="W11" i="9" s="1"/>
  <c r="W37" i="9" s="1"/>
  <c r="Y6" i="9"/>
  <c r="U49" i="9"/>
  <c r="U45" i="9"/>
  <c r="Q68" i="9"/>
  <c r="Q69" i="9"/>
  <c r="Q67" i="9"/>
  <c r="Q66" i="9"/>
  <c r="Q62" i="9"/>
  <c r="AE16" i="9"/>
  <c r="AC22" i="9"/>
  <c r="AC35" i="9" s="1"/>
  <c r="AG32" i="9"/>
  <c r="AA9" i="9"/>
  <c r="AC8" i="9"/>
  <c r="F59" i="5" l="1"/>
  <c r="AB77" i="5"/>
  <c r="D203" i="3"/>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<sst xmlns="http://schemas.openxmlformats.org/spreadsheetml/2006/main" count="4658" uniqueCount="2455">
  <si>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</si>
  <si>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</si>
  <si>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</si>
  <si>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</si>
  <si>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</si>
  <si>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</si>
  <si>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</si>
  <si>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</si>
  <si>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</si>
  <si>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</si>
  <si>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</si>
  <si>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</si>
  <si>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</si>
  <si>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</si>
  <si>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</si>
  <si>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</si>
  <si>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</si>
  <si>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</si>
  <si>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</si>
  <si>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</si>
  <si>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</si>
  <si>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</si>
  <si>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</si>
  <si>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</si>
  <si>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</si>
  <si>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</si>
  <si>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</si>
  <si>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</si>
  <si>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</si>
  <si>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</si>
  <si>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</si>
  <si>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</si>
  <si>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</si>
  <si>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</si>
  <si>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</si>
  <si>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</si>
  <si>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</si>
  <si>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</si>
  <si>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</si>
  <si>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</si>
  <si>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</si>
  <si>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</si>
  <si>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</si>
  <si>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</si>
  <si>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</si>
  <si>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</si>
  <si>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</si>
  <si>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</si>
  <si>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</si>
  <si>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</si>
  <si>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</si>
  <si>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</si>
  <si>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</si>
  <si>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</si>
  <si>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</si>
  <si>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</si>
  <si>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</si>
  <si>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</si>
  <si>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</si>
  <si>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</si>
  <si>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</si>
  <si>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</si>
  <si>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</si>
  <si>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</si>
  <si>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</si>
  <si>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</si>
  <si>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</si>
  <si>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</si>
  <si>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</si>
  <si>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</si>
  <si>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</si>
  <si>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</si>
  <si>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</si>
  <si>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</si>
  <si>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</si>
  <si>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</si>
  <si>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</si>
  <si>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</si>
  <si>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</si>
  <si>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</si>
  <si>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</si>
  <si>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</si>
  <si>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</si>
  <si>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</si>
  <si>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</si>
  <si>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</si>
  <si>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</si>
  <si>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</si>
  <si>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</si>
  <si>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</si>
  <si>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</si>
  <si>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</si>
  <si>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</si>
  <si>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</si>
  <si>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</si>
  <si>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</si>
  <si>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</si>
  <si>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</si>
  <si>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</si>
  <si>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</si>
  <si>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</si>
  <si>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</si>
  <si>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</si>
  <si>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</si>
  <si>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</si>
  <si>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</si>
  <si>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</si>
  <si>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</si>
  <si>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</si>
  <si>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</si>
  <si>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</si>
  <si>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</si>
  <si>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</si>
  <si>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</si>
  <si>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</si>
  <si>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</si>
  <si>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</si>
  <si>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</si>
  <si>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</si>
  <si>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</si>
  <si>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</si>
  <si>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</si>
  <si>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</si>
  <si>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</si>
  <si>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</si>
  <si>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</si>
  <si>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</si>
  <si>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</si>
  <si>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</si>
  <si>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</si>
  <si>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</si>
  <si>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</si>
  <si>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</si>
  <si>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</si>
  <si>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</si>
  <si>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</si>
  <si>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</si>
  <si>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</si>
  <si>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</si>
  <si>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</si>
  <si>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</si>
  <si>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</si>
  <si>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</si>
  <si>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</si>
  <si>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</si>
  <si>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</si>
  <si>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</si>
  <si>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</si>
  <si>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</si>
  <si>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</si>
  <si>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</si>
  <si>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</si>
  <si>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</si>
  <si>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</si>
  <si>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</si>
  <si>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</si>
  <si>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</si>
  <si>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</si>
  <si>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</si>
  <si>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</si>
  <si>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</si>
  <si>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</si>
  <si>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</si>
  <si>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</si>
  <si>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</si>
  <si>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</si>
  <si>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</si>
  <si>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</si>
  <si>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</si>
  <si>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</si>
  <si>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</si>
  <si>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</si>
  <si>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</si>
  <si>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</si>
  <si>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</si>
  <si>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</si>
  <si>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</si>
  <si>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</si>
  <si>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</si>
  <si>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</si>
  <si>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</si>
  <si>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</si>
  <si>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</si>
  <si>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</si>
  <si>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</si>
  <si>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</si>
  <si>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</si>
  <si>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</si>
  <si>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</si>
  <si>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</si>
  <si>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</si>
  <si>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</si>
  <si>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</si>
  <si>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</si>
  <si>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</si>
  <si>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</si>
  <si>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</si>
  <si>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</si>
  <si>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</si>
  <si>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</si>
  <si>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</si>
  <si>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</si>
  <si>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</si>
  <si>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</si>
  <si>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</si>
  <si>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</si>
  <si>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</si>
  <si>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</si>
  <si>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</si>
  <si>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</si>
  <si>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</si>
  <si>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</si>
  <si>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</si>
  <si>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</si>
  <si>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</si>
  <si>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</si>
  <si>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</si>
  <si>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</si>
  <si>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</si>
  <si>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</si>
  <si>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</si>
  <si>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</si>
  <si>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</si>
  <si>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</si>
  <si>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</si>
  <si>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</si>
  <si>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</si>
  <si>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</si>
  <si>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</si>
  <si>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</si>
  <si>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</si>
  <si>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</si>
  <si>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</si>
  <si>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</si>
  <si>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</si>
  <si>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</si>
  <si>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</si>
  <si>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</si>
  <si>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</si>
  <si>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</si>
  <si>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</si>
  <si>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</si>
  <si>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</si>
  <si>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</si>
  <si>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</si>
  <si>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</si>
  <si>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</si>
  <si>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</si>
  <si>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</si>
  <si>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</si>
  <si>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</si>
  <si>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</si>
  <si>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</si>
  <si>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</si>
  <si>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</si>
  <si>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</si>
  <si>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</si>
  <si>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</si>
  <si>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</si>
  <si>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</si>
  <si>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</si>
  <si>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</si>
  <si>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</si>
  <si>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</si>
  <si>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</si>
  <si>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</si>
  <si>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</si>
  <si>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</si>
  <si>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</si>
  <si>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</si>
  <si>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</si>
  <si>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</si>
  <si>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</si>
  <si>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</si>
  <si>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</si>
  <si>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</si>
  <si>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</si>
  <si>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</si>
  <si>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</si>
  <si>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</si>
  <si>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</si>
  <si>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</si>
  <si>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</si>
  <si>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</si>
  <si>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</si>
  <si>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</si>
  <si>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</si>
  <si>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</si>
  <si>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</si>
  <si>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</si>
  <si>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</si>
  <si>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</si>
  <si>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</si>
  <si>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</si>
  <si>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</si>
  <si>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</si>
  <si>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</si>
  <si>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</si>
  <si>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</si>
  <si>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</si>
  <si>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</si>
  <si>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</si>
  <si>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</si>
  <si>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</si>
  <si>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</si>
  <si>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</si>
  <si>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</si>
  <si>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</si>
  <si>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</si>
  <si>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</si>
  <si>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</si>
  <si>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</si>
  <si>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</si>
  <si>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</si>
  <si>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</si>
  <si>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</si>
  <si>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</si>
  <si>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</si>
  <si>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</si>
  <si>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</si>
  <si>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</si>
  <si>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</si>
  <si>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</si>
  <si>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</si>
  <si>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</si>
  <si>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</si>
  <si>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</si>
  <si>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</si>
  <si>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</si>
  <si>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</si>
  <si>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</si>
  <si>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</si>
  <si>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</si>
  <si>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</si>
  <si>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</si>
  <si>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</si>
  <si>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</si>
  <si>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</si>
  <si>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</si>
  <si>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</si>
  <si>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</si>
  <si>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</si>
  <si>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</si>
  <si>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</si>
  <si>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</si>
  <si>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</si>
  <si>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</si>
  <si>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</si>
  <si>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</si>
  <si>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</si>
  <si>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</si>
  <si>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</si>
  <si>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</si>
  <si>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</si>
  <si>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</si>
  <si>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</si>
  <si>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</si>
  <si>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</si>
  <si>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</si>
  <si>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</si>
  <si>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</si>
  <si>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</si>
  <si>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</si>
  <si>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</si>
  <si>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</si>
  <si>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</si>
  <si>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</si>
  <si>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</si>
  <si>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</si>
  <si>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</si>
  <si>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</si>
  <si>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</si>
  <si>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</si>
  <si>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</si>
  <si>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</si>
  <si>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</si>
  <si>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</si>
  <si>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</si>
  <si>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</si>
  <si>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</si>
  <si>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</si>
  <si>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</si>
  <si>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</si>
  <si>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</si>
  <si>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</si>
  <si>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</si>
  <si>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</si>
  <si>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</si>
  <si>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</si>
  <si>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</si>
  <si>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</si>
  <si>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</si>
  <si>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</si>
  <si>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</si>
  <si>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</si>
  <si>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</si>
  <si>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</si>
  <si>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</si>
  <si>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</si>
  <si>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</si>
  <si>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</si>
  <si>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</si>
  <si>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</si>
  <si>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</si>
  <si>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</si>
  <si>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</si>
  <si>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</si>
  <si>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</si>
  <si>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</si>
  <si>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</si>
  <si>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</si>
  <si>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</si>
  <si>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</si>
  <si>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</si>
  <si>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</si>
  <si>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</si>
  <si>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</si>
  <si>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</si>
  <si>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</si>
  <si>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</si>
  <si>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</si>
  <si>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</si>
  <si>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</si>
  <si>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</si>
  <si>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</si>
  <si>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</si>
  <si>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</si>
  <si>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</si>
  <si>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</si>
  <si>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</si>
  <si>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</si>
  <si>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</si>
  <si>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</si>
  <si>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</si>
  <si>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</si>
  <si>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</si>
  <si>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</si>
  <si>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</si>
  <si>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</si>
  <si>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</si>
  <si>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</si>
  <si>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</si>
  <si>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</si>
  <si>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</si>
  <si>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</si>
  <si>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</si>
  <si>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</si>
  <si>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</si>
  <si>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</si>
  <si>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</si>
  <si>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</si>
  <si>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</si>
  <si>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</si>
  <si>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</si>
  <si>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</si>
  <si>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</si>
  <si>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</si>
  <si>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</si>
  <si>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</si>
  <si>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</si>
  <si>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</si>
  <si>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</si>
  <si>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</si>
  <si>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</si>
  <si>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</si>
  <si>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</si>
  <si>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</si>
  <si>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</si>
  <si>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</si>
  <si>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</si>
  <si>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</si>
  <si>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</si>
  <si>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</si>
  <si>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</si>
  <si>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</si>
  <si>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</si>
  <si>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</si>
  <si>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</si>
  <si>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</si>
  <si>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</si>
  <si>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</si>
  <si>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</si>
  <si>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</si>
  <si>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</si>
  <si>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</si>
  <si>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</si>
  <si>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</si>
  <si>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</si>
  <si>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</si>
  <si>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</si>
  <si>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</si>
  <si>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</si>
  <si>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</si>
  <si>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</si>
  <si>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</si>
  <si>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</si>
  <si>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</si>
  <si>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</si>
  <si>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</si>
  <si>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</si>
  <si>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</si>
  <si>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</si>
  <si>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</si>
  <si>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</si>
  <si>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</si>
  <si>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</si>
  <si>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</si>
  <si>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</si>
  <si>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</si>
  <si>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</si>
  <si>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</si>
  <si>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</si>
  <si>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</si>
  <si>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</si>
  <si>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</si>
  <si>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</si>
  <si>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</si>
  <si>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</si>
  <si>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</si>
  <si>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</si>
  <si>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</si>
  <si>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</si>
  <si>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</si>
  <si>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</si>
  <si>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</si>
  <si>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</si>
  <si>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</si>
  <si>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</si>
  <si>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</si>
  <si>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</si>
  <si>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</si>
  <si>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</si>
  <si>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</si>
  <si>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</si>
  <si>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</si>
  <si>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</si>
  <si>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</si>
  <si>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</si>
  <si>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</si>
  <si>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</si>
  <si>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</si>
  <si>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</si>
  <si>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</si>
  <si>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</si>
  <si>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</si>
  <si>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</si>
  <si>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</si>
  <si>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</si>
  <si>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</si>
  <si>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</si>
  <si>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</si>
  <si>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</si>
  <si>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</si>
  <si>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</si>
  <si>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</si>
  <si>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</si>
  <si>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</si>
  <si>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</si>
  <si>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</si>
  <si>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</si>
  <si>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</si>
  <si>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</si>
  <si>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</si>
  <si>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</si>
  <si>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</si>
  <si>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</si>
  <si>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</si>
  <si>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</si>
  <si>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</si>
  <si>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</si>
  <si>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</si>
  <si>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</si>
  <si>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</si>
  <si>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</si>
  <si>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</si>
  <si>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</si>
  <si>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</si>
  <si>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</si>
  <si>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</si>
  <si>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</si>
  <si>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</si>
  <si>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</si>
  <si>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</si>
  <si>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</si>
  <si>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</si>
  <si>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</si>
  <si>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</si>
  <si>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</si>
  <si>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</si>
  <si>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</si>
  <si>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</si>
  <si>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</si>
  <si>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</si>
  <si>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</si>
  <si>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</si>
  <si>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</si>
  <si>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</si>
  <si>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</si>
  <si>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</si>
  <si>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</si>
  <si>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</si>
  <si>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</si>
  <si>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</si>
  <si>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</si>
  <si>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</si>
  <si>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</si>
  <si>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</si>
  <si>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</si>
  <si>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</si>
  <si>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</si>
  <si>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</si>
  <si>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</si>
  <si>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</si>
  <si>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</si>
  <si>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</si>
  <si>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</si>
  <si>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</si>
  <si>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</si>
  <si>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</si>
  <si>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</si>
  <si>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</si>
  <si>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</si>
  <si>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</si>
  <si>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</si>
  <si>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</si>
  <si>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</si>
  <si>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</si>
  <si>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</si>
  <si>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</si>
  <si>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</si>
  <si>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</si>
  <si>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</si>
  <si>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</si>
  <si>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</si>
  <si>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</si>
  <si>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</si>
  <si>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</si>
  <si>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</si>
  <si>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</si>
  <si>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</si>
  <si>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</si>
  <si>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</si>
  <si>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</si>
  <si>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</si>
  <si>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</si>
  <si>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</si>
  <si>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</si>
  <si>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</si>
  <si>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</si>
  <si>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</si>
  <si>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</si>
  <si>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</si>
  <si>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</si>
  <si>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</si>
  <si>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</si>
  <si>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</si>
  <si>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</si>
  <si>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</si>
  <si>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</si>
  <si>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</si>
  <si>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</si>
  <si>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</si>
  <si>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</si>
  <si>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</si>
  <si>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</si>
  <si>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</si>
  <si>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</si>
  <si>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</si>
  <si>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</si>
  <si>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</si>
  <si>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</si>
  <si>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</si>
  <si>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</si>
  <si>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</si>
  <si>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</si>
  <si>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</si>
  <si>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</si>
  <si>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</si>
  <si>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</si>
  <si>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</si>
  <si>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</si>
  <si>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</si>
  <si>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</si>
  <si>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</si>
  <si>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</si>
  <si>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</si>
  <si>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</si>
  <si>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</si>
  <si>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</si>
  <si>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</si>
  <si>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</si>
  <si>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</si>
  <si>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</si>
  <si>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</si>
  <si>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</si>
  <si>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</si>
  <si>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</si>
  <si>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</si>
  <si>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</si>
  <si>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</si>
  <si>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</si>
  <si>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</si>
  <si>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</si>
  <si>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</si>
  <si>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</si>
  <si>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</si>
  <si>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</si>
  <si>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</si>
  <si>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</si>
  <si>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</si>
  <si>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</si>
  <si>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</si>
  <si>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</si>
  <si>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</si>
  <si>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</si>
  <si>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</si>
  <si>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</si>
  <si>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</si>
  <si>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</si>
  <si>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</si>
  <si>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</si>
  <si>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</si>
  <si>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</si>
  <si>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</si>
  <si>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</si>
  <si>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</si>
  <si>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</si>
  <si>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</si>
  <si>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</si>
  <si>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</si>
  <si>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</si>
  <si>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</si>
  <si>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</si>
  <si>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</si>
  <si>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</si>
  <si>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</si>
  <si>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</si>
  <si>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</si>
  <si>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</si>
  <si>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</si>
  <si>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</si>
  <si>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</si>
  <si>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</si>
  <si>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</si>
  <si>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</si>
  <si>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</si>
  <si>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</si>
  <si>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</si>
  <si>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</si>
  <si>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</si>
  <si>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</si>
  <si>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</si>
  <si>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</si>
  <si>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</si>
  <si>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</si>
  <si>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</si>
  <si>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</si>
  <si>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</si>
  <si>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</si>
  <si>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</si>
  <si>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</si>
  <si>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</si>
  <si>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</si>
  <si>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</si>
  <si>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</si>
  <si>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</si>
  <si>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</si>
  <si>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</si>
  <si>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</si>
  <si>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</si>
  <si>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</si>
  <si>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</si>
  <si>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</si>
  <si>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</si>
  <si>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</si>
  <si>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</si>
  <si>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</si>
  <si>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</si>
  <si>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</si>
  <si>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</si>
  <si>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</si>
  <si>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</si>
  <si>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</si>
  <si>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</si>
  <si>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</si>
  <si>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</si>
  <si>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</si>
  <si>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</si>
  <si>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</si>
  <si>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</si>
  <si>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</si>
  <si>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</si>
  <si>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</si>
  <si>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</si>
  <si>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</si>
  <si>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</si>
  <si>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</si>
  <si>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</si>
  <si>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</si>
  <si>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</si>
  <si>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</si>
  <si>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</si>
  <si>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</si>
  <si>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</si>
  <si>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</si>
  <si>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</si>
  <si>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</si>
  <si>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</si>
  <si>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</si>
  <si>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</si>
  <si>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</si>
  <si>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</si>
  <si>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</si>
  <si>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</si>
  <si>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</si>
  <si>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</si>
  <si>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</si>
  <si>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</si>
  <si>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</si>
  <si>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</si>
  <si>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</si>
  <si>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</si>
  <si>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</si>
  <si>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</si>
  <si>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</si>
  <si>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</si>
  <si>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</si>
  <si>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</si>
  <si>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</si>
  <si>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</si>
  <si>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</si>
  <si>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</si>
  <si>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</si>
  <si>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</si>
  <si>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</si>
  <si>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</si>
  <si>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</si>
  <si>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</si>
  <si>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</si>
  <si>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</si>
  <si>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</si>
  <si>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</si>
  <si>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</si>
  <si>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</si>
  <si>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</si>
  <si>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</si>
  <si>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</si>
  <si>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</si>
  <si>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</si>
  <si>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</si>
  <si>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</si>
  <si>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</si>
  <si>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</si>
  <si>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</si>
  <si>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</si>
  <si>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</si>
  <si>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</si>
  <si>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</si>
  <si>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</si>
  <si>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</si>
  <si>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</si>
  <si>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</si>
  <si>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</si>
  <si>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</si>
  <si>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</si>
  <si>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</si>
  <si>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</si>
  <si>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</si>
  <si>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</si>
  <si>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</si>
  <si>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</si>
  <si>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</si>
  <si>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</si>
  <si>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</si>
  <si>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</si>
  <si>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</si>
  <si>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</si>
  <si>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</si>
  <si>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</si>
  <si>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</si>
  <si>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</si>
  <si>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</si>
  <si>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</si>
  <si>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</si>
  <si>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</si>
  <si>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</si>
  <si>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</si>
  <si>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</si>
  <si>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</si>
  <si>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</si>
  <si>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</si>
  <si>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</si>
  <si>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</si>
  <si>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</si>
  <si>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</si>
  <si>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</si>
  <si>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</si>
  <si>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</si>
  <si>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</si>
  <si>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</si>
  <si>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</si>
  <si>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</si>
  <si>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</si>
  <si>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</si>
  <si>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</si>
  <si>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</si>
  <si>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</si>
  <si>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</si>
  <si>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</si>
  <si>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</si>
  <si>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</si>
  <si>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</si>
  <si>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</si>
  <si>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</si>
  <si>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</si>
  <si>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</si>
  <si>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</si>
  <si>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</si>
  <si>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</si>
  <si>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</si>
  <si>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</si>
  <si>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</si>
  <si>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</si>
  <si>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</si>
  <si>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</si>
  <si>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</si>
  <si>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</si>
  <si>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</si>
  <si>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</si>
  <si>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</si>
  <si>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</si>
  <si>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</si>
  <si>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</si>
  <si>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</si>
  <si>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</si>
  <si>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</si>
  <si>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</si>
  <si>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</si>
  <si>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</si>
  <si>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</si>
  <si>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</si>
  <si>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</si>
  <si>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</si>
  <si>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</si>
  <si>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</si>
  <si>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</si>
  <si>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</si>
  <si>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</si>
  <si>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</si>
  <si>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</si>
  <si>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</si>
  <si>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</si>
  <si>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</si>
  <si>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</si>
  <si>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</si>
  <si>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</si>
  <si>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</si>
  <si>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</si>
  <si>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</si>
  <si>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</si>
  <si>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</si>
  <si>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</si>
  <si>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</si>
  <si>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</si>
  <si>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</si>
  <si>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</si>
  <si>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</si>
  <si>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</si>
  <si>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</si>
  <si>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</si>
  <si>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</si>
  <si>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</si>
  <si>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</si>
  <si>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</si>
  <si>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</si>
  <si>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</si>
  <si>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</si>
  <si>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</si>
  <si>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</si>
  <si>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</si>
  <si>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</si>
  <si>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</si>
  <si>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</si>
  <si>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</si>
  <si>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</si>
  <si>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</si>
  <si>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</si>
  <si>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</si>
  <si>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</si>
  <si>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</si>
  <si>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</si>
  <si>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</si>
  <si>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</si>
  <si>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</si>
  <si>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</si>
  <si>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</si>
  <si>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</si>
  <si>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</si>
  <si>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</si>
  <si>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</si>
  <si>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</si>
  <si>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</si>
  <si>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</si>
  <si>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</si>
  <si>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</si>
  <si>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</si>
  <si>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</si>
  <si>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</si>
  <si>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</si>
  <si>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</si>
  <si>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</si>
  <si>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</si>
  <si>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</si>
  <si>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</si>
  <si>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</si>
  <si>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</si>
  <si>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</si>
  <si>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</si>
  <si>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</si>
  <si>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</si>
  <si>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</si>
  <si>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</si>
  <si>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</si>
  <si>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</si>
  <si>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</si>
  <si>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</si>
  <si>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</si>
  <si>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</si>
  <si>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</si>
  <si>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</si>
  <si>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</si>
  <si>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</si>
  <si>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</si>
  <si>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</si>
  <si>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</si>
  <si>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</si>
  <si>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</si>
  <si>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</si>
  <si>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</si>
  <si>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</si>
  <si>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</si>
  <si>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</si>
  <si>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</si>
  <si>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</si>
  <si>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</si>
  <si>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</si>
  <si>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</si>
  <si>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</si>
  <si>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</si>
  <si>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</si>
  <si>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</si>
  <si>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</si>
  <si>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</si>
  <si>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</si>
  <si>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</si>
  <si>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</si>
  <si>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</si>
  <si>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</si>
  <si>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</si>
  <si>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</si>
  <si>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</si>
  <si>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</si>
  <si>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</si>
  <si>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</si>
  <si>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</si>
  <si>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</si>
  <si>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</si>
  <si>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</si>
  <si>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</si>
  <si>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</si>
  <si>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</si>
  <si>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</si>
  <si>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</si>
  <si>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</si>
  <si>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</si>
  <si>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</si>
  <si>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</si>
  <si>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</si>
  <si>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</si>
  <si>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</si>
  <si>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</si>
  <si>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</si>
  <si>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</si>
  <si>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</si>
  <si>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</si>
  <si>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</si>
  <si>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</si>
  <si>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</si>
  <si>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</si>
  <si>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</si>
  <si>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</si>
  <si>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</si>
  <si>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</si>
  <si>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</si>
  <si>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</si>
  <si>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</si>
  <si>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</si>
  <si>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</si>
  <si>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</si>
  <si>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</si>
  <si>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</si>
  <si>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</si>
  <si>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</si>
  <si>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</si>
  <si>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</si>
  <si>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</si>
  <si>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</si>
  <si>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</si>
  <si>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</si>
  <si>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</si>
  <si>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</si>
  <si>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</si>
  <si>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</si>
  <si>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</si>
  <si>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</si>
  <si>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</si>
  <si>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</si>
  <si>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</si>
  <si>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</si>
  <si>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</si>
  <si>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</si>
  <si>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</si>
  <si>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</si>
  <si>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</si>
  <si>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</si>
  <si>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</si>
  <si>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</si>
  <si>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</si>
  <si>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</si>
  <si>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</si>
  <si>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</si>
  <si>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</si>
  <si>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</si>
  <si>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</si>
  <si>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</si>
  <si>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</si>
  <si>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</si>
  <si>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</si>
  <si>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</si>
  <si>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</si>
  <si>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</si>
  <si>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</si>
  <si>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</si>
  <si>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</si>
  <si>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</si>
  <si>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</si>
  <si>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</si>
  <si>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</si>
  <si>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</si>
  <si>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</si>
  <si>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</si>
  <si>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</si>
  <si>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</si>
  <si>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</si>
  <si>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</si>
  <si>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</si>
  <si>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</si>
  <si>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</si>
  <si>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</si>
  <si>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</si>
  <si>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</si>
  <si>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</si>
  <si>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</si>
  <si>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</si>
  <si>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</si>
  <si>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</si>
  <si>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</si>
  <si>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</si>
  <si>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</si>
  <si>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</si>
  <si>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</si>
  <si>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</si>
  <si>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</si>
  <si>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</si>
  <si>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</si>
  <si>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</si>
  <si>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</si>
  <si>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</si>
  <si>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</si>
  <si>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</si>
  <si>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</si>
  <si>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</si>
  <si>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</si>
  <si>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</si>
  <si>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</si>
  <si>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</si>
  <si>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</si>
  <si>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</si>
  <si>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</si>
  <si>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</si>
  <si>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</si>
  <si>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</si>
  <si>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</si>
  <si>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</si>
  <si>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</si>
  <si>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</si>
  <si>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</si>
  <si>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</si>
  <si>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</si>
  <si>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</si>
  <si>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</si>
  <si>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</si>
  <si>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</si>
  <si>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</si>
  <si>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</si>
  <si>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</si>
  <si>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</si>
  <si>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</si>
  <si>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</si>
  <si>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</si>
  <si>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</si>
  <si>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</si>
  <si>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</si>
  <si>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</si>
  <si>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</si>
  <si>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</si>
  <si>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</si>
  <si>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</si>
  <si>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</si>
  <si>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</si>
  <si>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</si>
  <si>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</si>
  <si>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</si>
  <si>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</si>
  <si>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</si>
  <si>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</si>
  <si>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</si>
  <si>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</si>
  <si>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</si>
  <si>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</si>
  <si>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</si>
  <si>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</si>
  <si>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</si>
  <si>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</si>
  <si>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</si>
  <si>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</si>
  <si>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</si>
  <si>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</si>
  <si>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</si>
  <si>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</si>
  <si>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</si>
  <si>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</si>
  <si>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</si>
  <si>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</si>
  <si>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</si>
  <si>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</si>
  <si>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</si>
  <si>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</si>
  <si>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</si>
  <si>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</si>
  <si>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</si>
  <si>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</si>
  <si>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</si>
  <si>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</si>
  <si>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</si>
  <si>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</si>
  <si>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</si>
  <si>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</si>
  <si>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</si>
  <si>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</si>
  <si>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</si>
  <si>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</si>
  <si>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</si>
  <si>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</si>
  <si>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</si>
  <si>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</si>
  <si>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</si>
  <si>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</si>
  <si>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</si>
  <si>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</si>
  <si>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</si>
  <si>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</si>
  <si>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</si>
  <si>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</si>
  <si>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</si>
  <si>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</si>
  <si>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</si>
  <si>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</si>
  <si>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</si>
  <si>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</si>
  <si>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</si>
  <si>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</si>
  <si>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</si>
  <si>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</si>
  <si>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</si>
  <si>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</si>
  <si>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</si>
  <si>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</si>
  <si>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</si>
  <si>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</si>
  <si>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</si>
  <si>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</si>
  <si>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</si>
  <si>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</si>
  <si>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</si>
  <si>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</si>
  <si>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</si>
  <si>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</si>
  <si>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</si>
  <si>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</si>
  <si>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</si>
  <si>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</si>
  <si>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</si>
  <si>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</si>
  <si>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</si>
  <si>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</si>
  <si>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</si>
  <si>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</si>
  <si>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</si>
  <si>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</si>
  <si>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</si>
  <si>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</si>
  <si>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</si>
  <si>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</si>
  <si>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</si>
  <si>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</si>
  <si>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</si>
  <si>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</si>
  <si>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</si>
  <si>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</si>
  <si>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</si>
  <si>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</si>
  <si>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</si>
  <si>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</si>
  <si>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</si>
  <si>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</si>
  <si>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</si>
  <si>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</si>
  <si>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</si>
  <si>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</si>
  <si>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</si>
  <si>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</si>
  <si>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</si>
  <si>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</si>
  <si>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</si>
  <si>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</si>
  <si>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</si>
  <si>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</si>
  <si>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</si>
  <si>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</si>
  <si>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</si>
  <si>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</si>
  <si>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</si>
  <si>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</si>
  <si>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</si>
  <si>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</si>
  <si>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</si>
  <si>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</si>
  <si>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</si>
  <si>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</si>
  <si>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</si>
  <si>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</si>
  <si>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</si>
  <si>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</si>
  <si>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</si>
  <si>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</si>
  <si>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</si>
  <si>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</si>
  <si>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</si>
  <si>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</si>
  <si>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</si>
  <si>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</si>
  <si>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</si>
  <si>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</si>
  <si>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</si>
  <si>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</si>
  <si>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</si>
  <si>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</si>
  <si>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</si>
  <si>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</si>
  <si>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</si>
  <si>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</si>
  <si>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</si>
  <si>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</si>
  <si>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</si>
  <si>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</si>
  <si>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</si>
  <si>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</si>
  <si>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</si>
  <si>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</si>
  <si>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</si>
  <si>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</si>
  <si>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</si>
  <si>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</si>
  <si>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</si>
  <si>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</si>
  <si>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</si>
  <si>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</si>
  <si>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</si>
  <si>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</si>
  <si>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</si>
  <si>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</si>
  <si>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</si>
  <si>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</si>
  <si>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</si>
  <si>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</si>
  <si>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</si>
  <si>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</si>
  <si>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</si>
  <si>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</si>
  <si>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</si>
  <si>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</si>
  <si>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</si>
  <si>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</si>
  <si>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</si>
  <si>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</si>
  <si>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</si>
  <si>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</si>
  <si>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</si>
  <si>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</si>
  <si>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</si>
  <si>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</si>
  <si>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</si>
  <si>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</si>
  <si>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</si>
  <si>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</si>
  <si>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</si>
  <si>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</si>
  <si>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</si>
  <si>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</si>
  <si>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</si>
  <si>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</si>
  <si>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</si>
  <si>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</si>
  <si>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</si>
  <si>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</si>
  <si>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</si>
  <si>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</si>
  <si>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</si>
  <si>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</si>
  <si>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</si>
  <si>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</si>
  <si>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</si>
  <si>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</si>
  <si>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</si>
  <si>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</si>
  <si>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</si>
  <si>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</si>
  <si>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</si>
  <si>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</si>
  <si>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</si>
  <si>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</si>
  <si>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</si>
  <si>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</si>
  <si>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</si>
  <si>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</si>
  <si>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</si>
  <si>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</si>
  <si>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</si>
  <si>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</si>
  <si>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</si>
  <si>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</si>
  <si>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</si>
  <si>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</si>
  <si>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</si>
  <si>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</si>
  <si>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</si>
  <si>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</si>
  <si>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</si>
  <si>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</si>
  <si>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</si>
  <si>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</si>
  <si>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</si>
  <si>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</si>
  <si>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</si>
  <si>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</si>
  <si>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</si>
  <si>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</si>
  <si>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</si>
  <si>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</si>
  <si>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</si>
  <si>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</si>
  <si>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</si>
  <si>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</si>
  <si>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</si>
  <si>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</si>
  <si>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</si>
  <si>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</si>
  <si>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</si>
  <si>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</si>
  <si>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</si>
  <si>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</si>
  <si>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</si>
  <si>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</si>
  <si>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</si>
  <si>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</si>
  <si>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</si>
  <si>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</si>
  <si>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</si>
  <si>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</si>
  <si>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</si>
  <si>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</si>
  <si>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</si>
  <si>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</si>
  <si>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</si>
  <si>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</si>
  <si>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</si>
  <si>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</si>
  <si>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</si>
  <si>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</si>
  <si>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</si>
  <si>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</si>
  <si>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</si>
  <si>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</si>
  <si>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</si>
  <si>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</si>
  <si>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</si>
  <si>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</si>
  <si>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</si>
  <si>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</si>
  <si>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</si>
  <si>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</si>
  <si>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</si>
  <si>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</si>
  <si>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</si>
  <si>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</si>
  <si>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</si>
  <si>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</si>
  <si>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</si>
  <si>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</si>
  <si>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</si>
  <si>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</si>
  <si>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</si>
  <si>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</si>
  <si>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</si>
  <si>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</si>
  <si>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</si>
  <si>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</si>
  <si>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</si>
  <si>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</si>
  <si>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</si>
  <si>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</si>
  <si>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</si>
  <si>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</si>
  <si>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</si>
  <si>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</si>
  <si>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</si>
  <si>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</si>
  <si>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</si>
  <si>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</si>
  <si>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</si>
  <si>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</si>
  <si>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</si>
  <si>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</si>
  <si>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</si>
  <si>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</si>
  <si>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</si>
  <si>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</si>
  <si>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</si>
  <si>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</si>
  <si>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</si>
  <si>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</si>
  <si>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</si>
  <si>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</si>
  <si>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</si>
  <si>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</si>
  <si>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</si>
  <si>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</si>
  <si>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</si>
  <si>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</si>
  <si>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</si>
  <si>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</si>
  <si>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</si>
  <si>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</si>
  <si>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</si>
  <si>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</si>
  <si>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</si>
  <si>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</si>
  <si>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</si>
  <si>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</si>
  <si>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</si>
  <si>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</si>
  <si>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</si>
  <si>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</si>
  <si>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</si>
  <si>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</si>
  <si>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</si>
  <si>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</si>
  <si>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</si>
  <si>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</si>
  <si>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</si>
  <si>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</si>
  <si>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</si>
  <si>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</si>
  <si>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</si>
  <si>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</si>
  <si>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</si>
  <si>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</si>
  <si>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</si>
  <si>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</si>
  <si>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</si>
  <si>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</si>
  <si>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</si>
  <si>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</si>
  <si>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</si>
  <si>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</si>
  <si>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</si>
  <si>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</si>
  <si>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</si>
  <si>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</si>
  <si>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</si>
  <si>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</si>
  <si>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</si>
  <si>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</si>
  <si>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</si>
  <si>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</si>
  <si>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</si>
  <si>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</si>
  <si>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</si>
  <si>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</si>
  <si>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</si>
  <si>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</si>
  <si>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</si>
  <si>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</si>
  <si>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</si>
  <si>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</si>
  <si>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</si>
  <si>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</si>
  <si>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</si>
  <si>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</si>
  <si>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</si>
  <si>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</si>
  <si>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</si>
  <si>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</si>
  <si>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</si>
  <si>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</si>
  <si>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</si>
  <si>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</si>
  <si>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</si>
  <si>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</si>
  <si>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</si>
  <si>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</si>
  <si>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</si>
  <si>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</si>
  <si>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</si>
  <si>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</si>
  <si>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</si>
  <si>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</si>
  <si>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</si>
  <si>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</si>
  <si>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</si>
  <si>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</si>
  <si>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</si>
  <si>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</si>
  <si>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</si>
  <si>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</si>
  <si>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</si>
  <si>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</si>
  <si>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</si>
  <si>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</si>
  <si>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</si>
  <si>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</si>
  <si>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</si>
  <si>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</si>
  <si>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</si>
  <si>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</si>
  <si>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</si>
  <si>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</si>
  <si>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</si>
  <si>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</si>
  <si>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</si>
  <si>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</si>
  <si>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</si>
  <si>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</si>
  <si>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</si>
  <si>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</si>
  <si>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</si>
  <si>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</si>
  <si>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</si>
  <si>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</si>
  <si>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</si>
  <si>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</si>
  <si>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</si>
  <si>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</si>
  <si>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</si>
  <si>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</si>
  <si>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</si>
  <si>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</si>
  <si>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</si>
  <si>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</si>
  <si>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</si>
  <si>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</si>
  <si>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</si>
  <si>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</si>
  <si>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</si>
  <si>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</si>
  <si>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</si>
  <si>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</si>
  <si>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</si>
  <si>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</si>
  <si>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</si>
  <si>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</si>
  <si>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</si>
  <si>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</si>
  <si>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</si>
  <si>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</si>
  <si>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</si>
  <si>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</si>
  <si>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</si>
  <si>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</si>
  <si>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</si>
  <si>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</si>
  <si>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</si>
  <si>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</si>
  <si>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</si>
  <si>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</si>
  <si>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</si>
  <si>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</si>
  <si>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</si>
  <si>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</si>
  <si>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</si>
  <si>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</si>
  <si>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</si>
  <si>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</si>
  <si>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</si>
  <si>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</si>
  <si>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</si>
  <si>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</si>
  <si>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</si>
  <si>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</si>
  <si>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</si>
  <si>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</si>
  <si>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</si>
  <si>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</si>
  <si>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</si>
  <si>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</si>
  <si>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</si>
  <si>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</si>
  <si>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</si>
  <si>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</si>
  <si>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</si>
  <si>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</si>
  <si>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</si>
  <si>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</si>
  <si>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</si>
  <si>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</si>
  <si>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</si>
  <si>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</si>
  <si>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</si>
  <si>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</si>
  <si>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</si>
  <si>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</si>
  <si>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</si>
  <si>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</si>
  <si>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</si>
  <si>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</si>
  <si>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</si>
  <si>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</si>
  <si>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</si>
  <si>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</si>
  <si>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</si>
  <si>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</si>
  <si>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</si>
  <si>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</si>
  <si>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</si>
  <si>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</si>
  <si>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</si>
  <si>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</si>
  <si>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</si>
  <si>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</si>
  <si>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</si>
  <si>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</si>
  <si>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</si>
  <si>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</si>
  <si>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</si>
  <si>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</si>
  <si>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</si>
  <si>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</si>
  <si>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</si>
  <si>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</si>
  <si>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</si>
  <si>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</si>
  <si>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</si>
  <si>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</si>
  <si>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</si>
  <si>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</si>
  <si>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</si>
  <si>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</si>
  <si>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</si>
  <si>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</si>
  <si>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</si>
  <si>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</si>
  <si>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</si>
  <si>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</si>
  <si>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</si>
  <si>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</si>
  <si>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</si>
  <si>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</si>
  <si>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</si>
  <si>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</si>
  <si>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</si>
  <si>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</si>
  <si>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</si>
  <si>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</si>
  <si>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</si>
  <si>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</si>
  <si>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</si>
  <si>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</si>
  <si>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</si>
  <si>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</si>
  <si>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</si>
  <si>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</si>
  <si>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</si>
  <si>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</si>
  <si>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</si>
  <si>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</si>
  <si>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</si>
  <si>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</si>
  <si>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</si>
  <si>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</si>
  <si>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</si>
  <si>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</si>
  <si>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</si>
  <si>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</si>
  <si>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</si>
  <si>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</si>
  <si>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</si>
  <si>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</si>
  <si>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</si>
  <si>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</si>
  <si>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</si>
  <si>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</si>
  <si>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</si>
  <si>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</si>
  <si>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</si>
  <si>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</si>
  <si>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</si>
  <si>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</si>
  <si>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</si>
  <si>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</si>
  <si>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</si>
  <si>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</si>
  <si>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</si>
  <si>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</si>
  <si>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</si>
  <si>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</si>
  <si>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</si>
  <si>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</si>
  <si>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</si>
  <si>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</si>
  <si>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</si>
  <si>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</si>
  <si>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</si>
  <si>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</si>
  <si>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</si>
  <si>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</si>
  <si>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</si>
  <si>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</si>
  <si>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</si>
  <si>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</si>
  <si>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</si>
  <si>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</si>
  <si>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</si>
  <si>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</si>
  <si>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</si>
  <si>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</si>
  <si>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</si>
  <si>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</si>
  <si>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</si>
  <si>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</si>
  <si>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</si>
  <si>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</si>
  <si>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</si>
  <si>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</si>
  <si>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</si>
  <si>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</si>
  <si>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</si>
  <si>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</si>
  <si>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</si>
  <si>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</si>
  <si>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</si>
  <si>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</si>
  <si>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</si>
  <si>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</si>
  <si>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</si>
  <si>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</si>
  <si>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</si>
  <si>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</si>
  <si>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</si>
  <si>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</si>
  <si>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</si>
  <si>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</si>
  <si>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</si>
  <si>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</si>
  <si>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</si>
  <si>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</si>
  <si>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</si>
  <si>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</si>
  <si>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</si>
  <si>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</si>
  <si>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</si>
  <si>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</si>
  <si>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</si>
  <si>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</si>
  <si>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</si>
  <si>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</si>
  <si>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</si>
  <si>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</si>
  <si>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</si>
  <si>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</si>
  <si>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</si>
  <si>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</si>
  <si>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</si>
  <si>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</si>
  <si>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</si>
  <si>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</si>
  <si>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</si>
  <si>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</si>
  <si>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</si>
  <si>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</si>
  <si>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</si>
  <si>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</si>
  <si>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</si>
  <si>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</si>
  <si>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</si>
  <si>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</si>
  <si>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</si>
  <si>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</si>
  <si>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</si>
  <si>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</si>
  <si>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</si>
  <si>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</si>
  <si>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</si>
  <si>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</si>
  <si>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</si>
  <si>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</si>
  <si>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</si>
  <si>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</si>
  <si>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</si>
  <si>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</si>
  <si>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</si>
  <si>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</si>
  <si>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</si>
  <si>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</si>
  <si>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</si>
  <si>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</si>
  <si>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</si>
  <si>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</si>
  <si>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</si>
  <si>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</si>
  <si>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</si>
  <si>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</si>
  <si>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</si>
  <si>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</si>
  <si>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</si>
  <si>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</si>
  <si>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</si>
  <si>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</si>
  <si>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</si>
  <si>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</si>
  <si>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</si>
  <si>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</si>
  <si>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</si>
  <si>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</si>
  <si>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</si>
  <si>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</si>
  <si>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</si>
  <si>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</si>
  <si>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</si>
  <si>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</si>
  <si>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</si>
  <si>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</si>
  <si>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</si>
  <si>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</si>
  <si>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</si>
  <si>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</si>
  <si>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</si>
  <si>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</si>
  <si>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</si>
  <si>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</si>
  <si>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</si>
  <si>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</si>
  <si>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</si>
  <si>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</si>
  <si>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</si>
  <si>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</si>
  <si>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</si>
  <si>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</si>
  <si>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</si>
  <si>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</si>
  <si>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</si>
  <si>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</si>
  <si>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</si>
  <si>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</si>
  <si>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</si>
  <si>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</si>
  <si>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</si>
  <si>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</si>
  <si>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</si>
  <si>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</si>
  <si>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</si>
  <si>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</si>
  <si>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</si>
  <si>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</si>
  <si>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</si>
  <si>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</si>
  <si>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</si>
  <si>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</si>
  <si>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</si>
  <si>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</si>
  <si>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</si>
  <si>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</si>
  <si>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</si>
  <si>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</si>
  <si>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</si>
  <si>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</si>
  <si>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</si>
  <si>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</si>
  <si>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</si>
  <si>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</si>
  <si>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</si>
  <si>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</si>
  <si>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</si>
  <si>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</si>
  <si>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</si>
  <si>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</si>
  <si>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</si>
  <si>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</si>
  <si>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</si>
  <si>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</si>
  <si>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</si>
  <si>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</si>
  <si>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</si>
  <si>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</si>
  <si>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</si>
  <si>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</si>
  <si>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</si>
  <si>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</si>
  <si>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</si>
  <si>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</si>
  <si>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</si>
  <si>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</si>
  <si>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</si>
  <si>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</si>
  <si>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</si>
  <si>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</si>
  <si>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</si>
  <si>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</si>
  <si>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</si>
  <si>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</si>
  <si>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</si>
  <si>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</si>
  <si>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</si>
  <si>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</si>
  <si>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</si>
  <si>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</si>
  <si>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</si>
  <si>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</si>
  <si>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</si>
  <si>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</si>
  <si>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</si>
  <si>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</si>
  <si>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</si>
  <si>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</si>
  <si>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</si>
  <si>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</si>
  <si>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</si>
  <si>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</si>
  <si>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</si>
  <si>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</si>
  <si>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</si>
  <si>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</si>
  <si>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</si>
  <si>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</si>
  <si>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</si>
  <si>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</si>
  <si>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</si>
  <si>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</si>
  <si>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</si>
  <si>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</si>
  <si>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</si>
  <si>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</si>
  <si>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</si>
  <si>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</si>
  <si>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</si>
  <si>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</si>
  <si>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</si>
  <si>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</si>
  <si>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</si>
  <si>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</si>
  <si>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</si>
  <si>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</si>
  <si>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</si>
  <si>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</si>
  <si>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</si>
  <si>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</si>
  <si>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</si>
  <si>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</si>
  <si>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</si>
  <si>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</si>
  <si>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</si>
  <si>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</si>
  <si>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</si>
  <si>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</si>
  <si>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</si>
  <si>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</si>
  <si>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</si>
  <si>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</si>
  <si>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</si>
  <si>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</si>
  <si>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</si>
  <si>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</si>
  <si>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</si>
  <si>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</si>
  <si>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</si>
  <si>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</si>
  <si>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</si>
  <si>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</si>
  <si>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</si>
  <si>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</si>
  <si>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</si>
  <si>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</si>
  <si>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</si>
  <si>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</si>
  <si>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</si>
  <si>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</si>
  <si>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</si>
  <si>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</si>
  <si>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</si>
  <si>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</si>
  <si>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</si>
  <si>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</si>
  <si>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</si>
  <si>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</si>
  <si>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</si>
  <si>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</si>
  <si>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</si>
  <si>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</si>
  <si>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</si>
  <si>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</si>
  <si>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</si>
  <si>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</si>
  <si>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</si>
  <si>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</si>
  <si>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</si>
  <si>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</si>
  <si>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</si>
  <si>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</si>
  <si>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</si>
  <si>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</si>
  <si>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</si>
  <si>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</si>
  <si>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</si>
  <si>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</si>
  <si>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</si>
  <si>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</si>
  <si>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</si>
  <si>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</si>
  <si>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</si>
  <si>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</si>
  <si>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</si>
  <si>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</si>
  <si>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</si>
  <si>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</si>
  <si>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</si>
  <si>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</si>
  <si>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</si>
  <si>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</si>
  <si>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</si>
  <si>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</si>
  <si>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</si>
  <si>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</si>
  <si>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</si>
  <si>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</si>
  <si>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</si>
  <si>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</si>
  <si>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</si>
  <si>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</si>
  <si>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</si>
  <si>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</si>
  <si>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</si>
  <si>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</si>
  <si>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</si>
  <si>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</si>
  <si>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</si>
  <si>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</si>
  <si>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</si>
  <si>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</si>
  <si>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</si>
  <si>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</si>
  <si>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</si>
  <si>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</si>
  <si>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</si>
  <si>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</si>
  <si>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</si>
  <si>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</si>
  <si>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</si>
  <si>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</si>
  <si>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</si>
  <si>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</si>
  <si>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</si>
  <si>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</si>
  <si>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</si>
  <si>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</si>
  <si>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</si>
  <si>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</si>
  <si>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</si>
  <si>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</si>
  <si>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</si>
  <si>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</si>
  <si>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</si>
  <si>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</si>
  <si>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</si>
  <si>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</si>
  <si>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</si>
  <si>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</si>
  <si>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</si>
  <si>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</si>
  <si>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</si>
  <si>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</si>
  <si>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</si>
  <si>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</si>
  <si>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</si>
  <si>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</si>
  <si>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</si>
  <si>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</si>
  <si>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</si>
  <si>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</si>
  <si>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</si>
  <si>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</si>
  <si>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</si>
  <si>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</si>
  <si>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</si>
  <si>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</si>
  <si>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</si>
  <si>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</si>
  <si>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</si>
  <si>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</si>
  <si>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</si>
  <si>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</si>
  <si>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</si>
  <si>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</si>
  <si>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</si>
  <si>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</si>
  <si>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</si>
  <si>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</si>
  <si>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</si>
  <si>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</si>
  <si>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</si>
  <si>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</si>
  <si>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</si>
  <si>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</si>
  <si>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</si>
  <si>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</si>
  <si>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</si>
  <si>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</si>
  <si>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</si>
  <si>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</si>
  <si>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</si>
  <si>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</si>
  <si>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</si>
  <si>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</si>
  <si>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</si>
  <si>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</si>
  <si>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</si>
  <si>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</si>
  <si>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</si>
  <si>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</si>
  <si>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</si>
  <si>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</si>
  <si>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</si>
  <si>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</si>
  <si>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</si>
  <si>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</si>
  <si>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</si>
  <si>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</si>
  <si>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</si>
  <si>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</si>
  <si>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</si>
  <si>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</si>
  <si>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</si>
  <si>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</si>
  <si>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</si>
  <si>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</si>
  <si>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</si>
  <si>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</si>
  <si>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</si>
  <si>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</si>
  <si>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</si>
  <si>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</si>
  <si>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</si>
  <si>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</si>
  <si>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</si>
  <si>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</si>
  <si>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</si>
  <si>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</si>
  <si>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</si>
  <si>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</si>
  <si>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</si>
  <si>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</si>
  <si>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</si>
  <si>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</si>
  <si>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</si>
  <si>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</si>
  <si>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</si>
  <si>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</si>
  <si>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</si>
  <si>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</si>
  <si>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</si>
  <si>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</si>
  <si>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</si>
  <si>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</si>
  <si>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</si>
  <si>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</si>
  <si>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</si>
  <si>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</si>
  <si>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</si>
  <si>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</si>
  <si>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</si>
  <si>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</si>
  <si>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</si>
  <si>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</si>
  <si>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</si>
  <si>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</si>
  <si>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</si>
  <si>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</si>
  <si>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</si>
  <si>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</si>
  <si>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</si>
  <si>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</si>
  <si>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</si>
  <si>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</si>
  <si>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Parlier Tuolumne Street LP</t>
  </si>
  <si>
    <t>Parlier Family Apartments</t>
  </si>
  <si>
    <t>July</t>
  </si>
  <si>
    <t>Arcata</t>
  </si>
  <si>
    <t>Daniel J. Johnson</t>
  </si>
  <si>
    <t>Member</t>
  </si>
  <si>
    <t>City of Parlier</t>
  </si>
  <si>
    <t>Sonia Hall</t>
  </si>
  <si>
    <t>1100 E. Parlier Avenue</t>
  </si>
  <si>
    <t>Parlier, CA</t>
  </si>
  <si>
    <t>(559) 646-3545</t>
  </si>
  <si>
    <t>(550) 646-0416</t>
  </si>
  <si>
    <t>shall@parlier.ca.us</t>
  </si>
  <si>
    <t>13750 Tuolumne Street</t>
  </si>
  <si>
    <t>Parlier</t>
  </si>
  <si>
    <t>Portion of 335-031-027</t>
  </si>
  <si>
    <t>5251 Ericson Way</t>
  </si>
  <si>
    <t>CA</t>
  </si>
  <si>
    <t>Chris Dart</t>
  </si>
  <si>
    <t>(707) 822-9000</t>
  </si>
  <si>
    <t>cdart@danco-group.com</t>
  </si>
  <si>
    <t>Johnson &amp; Johnson Investments, LLC</t>
  </si>
  <si>
    <t>Administrative GP</t>
  </si>
  <si>
    <t>Community Revitalization and Development Corporation</t>
  </si>
  <si>
    <t>Managing GP</t>
  </si>
  <si>
    <t xml:space="preserve">1918 West St. </t>
  </si>
  <si>
    <t>Redding</t>
  </si>
  <si>
    <t>Dave Rutledge</t>
  </si>
  <si>
    <t>(530) 241-6960</t>
  </si>
  <si>
    <t>david@crdc-housing.org</t>
  </si>
  <si>
    <t>(530) 241-7831</t>
  </si>
  <si>
    <t>Danco Communities</t>
  </si>
  <si>
    <t>Hailey Del Grande</t>
  </si>
  <si>
    <t>(707) 825-1580</t>
  </si>
  <si>
    <t>hdelgrande@danco-group.com</t>
  </si>
  <si>
    <t>Developer</t>
  </si>
  <si>
    <t>Arcata, CA, 95521</t>
  </si>
  <si>
    <t>707-825-1531</t>
  </si>
  <si>
    <t>707-822-9596</t>
  </si>
  <si>
    <t>RL Davidson, Inc. Architects</t>
  </si>
  <si>
    <t>425 Spruce Avenue</t>
  </si>
  <si>
    <t>Clovis, CA 93611</t>
  </si>
  <si>
    <t>559-435-3303</t>
  </si>
  <si>
    <t>Odu &amp; Associates</t>
  </si>
  <si>
    <t>31805 Temecula Pkwy #720</t>
  </si>
  <si>
    <t>Temecula, CA 92592-8203</t>
  </si>
  <si>
    <t>Nkechi Odu</t>
  </si>
  <si>
    <t>(310) 346-5491</t>
  </si>
  <si>
    <t>nkechi@odulaw.com</t>
  </si>
  <si>
    <t>Danco Builders Northwest</t>
  </si>
  <si>
    <t>5251 Ericson way</t>
  </si>
  <si>
    <t>Arcata, CA 95521</t>
  </si>
  <si>
    <t>(707) 825-1531</t>
  </si>
  <si>
    <t>(707) 822-9596</t>
  </si>
  <si>
    <t>Leavitt, Christensen &amp; Co., PLLC</t>
  </si>
  <si>
    <t>6149 N Meeker Pl #250</t>
  </si>
  <si>
    <t>Boise, ID 83713</t>
  </si>
  <si>
    <t>Ryan Leavitt</t>
  </si>
  <si>
    <t>(208) 287-5353</t>
  </si>
  <si>
    <t>ryan@leavittchristensen.com</t>
  </si>
  <si>
    <t>Redwood Energy</t>
  </si>
  <si>
    <t xml:space="preserve">1887 Q Street </t>
  </si>
  <si>
    <t>Sean Armstrong</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</si>
  <si>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</si>
  <si>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</si>
  <si>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</si>
  <si>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</si>
  <si>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</si>
  <si>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</si>
  <si>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</si>
  <si>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</si>
  <si>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</si>
  <si>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</si>
  <si>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</si>
  <si>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</si>
  <si>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</si>
  <si>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</si>
  <si>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</si>
  <si>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</si>
  <si>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</si>
  <si>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</si>
  <si>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</si>
  <si>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</si>
  <si>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</si>
  <si>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</si>
  <si>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</si>
  <si>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Conventional</t>
  </si>
  <si>
    <t>Ray Faerber</t>
  </si>
  <si>
    <t>Equity</t>
  </si>
  <si>
    <t xml:space="preserve">Conventional </t>
  </si>
  <si>
    <t>2020 W. El Camino Avenue Suite 130</t>
  </si>
  <si>
    <t>Sacramento, CA 95833</t>
  </si>
  <si>
    <t>Michael White</t>
  </si>
  <si>
    <t>Soft</t>
  </si>
  <si>
    <t xml:space="preserve">Equity </t>
  </si>
  <si>
    <t>Developer Fee</t>
  </si>
  <si>
    <t>Fox Drug Store Parlier</t>
  </si>
  <si>
    <t>13699 Manning Ave</t>
  </si>
  <si>
    <t>Parlier, 93648</t>
  </si>
  <si>
    <t>559-646-8888</t>
  </si>
  <si>
    <t>www.foxdrugs.com</t>
  </si>
  <si>
    <t>0.17 miles</t>
  </si>
  <si>
    <t>State Foods Supermarket</t>
  </si>
  <si>
    <t>553 S Newmark Ave</t>
  </si>
  <si>
    <t>559-646-2738</t>
  </si>
  <si>
    <t>www.statefoods.net</t>
  </si>
  <si>
    <t>0.65 miles</t>
  </si>
  <si>
    <t>S Ben Benavidez Elementary School</t>
  </si>
  <si>
    <t>13900 Tuolumne St</t>
  </si>
  <si>
    <t>559-646-2963</t>
  </si>
  <si>
    <t>www.cde.ca.gov</t>
  </si>
  <si>
    <t>0.13 miles</t>
  </si>
  <si>
    <t>Veterans Park</t>
  </si>
  <si>
    <t>13504 Sixth St</t>
  </si>
  <si>
    <t>0.54 miles</t>
  </si>
  <si>
    <t>20%/50%</t>
  </si>
  <si>
    <t>Virginia Balakian</t>
  </si>
  <si>
    <t>Seller</t>
  </si>
  <si>
    <t>One or Two Story Garden</t>
  </si>
  <si>
    <t>R-3</t>
  </si>
  <si>
    <t>PLHA Funds</t>
  </si>
  <si>
    <t>Developer Note</t>
  </si>
  <si>
    <t>Citi Bank Construction Loan</t>
  </si>
  <si>
    <t>Fixed</t>
  </si>
  <si>
    <t>Tax Credit Equity</t>
  </si>
  <si>
    <t>Citi Bank Perm Loan</t>
  </si>
  <si>
    <t>HCD PLHA</t>
  </si>
  <si>
    <t>Boston Financial Solar Equity</t>
  </si>
  <si>
    <t>CUAC</t>
  </si>
  <si>
    <t>PLHA</t>
  </si>
  <si>
    <t>Inspection Fees</t>
  </si>
  <si>
    <t>Borrower's Attorney</t>
  </si>
  <si>
    <t>PG&amp;E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</si>
</sst>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0" fontId="4"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4" fillId="0" borderId="3" xfId="0" applyFont="1" applyBorder="1"/>
    <xf numFmtId="0" fontId="4" fillId="0" borderId="4" xfId="0" applyFont="1" applyBorder="1"/>
    <xf numFmtId="0" fontId="4" fillId="0" borderId="8" xfId="0" applyFont="1" applyBorder="1"/>
    <xf numFmtId="0" fontId="47" fillId="0" borderId="3" xfId="0" applyFont="1" applyBorder="1"/>
    <xf numFmtId="0" fontId="47" fillId="0" borderId="4" xfId="0" applyFont="1" applyBorder="1"/>
    <xf numFmtId="0" fontId="47" fillId="0" borderId="8" xfId="0" applyFont="1" applyBorder="1"/>
    <xf numFmtId="0" fontId="13" fillId="0" borderId="3" xfId="0" applyFont="1" applyBorder="1"/>
    <xf numFmtId="0" fontId="13" fillId="0" borderId="4" xfId="0" applyFont="1" applyBorder="1"/>
    <xf numFmtId="0" fontId="13" fillId="0" borderId="8" xfId="0" applyFont="1" applyBorder="1"/>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0" fillId="5" borderId="0" xfId="0" applyFont="1" applyFill="1" applyAlignment="1">
      <alignment horizontal="center" vertical="center"/>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169" fontId="142" fillId="0" borderId="0" xfId="0" applyNumberFormat="1" applyFont="1" applyAlignment="1">
      <alignment horizontal="center" vertical="center" wrapText="1"/>
    </xf>
    <xf numFmtId="0" fontId="13" fillId="7" borderId="12"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3" fillId="7" borderId="4" xfId="0" applyFont="1" applyFill="1" applyBorder="1" applyAlignment="1" applyProtection="1">
      <alignment horizontal="left"/>
      <protection locked="0"/>
    </xf>
    <xf numFmtId="0" fontId="0" fillId="0" borderId="5" xfId="0" applyBorder="1" applyAlignment="1">
      <alignment horizontal="left"/>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10"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12" xfId="0" applyFont="1" applyFill="1" applyBorder="1" applyAlignment="1" applyProtection="1">
      <alignment horizontal="left" vertical="center"/>
      <protection locked="0"/>
    </xf>
    <xf numFmtId="0" fontId="13" fillId="7" borderId="9"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13" fillId="7" borderId="5" xfId="273" applyNumberFormat="1" applyFill="1" applyBorder="1" applyAlignment="1" applyProtection="1">
      <alignment horizontal="center"/>
      <protection locked="0"/>
    </xf>
    <xf numFmtId="0" fontId="4"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3" fillId="0" borderId="12" xfId="0" applyNumberFormat="1" applyFont="1" applyBorder="1" applyAlignment="1">
      <alignment horizontal="center"/>
    </xf>
    <xf numFmtId="49" fontId="13" fillId="7" borderId="5" xfId="273" applyNumberForma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3" fontId="13" fillId="0" borderId="12" xfId="0" applyNumberFormat="1" applyFont="1" applyBorder="1" applyAlignment="1">
      <alignment horizontal="center"/>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3" xfId="0" applyBorder="1" applyAlignment="1">
      <alignment horizontal="left"/>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0" fontId="11" fillId="0" borderId="8" xfId="0" applyFont="1" applyBorder="1" applyAlignment="1">
      <alignment horizontal="center"/>
    </xf>
    <xf numFmtId="169" fontId="12"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4" fillId="7" borderId="12" xfId="0" applyNumberFormat="1" applyFont="1" applyFill="1" applyBorder="1" applyAlignment="1" applyProtection="1">
      <alignment horizontal="center"/>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0" fillId="7" borderId="5" xfId="0" applyFill="1" applyBorder="1" applyProtection="1">
      <protection locked="0"/>
    </xf>
    <xf numFmtId="0" fontId="4" fillId="7" borderId="12" xfId="0"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13" fillId="7" borderId="5" xfId="0" applyNumberFormat="1" applyFont="1" applyFill="1" applyBorder="1" applyAlignment="1" applyProtection="1">
      <alignment horizontal="left"/>
      <protection locked="0"/>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4" fillId="7" borderId="4" xfId="0" applyFont="1" applyFill="1" applyBorder="1" applyAlignment="1" applyProtection="1">
      <alignment vertical="center"/>
      <protection locked="0"/>
    </xf>
    <xf numFmtId="10" fontId="4" fillId="7" borderId="4" xfId="0" applyNumberFormat="1" applyFont="1" applyFill="1" applyBorder="1" applyAlignment="1" applyProtection="1">
      <alignment horizontal="right"/>
      <protection locked="0"/>
    </xf>
    <xf numFmtId="0" fontId="11" fillId="0" borderId="12" xfId="0" applyFont="1" applyBorder="1" applyAlignment="1">
      <alignment horizontal="center" vertical="center" wrapText="1"/>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1" fillId="0" borderId="0" xfId="0" applyFont="1" applyAlignment="1">
      <alignment horizontal="center" vertical="center"/>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wrapText="1"/>
      <protection locked="0"/>
    </xf>
    <xf numFmtId="0" fontId="4"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13" fillId="0" borderId="4" xfId="0" applyFont="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4"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1" fillId="0" borderId="12" xfId="0" applyFont="1" applyBorder="1" applyAlignment="1">
      <alignment horizont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4" fillId="7" borderId="4" xfId="0" applyNumberFormat="1" applyFont="1" applyFill="1" applyBorder="1" applyAlignment="1" applyProtection="1">
      <alignment horizontal="right"/>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9" fontId="0" fillId="0" borderId="12" xfId="0" applyNumberFormat="1" applyBorder="1"/>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4"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167" fontId="4"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0" fillId="0" borderId="0" xfId="0" applyAlignment="1">
      <alignment vertical="top" wrapText="1"/>
    </xf>
    <xf numFmtId="0" fontId="13" fillId="0" borderId="5" xfId="0" applyFont="1" applyBorder="1" applyAlignment="1">
      <alignment horizontal="left"/>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7" borderId="5" xfId="0" applyFont="1" applyFill="1" applyBorder="1" applyAlignment="1" applyProtection="1">
      <alignment horizontal="left"/>
      <protection locked="0"/>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54"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1" fillId="0" borderId="0" xfId="0" applyFont="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21"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0" borderId="3" xfId="0" applyFont="1" applyBorder="1" applyAlignment="1">
      <alignment horizontal="center" wrapText="1"/>
    </xf>
    <xf numFmtId="0" fontId="13" fillId="0" borderId="8" xfId="0" applyFont="1" applyBorder="1" applyAlignment="1">
      <alignment horizontal="center" wrapText="1"/>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12" fillId="7" borderId="53" xfId="0" applyFont="1" applyFill="1" applyBorder="1" applyAlignment="1" applyProtection="1">
      <alignment horizontal="left" vertical="top" wrapText="1"/>
      <protection locked="0"/>
    </xf>
    <xf numFmtId="166" fontId="12" fillId="0" borderId="15" xfId="0" applyNumberFormat="1"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2" borderId="0" xfId="575" applyFont="1" applyFill="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2" fontId="127" fillId="0" borderId="0" xfId="575" applyNumberFormat="1" applyFont="1" applyAlignment="1">
      <alignment horizontal="center"/>
    </xf>
    <xf numFmtId="181" fontId="127" fillId="0" borderId="0" xfId="575" applyNumberFormat="1" applyFont="1" applyAlignment="1">
      <alignment horizontal="center"/>
    </xf>
    <xf numFmtId="0" fontId="12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22B0BC94-E504-4048-9B2E-689151EF5253}"/>
    <cellStyle name="20% - Accent1 2 2 2 3" xfId="1035" xr:uid="{1CB6435F-285F-49CC-B209-B94419BBBDF3}"/>
    <cellStyle name="20% - Accent1 2 2 3" xfId="580" xr:uid="{00000000-0005-0000-0000-000005000000}"/>
    <cellStyle name="20% - Accent1 2 2 3 2" xfId="1450" xr:uid="{6DD24C4E-EFCC-440A-AC14-62512A1CDBA0}"/>
    <cellStyle name="20% - Accent1 2 2 4" xfId="1034" xr:uid="{C163BFD1-EE7D-414B-8627-8355BA5DA6F3}"/>
    <cellStyle name="20% - Accent1 2 3" xfId="5" xr:uid="{00000000-0005-0000-0000-000006000000}"/>
    <cellStyle name="20% - Accent1 2 3 2" xfId="582" xr:uid="{00000000-0005-0000-0000-000007000000}"/>
    <cellStyle name="20% - Accent1 2 3 2 2" xfId="1452" xr:uid="{6695D679-E2A5-49E5-9A14-3987EF753480}"/>
    <cellStyle name="20% - Accent1 2 3 3" xfId="1036" xr:uid="{9C6DFF9A-29DB-4CDC-8FCE-F512F4E41E09}"/>
    <cellStyle name="20% - Accent1 2 4" xfId="579" xr:uid="{00000000-0005-0000-0000-000008000000}"/>
    <cellStyle name="20% - Accent1 2 4 2" xfId="1449" xr:uid="{4A720F1E-E087-422F-9702-8C8465379738}"/>
    <cellStyle name="20% - Accent1 2 5" xfId="1033" xr:uid="{FB9093DA-1AEA-4D97-87EA-70EBC35381EE}"/>
    <cellStyle name="20% - Accent1 3" xfId="6" xr:uid="{00000000-0005-0000-0000-000009000000}"/>
    <cellStyle name="20% - Accent1 3 2" xfId="7" xr:uid="{00000000-0005-0000-0000-00000A000000}"/>
    <cellStyle name="20% - Accent1 3 2 2" xfId="584" xr:uid="{00000000-0005-0000-0000-00000B000000}"/>
    <cellStyle name="20% - Accent1 3 2 2 2" xfId="1454" xr:uid="{0ADD353F-5DA2-47EB-9C37-636FF21ECFD1}"/>
    <cellStyle name="20% - Accent1 3 2 3" xfId="1038" xr:uid="{EC4B92F7-B923-4E0F-827D-9190ED4AA30A}"/>
    <cellStyle name="20% - Accent1 3 3" xfId="583" xr:uid="{00000000-0005-0000-0000-00000C000000}"/>
    <cellStyle name="20% - Accent1 3 3 2" xfId="1453" xr:uid="{5237B1CA-6BCE-4E3B-A650-CEF6246CC472}"/>
    <cellStyle name="20% - Accent1 3 4" xfId="1037" xr:uid="{A45B7E33-3D25-4E59-B5FD-ACFEBE71449C}"/>
    <cellStyle name="20% - Accent1 4" xfId="8" xr:uid="{00000000-0005-0000-0000-00000D000000}"/>
    <cellStyle name="20% - Accent1 4 2" xfId="585" xr:uid="{00000000-0005-0000-0000-00000E000000}"/>
    <cellStyle name="20% - Accent1 4 2 2" xfId="1455" xr:uid="{2699A150-234A-4E16-9444-BE37FCFC4570}"/>
    <cellStyle name="20% - Accent1 4 3" xfId="1039" xr:uid="{1C6C18AA-4E5F-4857-ABCE-DDF859BD9E4A}"/>
    <cellStyle name="20% - Accent1 5" xfId="578" xr:uid="{00000000-0005-0000-0000-00000F000000}"/>
    <cellStyle name="20% - Accent1 5 2" xfId="1448" xr:uid="{C7AADED2-E42B-4A4F-9E41-7BFD6769BC90}"/>
    <cellStyle name="20% - Accent1 6" xfId="1032" xr:uid="{774D78E2-0A44-484C-B300-838B792C3017}"/>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67DF765E-3A05-4713-89E2-DF692A7CF3F8}"/>
    <cellStyle name="20% - Accent2 2 2 2 3" xfId="1043" xr:uid="{85C1195A-532C-45B4-994B-95321B9C9EA5}"/>
    <cellStyle name="20% - Accent2 2 2 3" xfId="588" xr:uid="{00000000-0005-0000-0000-000015000000}"/>
    <cellStyle name="20% - Accent2 2 2 3 2" xfId="1458" xr:uid="{173CA5C1-4DF1-46F3-BB5F-6B738C393463}"/>
    <cellStyle name="20% - Accent2 2 2 4" xfId="1042" xr:uid="{E7B37411-2105-4879-BCF6-3FBD09961DBB}"/>
    <cellStyle name="20% - Accent2 2 3" xfId="13" xr:uid="{00000000-0005-0000-0000-000016000000}"/>
    <cellStyle name="20% - Accent2 2 3 2" xfId="590" xr:uid="{00000000-0005-0000-0000-000017000000}"/>
    <cellStyle name="20% - Accent2 2 3 2 2" xfId="1460" xr:uid="{3B092EA0-46C9-43B3-88C0-D5741D64CE08}"/>
    <cellStyle name="20% - Accent2 2 3 3" xfId="1044" xr:uid="{B3B56A53-1CD8-4008-B528-0E25E041CC28}"/>
    <cellStyle name="20% - Accent2 2 4" xfId="587" xr:uid="{00000000-0005-0000-0000-000018000000}"/>
    <cellStyle name="20% - Accent2 2 4 2" xfId="1457" xr:uid="{CDADB6BF-C421-41FC-80CE-DAAEBDD6B78A}"/>
    <cellStyle name="20% - Accent2 2 5" xfId="1041" xr:uid="{3E949DFB-412D-4124-9A68-15CC12CBCE3B}"/>
    <cellStyle name="20% - Accent2 3" xfId="14" xr:uid="{00000000-0005-0000-0000-000019000000}"/>
    <cellStyle name="20% - Accent2 3 2" xfId="15" xr:uid="{00000000-0005-0000-0000-00001A000000}"/>
    <cellStyle name="20% - Accent2 3 2 2" xfId="592" xr:uid="{00000000-0005-0000-0000-00001B000000}"/>
    <cellStyle name="20% - Accent2 3 2 2 2" xfId="1462" xr:uid="{432DC44E-EC19-4A08-B94A-4AAF768400D1}"/>
    <cellStyle name="20% - Accent2 3 2 3" xfId="1046" xr:uid="{907FADCD-9D63-4B11-8AB4-66B6D26F5547}"/>
    <cellStyle name="20% - Accent2 3 3" xfId="591" xr:uid="{00000000-0005-0000-0000-00001C000000}"/>
    <cellStyle name="20% - Accent2 3 3 2" xfId="1461" xr:uid="{9A0EC5B4-EF1D-4595-8C1B-494BE85E1D13}"/>
    <cellStyle name="20% - Accent2 3 4" xfId="1045" xr:uid="{1518C38F-81C5-4E0E-A1EC-E4B1D73B5F57}"/>
    <cellStyle name="20% - Accent2 4" xfId="16" xr:uid="{00000000-0005-0000-0000-00001D000000}"/>
    <cellStyle name="20% - Accent2 4 2" xfId="593" xr:uid="{00000000-0005-0000-0000-00001E000000}"/>
    <cellStyle name="20% - Accent2 4 2 2" xfId="1463" xr:uid="{66B4D7A7-9B97-49C6-8D50-963AA84F2B59}"/>
    <cellStyle name="20% - Accent2 4 3" xfId="1047" xr:uid="{6C2F003B-1D3E-4ACF-A7B7-1F2765B12C18}"/>
    <cellStyle name="20% - Accent2 5" xfId="586" xr:uid="{00000000-0005-0000-0000-00001F000000}"/>
    <cellStyle name="20% - Accent2 5 2" xfId="1456" xr:uid="{BFEC6F3D-6F56-4902-8B60-EC46FCF24F71}"/>
    <cellStyle name="20% - Accent2 6" xfId="1040" xr:uid="{2B5A460E-85B1-40A1-AAA2-E7964395F97E}"/>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61AD8E78-5900-4487-A11F-D2C5796711F8}"/>
    <cellStyle name="20% - Accent3 2 2 2 3" xfId="1051" xr:uid="{B029B41B-981D-4FC6-AE86-4838DF7BFA12}"/>
    <cellStyle name="20% - Accent3 2 2 3" xfId="596" xr:uid="{00000000-0005-0000-0000-000025000000}"/>
    <cellStyle name="20% - Accent3 2 2 3 2" xfId="1466" xr:uid="{78FE612D-9AAE-4EFE-9068-B780FF868A56}"/>
    <cellStyle name="20% - Accent3 2 2 4" xfId="1050" xr:uid="{1786F0D6-B3CD-47EA-A1EE-92914DFC4E3B}"/>
    <cellStyle name="20% - Accent3 2 3" xfId="21" xr:uid="{00000000-0005-0000-0000-000026000000}"/>
    <cellStyle name="20% - Accent3 2 3 2" xfId="598" xr:uid="{00000000-0005-0000-0000-000027000000}"/>
    <cellStyle name="20% - Accent3 2 3 2 2" xfId="1468" xr:uid="{2D225E2D-A7E2-45AA-A7ED-AE88093DFBA6}"/>
    <cellStyle name="20% - Accent3 2 3 3" xfId="1052" xr:uid="{D34EEADB-B2E0-4995-9554-266C27CEDE99}"/>
    <cellStyle name="20% - Accent3 2 4" xfId="595" xr:uid="{00000000-0005-0000-0000-000028000000}"/>
    <cellStyle name="20% - Accent3 2 4 2" xfId="1465" xr:uid="{70077828-8DC6-4106-B0C6-CD977012140E}"/>
    <cellStyle name="20% - Accent3 2 5" xfId="1049" xr:uid="{D1A5D80A-1471-4137-AADF-C51600773105}"/>
    <cellStyle name="20% - Accent3 3" xfId="22" xr:uid="{00000000-0005-0000-0000-000029000000}"/>
    <cellStyle name="20% - Accent3 3 2" xfId="23" xr:uid="{00000000-0005-0000-0000-00002A000000}"/>
    <cellStyle name="20% - Accent3 3 2 2" xfId="600" xr:uid="{00000000-0005-0000-0000-00002B000000}"/>
    <cellStyle name="20% - Accent3 3 2 2 2" xfId="1470" xr:uid="{76F29317-BD89-423B-B307-A17C984586B0}"/>
    <cellStyle name="20% - Accent3 3 2 3" xfId="1054" xr:uid="{22D5A215-272D-4049-8383-D83EA22973EF}"/>
    <cellStyle name="20% - Accent3 3 3" xfId="599" xr:uid="{00000000-0005-0000-0000-00002C000000}"/>
    <cellStyle name="20% - Accent3 3 3 2" xfId="1469" xr:uid="{F87CD912-313B-404B-82ED-7481F7E6BCF1}"/>
    <cellStyle name="20% - Accent3 3 4" xfId="1053" xr:uid="{2863BC57-43C4-410F-9259-25FEE56A23F1}"/>
    <cellStyle name="20% - Accent3 4" xfId="24" xr:uid="{00000000-0005-0000-0000-00002D000000}"/>
    <cellStyle name="20% - Accent3 4 2" xfId="601" xr:uid="{00000000-0005-0000-0000-00002E000000}"/>
    <cellStyle name="20% - Accent3 4 2 2" xfId="1471" xr:uid="{144B696F-440B-4E45-AFEF-EC62421892AB}"/>
    <cellStyle name="20% - Accent3 4 3" xfId="1055" xr:uid="{93665968-DF62-4E06-9D1E-0DA1245BC4FC}"/>
    <cellStyle name="20% - Accent3 5" xfId="594" xr:uid="{00000000-0005-0000-0000-00002F000000}"/>
    <cellStyle name="20% - Accent3 5 2" xfId="1464" xr:uid="{AC49901A-7201-4E6F-915E-5DC989A0DD7D}"/>
    <cellStyle name="20% - Accent3 6" xfId="1048" xr:uid="{B3944478-05A5-4E69-92DF-1099288C92F9}"/>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657B7E06-24EA-4AE0-B6FD-3B8C7D485697}"/>
    <cellStyle name="20% - Accent4 2 2 2 3" xfId="1059" xr:uid="{8AFBEA7A-1EC3-432E-9432-283A44FD9184}"/>
    <cellStyle name="20% - Accent4 2 2 3" xfId="604" xr:uid="{00000000-0005-0000-0000-000035000000}"/>
    <cellStyle name="20% - Accent4 2 2 3 2" xfId="1474" xr:uid="{24E98093-FCF3-4172-A13B-78EDAC8F4F53}"/>
    <cellStyle name="20% - Accent4 2 2 4" xfId="1058" xr:uid="{9EDD706A-E90D-43A0-8B77-59D893330BF7}"/>
    <cellStyle name="20% - Accent4 2 3" xfId="29" xr:uid="{00000000-0005-0000-0000-000036000000}"/>
    <cellStyle name="20% - Accent4 2 3 2" xfId="606" xr:uid="{00000000-0005-0000-0000-000037000000}"/>
    <cellStyle name="20% - Accent4 2 3 2 2" xfId="1476" xr:uid="{C92F60EB-6147-433F-A38B-3D69FD141B5E}"/>
    <cellStyle name="20% - Accent4 2 3 3" xfId="1060" xr:uid="{1A5FFE03-E2BA-4069-B253-E9944D43D609}"/>
    <cellStyle name="20% - Accent4 2 4" xfId="603" xr:uid="{00000000-0005-0000-0000-000038000000}"/>
    <cellStyle name="20% - Accent4 2 4 2" xfId="1473" xr:uid="{C107DEF5-1C3E-45D4-8462-9401E3DCDE05}"/>
    <cellStyle name="20% - Accent4 2 5" xfId="1057" xr:uid="{4E8CAE06-2A9D-4684-A9A8-A005A83FAFE0}"/>
    <cellStyle name="20% - Accent4 3" xfId="30" xr:uid="{00000000-0005-0000-0000-000039000000}"/>
    <cellStyle name="20% - Accent4 3 2" xfId="31" xr:uid="{00000000-0005-0000-0000-00003A000000}"/>
    <cellStyle name="20% - Accent4 3 2 2" xfId="608" xr:uid="{00000000-0005-0000-0000-00003B000000}"/>
    <cellStyle name="20% - Accent4 3 2 2 2" xfId="1478" xr:uid="{59BDD683-0F8B-48F9-B0FA-307EDF6957B1}"/>
    <cellStyle name="20% - Accent4 3 2 3" xfId="1062" xr:uid="{50CAA267-0D49-40DE-A8AC-F6AA67883CD9}"/>
    <cellStyle name="20% - Accent4 3 3" xfId="607" xr:uid="{00000000-0005-0000-0000-00003C000000}"/>
    <cellStyle name="20% - Accent4 3 3 2" xfId="1477" xr:uid="{EA52FA1F-168E-4A58-B6B9-E8D04327A426}"/>
    <cellStyle name="20% - Accent4 3 4" xfId="1061" xr:uid="{4680E496-C92B-4D14-9550-C5518FC1209E}"/>
    <cellStyle name="20% - Accent4 4" xfId="32" xr:uid="{00000000-0005-0000-0000-00003D000000}"/>
    <cellStyle name="20% - Accent4 4 2" xfId="609" xr:uid="{00000000-0005-0000-0000-00003E000000}"/>
    <cellStyle name="20% - Accent4 4 2 2" xfId="1479" xr:uid="{A0360BD7-515A-4995-8449-4CAF861E9BA9}"/>
    <cellStyle name="20% - Accent4 4 3" xfId="1063" xr:uid="{329AAAB8-D15E-45F9-9D72-D110F4FB3790}"/>
    <cellStyle name="20% - Accent4 5" xfId="602" xr:uid="{00000000-0005-0000-0000-00003F000000}"/>
    <cellStyle name="20% - Accent4 5 2" xfId="1472" xr:uid="{DFDD3872-8B7B-4B9C-A587-D7A58A936DAE}"/>
    <cellStyle name="20% - Accent4 6" xfId="1056" xr:uid="{A640256C-8DED-44B0-95F6-412B32C35DF4}"/>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98E19D2E-9B23-4581-BE46-5D2616F5EFEB}"/>
    <cellStyle name="20% - Accent5 2 2 2 3" xfId="1067" xr:uid="{C0EDC672-3F9F-4A48-BFFA-323F483F29DA}"/>
    <cellStyle name="20% - Accent5 2 2 3" xfId="612" xr:uid="{00000000-0005-0000-0000-000045000000}"/>
    <cellStyle name="20% - Accent5 2 2 3 2" xfId="1482" xr:uid="{B858337A-8422-49D4-8840-1A16FE57C930}"/>
    <cellStyle name="20% - Accent5 2 2 4" xfId="1066" xr:uid="{AECB86D3-151D-4819-8394-AAB9A9CBD558}"/>
    <cellStyle name="20% - Accent5 2 3" xfId="37" xr:uid="{00000000-0005-0000-0000-000046000000}"/>
    <cellStyle name="20% - Accent5 2 3 2" xfId="614" xr:uid="{00000000-0005-0000-0000-000047000000}"/>
    <cellStyle name="20% - Accent5 2 3 2 2" xfId="1484" xr:uid="{09F78810-626D-433D-A675-A58F694BA299}"/>
    <cellStyle name="20% - Accent5 2 3 3" xfId="1068" xr:uid="{44CAC9D1-3834-4658-A5B9-687E3B20B8CC}"/>
    <cellStyle name="20% - Accent5 2 4" xfId="611" xr:uid="{00000000-0005-0000-0000-000048000000}"/>
    <cellStyle name="20% - Accent5 2 4 2" xfId="1481" xr:uid="{56F21854-6F05-42E5-8BCB-D6F9EFF5117F}"/>
    <cellStyle name="20% - Accent5 2 5" xfId="1065" xr:uid="{4A9808ED-891F-46D0-91B6-E048E2104441}"/>
    <cellStyle name="20% - Accent5 3" xfId="38" xr:uid="{00000000-0005-0000-0000-000049000000}"/>
    <cellStyle name="20% - Accent5 3 2" xfId="39" xr:uid="{00000000-0005-0000-0000-00004A000000}"/>
    <cellStyle name="20% - Accent5 3 2 2" xfId="616" xr:uid="{00000000-0005-0000-0000-00004B000000}"/>
    <cellStyle name="20% - Accent5 3 2 2 2" xfId="1486" xr:uid="{00FC3093-0CE0-47A4-A53B-9D004F4DF7EA}"/>
    <cellStyle name="20% - Accent5 3 2 3" xfId="1070" xr:uid="{B3EC944B-676A-4E4E-8AFE-FC737BEE753D}"/>
    <cellStyle name="20% - Accent5 3 3" xfId="615" xr:uid="{00000000-0005-0000-0000-00004C000000}"/>
    <cellStyle name="20% - Accent5 3 3 2" xfId="1485" xr:uid="{C991968B-4D2B-4578-B282-4B3617B1FD78}"/>
    <cellStyle name="20% - Accent5 3 4" xfId="1069" xr:uid="{8E8E9A00-F68F-49FC-AEFF-B699C06A94A2}"/>
    <cellStyle name="20% - Accent5 4" xfId="40" xr:uid="{00000000-0005-0000-0000-00004D000000}"/>
    <cellStyle name="20% - Accent5 4 2" xfId="617" xr:uid="{00000000-0005-0000-0000-00004E000000}"/>
    <cellStyle name="20% - Accent5 4 2 2" xfId="1487" xr:uid="{C9E8FBD2-2946-4C9C-B797-21D22318F74F}"/>
    <cellStyle name="20% - Accent5 4 3" xfId="1071" xr:uid="{9B1AE0DA-66A8-4E20-94D8-A477F59C37ED}"/>
    <cellStyle name="20% - Accent5 5" xfId="610" xr:uid="{00000000-0005-0000-0000-00004F000000}"/>
    <cellStyle name="20% - Accent5 5 2" xfId="1480" xr:uid="{EE6445D4-71A9-491E-97EE-82D6BE04DDB9}"/>
    <cellStyle name="20% - Accent5 6" xfId="1064" xr:uid="{31105607-618B-4868-80E7-B7505479C461}"/>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2D418C84-9A9F-4A15-9B30-A6C7335267C1}"/>
    <cellStyle name="20% - Accent6 2 2 2 3" xfId="1075" xr:uid="{7A97F5FD-0E26-4E9E-B507-081E716F0601}"/>
    <cellStyle name="20% - Accent6 2 2 3" xfId="620" xr:uid="{00000000-0005-0000-0000-000055000000}"/>
    <cellStyle name="20% - Accent6 2 2 3 2" xfId="1490" xr:uid="{AF334FD2-E37C-4D99-A9C2-394CB3376CEF}"/>
    <cellStyle name="20% - Accent6 2 2 4" xfId="1074" xr:uid="{84BD1685-BC4D-467F-849D-F84723099A04}"/>
    <cellStyle name="20% - Accent6 2 3" xfId="45" xr:uid="{00000000-0005-0000-0000-000056000000}"/>
    <cellStyle name="20% - Accent6 2 3 2" xfId="622" xr:uid="{00000000-0005-0000-0000-000057000000}"/>
    <cellStyle name="20% - Accent6 2 3 2 2" xfId="1492" xr:uid="{34E6839C-6880-4451-BA34-6AB9540D9C57}"/>
    <cellStyle name="20% - Accent6 2 3 3" xfId="1076" xr:uid="{7551800B-128D-4EF4-B87A-7A19CB28A4BC}"/>
    <cellStyle name="20% - Accent6 2 4" xfId="619" xr:uid="{00000000-0005-0000-0000-000058000000}"/>
    <cellStyle name="20% - Accent6 2 4 2" xfId="1489" xr:uid="{B058DA33-6356-44C2-ADFE-BD757E93764B}"/>
    <cellStyle name="20% - Accent6 2 5" xfId="1073" xr:uid="{2E76A052-21A9-4999-9F1A-045FF3DE962A}"/>
    <cellStyle name="20% - Accent6 3" xfId="46" xr:uid="{00000000-0005-0000-0000-000059000000}"/>
    <cellStyle name="20% - Accent6 3 2" xfId="47" xr:uid="{00000000-0005-0000-0000-00005A000000}"/>
    <cellStyle name="20% - Accent6 3 2 2" xfId="624" xr:uid="{00000000-0005-0000-0000-00005B000000}"/>
    <cellStyle name="20% - Accent6 3 2 2 2" xfId="1494" xr:uid="{A1B517C2-298A-4D49-9EE6-AF8A3B427002}"/>
    <cellStyle name="20% - Accent6 3 2 3" xfId="1078" xr:uid="{6C8321C5-E335-403A-8A89-069DC3047B0A}"/>
    <cellStyle name="20% - Accent6 3 3" xfId="623" xr:uid="{00000000-0005-0000-0000-00005C000000}"/>
    <cellStyle name="20% - Accent6 3 3 2" xfId="1493" xr:uid="{E195A0B7-B520-405C-B20C-4F4A2A207B56}"/>
    <cellStyle name="20% - Accent6 3 4" xfId="1077" xr:uid="{E378D4F5-B729-4DFA-8865-D758580976C2}"/>
    <cellStyle name="20% - Accent6 4" xfId="48" xr:uid="{00000000-0005-0000-0000-00005D000000}"/>
    <cellStyle name="20% - Accent6 4 2" xfId="625" xr:uid="{00000000-0005-0000-0000-00005E000000}"/>
    <cellStyle name="20% - Accent6 4 2 2" xfId="1495" xr:uid="{5E818B09-81A4-4960-94F9-0B1683FE357E}"/>
    <cellStyle name="20% - Accent6 4 3" xfId="1079" xr:uid="{5570B004-45E9-4365-BA9F-47EDBE78C7A7}"/>
    <cellStyle name="20% - Accent6 5" xfId="618" xr:uid="{00000000-0005-0000-0000-00005F000000}"/>
    <cellStyle name="20% - Accent6 5 2" xfId="1488" xr:uid="{79ED91B9-036A-4899-949B-DD3625988400}"/>
    <cellStyle name="20% - Accent6 6" xfId="1072" xr:uid="{61901910-CFD0-400B-BC16-637A9D707A75}"/>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E8B097BC-9B20-43A6-9AE9-C360068AAE30}"/>
    <cellStyle name="40% - Accent1 2 2 2 3" xfId="1083" xr:uid="{2B77CD98-0608-4E9D-B05E-9905D095188A}"/>
    <cellStyle name="40% - Accent1 2 2 3" xfId="628" xr:uid="{00000000-0005-0000-0000-000065000000}"/>
    <cellStyle name="40% - Accent1 2 2 3 2" xfId="1498" xr:uid="{A8B554AC-C521-42D3-94CD-A2D8C1403417}"/>
    <cellStyle name="40% - Accent1 2 2 4" xfId="1082" xr:uid="{DDABA7E3-838A-41F0-970C-E66E6030F7F2}"/>
    <cellStyle name="40% - Accent1 2 3" xfId="53" xr:uid="{00000000-0005-0000-0000-000066000000}"/>
    <cellStyle name="40% - Accent1 2 3 2" xfId="630" xr:uid="{00000000-0005-0000-0000-000067000000}"/>
    <cellStyle name="40% - Accent1 2 3 2 2" xfId="1500" xr:uid="{CB65B047-FD3F-4E49-9641-DD2B2ECD41E6}"/>
    <cellStyle name="40% - Accent1 2 3 3" xfId="1084" xr:uid="{2F2A3AAA-4460-4BD1-B66A-42E635216439}"/>
    <cellStyle name="40% - Accent1 2 4" xfId="627" xr:uid="{00000000-0005-0000-0000-000068000000}"/>
    <cellStyle name="40% - Accent1 2 4 2" xfId="1497" xr:uid="{D61D1B16-CC34-49CE-86AC-550B67848E5A}"/>
    <cellStyle name="40% - Accent1 2 5" xfId="1081" xr:uid="{7D6FEAE6-9126-4815-A051-0FD33D84586F}"/>
    <cellStyle name="40% - Accent1 3" xfId="54" xr:uid="{00000000-0005-0000-0000-000069000000}"/>
    <cellStyle name="40% - Accent1 3 2" xfId="55" xr:uid="{00000000-0005-0000-0000-00006A000000}"/>
    <cellStyle name="40% - Accent1 3 2 2" xfId="632" xr:uid="{00000000-0005-0000-0000-00006B000000}"/>
    <cellStyle name="40% - Accent1 3 2 2 2" xfId="1502" xr:uid="{03C2C202-9B1A-415D-B30B-B8C937A5A8A4}"/>
    <cellStyle name="40% - Accent1 3 2 3" xfId="1086" xr:uid="{4C0007BA-BAA8-4E8E-B34D-D84E493A8065}"/>
    <cellStyle name="40% - Accent1 3 3" xfId="631" xr:uid="{00000000-0005-0000-0000-00006C000000}"/>
    <cellStyle name="40% - Accent1 3 3 2" xfId="1501" xr:uid="{9950ED88-4FCE-4BF3-9F02-441089696C6A}"/>
    <cellStyle name="40% - Accent1 3 4" xfId="1085" xr:uid="{89B83ECF-FF2E-4A20-ADBE-DDDA0826B37B}"/>
    <cellStyle name="40% - Accent1 4" xfId="56" xr:uid="{00000000-0005-0000-0000-00006D000000}"/>
    <cellStyle name="40% - Accent1 4 2" xfId="633" xr:uid="{00000000-0005-0000-0000-00006E000000}"/>
    <cellStyle name="40% - Accent1 4 2 2" xfId="1503" xr:uid="{CFAA0CF9-FB1D-4CB5-BB47-6B4A98996B48}"/>
    <cellStyle name="40% - Accent1 4 3" xfId="1087" xr:uid="{7FEF59FC-EDAF-47DF-839A-0206A83C1B58}"/>
    <cellStyle name="40% - Accent1 5" xfId="626" xr:uid="{00000000-0005-0000-0000-00006F000000}"/>
    <cellStyle name="40% - Accent1 5 2" xfId="1496" xr:uid="{1299C9FB-780F-4378-A9DE-AACB8EDDE0EA}"/>
    <cellStyle name="40% - Accent1 6" xfId="1080" xr:uid="{E9504939-177B-4D95-8780-90E8DF261F74}"/>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C2795475-0417-4FE3-A72B-19D02A1CA9F7}"/>
    <cellStyle name="40% - Accent2 2 2 2 3" xfId="1091" xr:uid="{76481FE6-4802-4353-99B9-1B9DDBAC417D}"/>
    <cellStyle name="40% - Accent2 2 2 3" xfId="636" xr:uid="{00000000-0005-0000-0000-000075000000}"/>
    <cellStyle name="40% - Accent2 2 2 3 2" xfId="1506" xr:uid="{72507EEA-35A2-420C-ADD9-85744AE9C2D4}"/>
    <cellStyle name="40% - Accent2 2 2 4" xfId="1090" xr:uid="{6C86C7B8-B2FF-43E0-A428-16597A2F9DAB}"/>
    <cellStyle name="40% - Accent2 2 3" xfId="61" xr:uid="{00000000-0005-0000-0000-000076000000}"/>
    <cellStyle name="40% - Accent2 2 3 2" xfId="638" xr:uid="{00000000-0005-0000-0000-000077000000}"/>
    <cellStyle name="40% - Accent2 2 3 2 2" xfId="1508" xr:uid="{07546862-918B-410B-A1CB-3F1CFAA4FA4D}"/>
    <cellStyle name="40% - Accent2 2 3 3" xfId="1092" xr:uid="{FFDFDC6A-26AF-4A38-84C4-50D242AEFD5B}"/>
    <cellStyle name="40% - Accent2 2 4" xfId="635" xr:uid="{00000000-0005-0000-0000-000078000000}"/>
    <cellStyle name="40% - Accent2 2 4 2" xfId="1505" xr:uid="{CAD45D16-690A-4EB6-9B4C-79DE27C44AD8}"/>
    <cellStyle name="40% - Accent2 2 5" xfId="1089" xr:uid="{B80AE331-39BD-4235-BBD0-30350299A5EB}"/>
    <cellStyle name="40% - Accent2 3" xfId="62" xr:uid="{00000000-0005-0000-0000-000079000000}"/>
    <cellStyle name="40% - Accent2 3 2" xfId="63" xr:uid="{00000000-0005-0000-0000-00007A000000}"/>
    <cellStyle name="40% - Accent2 3 2 2" xfId="640" xr:uid="{00000000-0005-0000-0000-00007B000000}"/>
    <cellStyle name="40% - Accent2 3 2 2 2" xfId="1510" xr:uid="{8BA4954E-E2BF-4B36-8757-C5A65A17F7A0}"/>
    <cellStyle name="40% - Accent2 3 2 3" xfId="1094" xr:uid="{42F2CDF2-F305-440F-9D14-5C6C768357BF}"/>
    <cellStyle name="40% - Accent2 3 3" xfId="639" xr:uid="{00000000-0005-0000-0000-00007C000000}"/>
    <cellStyle name="40% - Accent2 3 3 2" xfId="1509" xr:uid="{2811D3AF-7C05-47AD-BCF7-9E28F1388CA8}"/>
    <cellStyle name="40% - Accent2 3 4" xfId="1093" xr:uid="{A432A05F-D01B-46F4-B613-134BDFECD81A}"/>
    <cellStyle name="40% - Accent2 4" xfId="64" xr:uid="{00000000-0005-0000-0000-00007D000000}"/>
    <cellStyle name="40% - Accent2 4 2" xfId="641" xr:uid="{00000000-0005-0000-0000-00007E000000}"/>
    <cellStyle name="40% - Accent2 4 2 2" xfId="1511" xr:uid="{5F384B6E-4F0B-47C1-86DA-44E300E25E77}"/>
    <cellStyle name="40% - Accent2 4 3" xfId="1095" xr:uid="{5667F56E-CFCF-40CF-9489-ED265137CBE7}"/>
    <cellStyle name="40% - Accent2 5" xfId="634" xr:uid="{00000000-0005-0000-0000-00007F000000}"/>
    <cellStyle name="40% - Accent2 5 2" xfId="1504" xr:uid="{C0A990F1-DDFF-4615-88CD-A488173EC24A}"/>
    <cellStyle name="40% - Accent2 6" xfId="1088" xr:uid="{F3ED4B83-4803-4CBD-A48B-A3D1933C5434}"/>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318CD00B-81DF-42CF-8C48-7E42B950860C}"/>
    <cellStyle name="40% - Accent3 2 2 2 3" xfId="1099" xr:uid="{3535087C-0549-4A47-8475-B817637E9C6A}"/>
    <cellStyle name="40% - Accent3 2 2 3" xfId="644" xr:uid="{00000000-0005-0000-0000-000085000000}"/>
    <cellStyle name="40% - Accent3 2 2 3 2" xfId="1514" xr:uid="{D9C9306B-64FE-4AB0-BEF0-F3CEFA9100EF}"/>
    <cellStyle name="40% - Accent3 2 2 4" xfId="1098" xr:uid="{951F0151-4212-41C1-A9C2-6C44232F25A0}"/>
    <cellStyle name="40% - Accent3 2 3" xfId="69" xr:uid="{00000000-0005-0000-0000-000086000000}"/>
    <cellStyle name="40% - Accent3 2 3 2" xfId="646" xr:uid="{00000000-0005-0000-0000-000087000000}"/>
    <cellStyle name="40% - Accent3 2 3 2 2" xfId="1516" xr:uid="{2880DF52-156C-489F-885C-95996C744C43}"/>
    <cellStyle name="40% - Accent3 2 3 3" xfId="1100" xr:uid="{F141C279-36D0-48A2-A325-A22D8C497988}"/>
    <cellStyle name="40% - Accent3 2 4" xfId="643" xr:uid="{00000000-0005-0000-0000-000088000000}"/>
    <cellStyle name="40% - Accent3 2 4 2" xfId="1513" xr:uid="{FBC1A602-AF31-4E6E-8320-408AB08091F7}"/>
    <cellStyle name="40% - Accent3 2 5" xfId="1097" xr:uid="{7D686B56-C8BB-4543-AE71-BC276B47F73D}"/>
    <cellStyle name="40% - Accent3 3" xfId="70" xr:uid="{00000000-0005-0000-0000-000089000000}"/>
    <cellStyle name="40% - Accent3 3 2" xfId="71" xr:uid="{00000000-0005-0000-0000-00008A000000}"/>
    <cellStyle name="40% - Accent3 3 2 2" xfId="648" xr:uid="{00000000-0005-0000-0000-00008B000000}"/>
    <cellStyle name="40% - Accent3 3 2 2 2" xfId="1518" xr:uid="{A8257050-B142-4A15-AAC6-67205BC9F327}"/>
    <cellStyle name="40% - Accent3 3 2 3" xfId="1102" xr:uid="{07FDCF33-AC59-4689-A7EF-A5FC00A55765}"/>
    <cellStyle name="40% - Accent3 3 3" xfId="647" xr:uid="{00000000-0005-0000-0000-00008C000000}"/>
    <cellStyle name="40% - Accent3 3 3 2" xfId="1517" xr:uid="{110AEAD4-D63D-4042-A0D4-5C76F1EA8571}"/>
    <cellStyle name="40% - Accent3 3 4" xfId="1101" xr:uid="{AB48EB21-8AA3-4A13-8191-DC1519DDDDED}"/>
    <cellStyle name="40% - Accent3 4" xfId="72" xr:uid="{00000000-0005-0000-0000-00008D000000}"/>
    <cellStyle name="40% - Accent3 4 2" xfId="649" xr:uid="{00000000-0005-0000-0000-00008E000000}"/>
    <cellStyle name="40% - Accent3 4 2 2" xfId="1519" xr:uid="{9BF718C9-3C88-441B-9378-03456A245454}"/>
    <cellStyle name="40% - Accent3 4 3" xfId="1103" xr:uid="{7CF6A1EB-80E2-4D1D-ACA4-E0EC296FD011}"/>
    <cellStyle name="40% - Accent3 5" xfId="642" xr:uid="{00000000-0005-0000-0000-00008F000000}"/>
    <cellStyle name="40% - Accent3 5 2" xfId="1512" xr:uid="{F85BE281-FE20-4121-ACCD-15D0E07DC639}"/>
    <cellStyle name="40% - Accent3 6" xfId="1096" xr:uid="{343E1323-8618-4AE7-BD65-981221C1CF91}"/>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AFE67EC9-77B6-466A-B8CB-B32B51651AC2}"/>
    <cellStyle name="40% - Accent4 2 2 2 3" xfId="1107" xr:uid="{089EC7DA-4196-4B49-B580-923A37DE5CE1}"/>
    <cellStyle name="40% - Accent4 2 2 3" xfId="652" xr:uid="{00000000-0005-0000-0000-000095000000}"/>
    <cellStyle name="40% - Accent4 2 2 3 2" xfId="1522" xr:uid="{DD23F56D-A59B-43D4-BC87-762B56F601D9}"/>
    <cellStyle name="40% - Accent4 2 2 4" xfId="1106" xr:uid="{C986804C-AFCF-4BD4-A395-21EB615AD5D6}"/>
    <cellStyle name="40% - Accent4 2 3" xfId="77" xr:uid="{00000000-0005-0000-0000-000096000000}"/>
    <cellStyle name="40% - Accent4 2 3 2" xfId="654" xr:uid="{00000000-0005-0000-0000-000097000000}"/>
    <cellStyle name="40% - Accent4 2 3 2 2" xfId="1524" xr:uid="{C2BBDFF6-04B8-47BE-B83A-7C89792861F8}"/>
    <cellStyle name="40% - Accent4 2 3 3" xfId="1108" xr:uid="{8855D40A-DD6E-4471-BFDF-112D3943EE05}"/>
    <cellStyle name="40% - Accent4 2 4" xfId="651" xr:uid="{00000000-0005-0000-0000-000098000000}"/>
    <cellStyle name="40% - Accent4 2 4 2" xfId="1521" xr:uid="{4E572EDB-0770-4340-A48B-73EC18D9FD28}"/>
    <cellStyle name="40% - Accent4 2 5" xfId="1105" xr:uid="{438FAF1C-DE79-4E71-8EE9-81778A96A831}"/>
    <cellStyle name="40% - Accent4 3" xfId="78" xr:uid="{00000000-0005-0000-0000-000099000000}"/>
    <cellStyle name="40% - Accent4 3 2" xfId="79" xr:uid="{00000000-0005-0000-0000-00009A000000}"/>
    <cellStyle name="40% - Accent4 3 2 2" xfId="656" xr:uid="{00000000-0005-0000-0000-00009B000000}"/>
    <cellStyle name="40% - Accent4 3 2 2 2" xfId="1526" xr:uid="{18681CA8-D559-458A-9DE9-AA21F929F7A9}"/>
    <cellStyle name="40% - Accent4 3 2 3" xfId="1110" xr:uid="{D371D6FA-2E23-48FB-91DB-3A3A461E40B8}"/>
    <cellStyle name="40% - Accent4 3 3" xfId="655" xr:uid="{00000000-0005-0000-0000-00009C000000}"/>
    <cellStyle name="40% - Accent4 3 3 2" xfId="1525" xr:uid="{0B301B84-F7B2-478D-9A51-2E115C194A76}"/>
    <cellStyle name="40% - Accent4 3 4" xfId="1109" xr:uid="{5FE2F7FB-723D-44C3-BEF8-19B5DB3CD76E}"/>
    <cellStyle name="40% - Accent4 4" xfId="80" xr:uid="{00000000-0005-0000-0000-00009D000000}"/>
    <cellStyle name="40% - Accent4 4 2" xfId="657" xr:uid="{00000000-0005-0000-0000-00009E000000}"/>
    <cellStyle name="40% - Accent4 4 2 2" xfId="1527" xr:uid="{66132B9F-B637-477B-9741-66CA9F0F7699}"/>
    <cellStyle name="40% - Accent4 4 3" xfId="1111" xr:uid="{9AE6D583-BC5F-4588-A9BD-92F6348FB489}"/>
    <cellStyle name="40% - Accent4 5" xfId="650" xr:uid="{00000000-0005-0000-0000-00009F000000}"/>
    <cellStyle name="40% - Accent4 5 2" xfId="1520" xr:uid="{0BE24D9D-5F70-44D6-AD2B-0AC6D4DAE784}"/>
    <cellStyle name="40% - Accent4 6" xfId="1104" xr:uid="{9A41B5CE-F0F4-42C7-ABA1-84B666A29F0E}"/>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991B4FEE-BFB8-4A8E-B4CB-363AAC875310}"/>
    <cellStyle name="40% - Accent5 2 2 2 3" xfId="1115" xr:uid="{A9AC257E-90E9-4740-9741-5E11C422C28E}"/>
    <cellStyle name="40% - Accent5 2 2 3" xfId="660" xr:uid="{00000000-0005-0000-0000-0000A5000000}"/>
    <cellStyle name="40% - Accent5 2 2 3 2" xfId="1530" xr:uid="{58928A28-5E80-4CFA-9730-4CE26A8F0E74}"/>
    <cellStyle name="40% - Accent5 2 2 4" xfId="1114" xr:uid="{5440FCB7-D195-4183-9014-B723A372F49D}"/>
    <cellStyle name="40% - Accent5 2 3" xfId="85" xr:uid="{00000000-0005-0000-0000-0000A6000000}"/>
    <cellStyle name="40% - Accent5 2 3 2" xfId="662" xr:uid="{00000000-0005-0000-0000-0000A7000000}"/>
    <cellStyle name="40% - Accent5 2 3 2 2" xfId="1532" xr:uid="{31AE9A7C-A10E-44A1-93D5-3520DA169C2C}"/>
    <cellStyle name="40% - Accent5 2 3 3" xfId="1116" xr:uid="{B5EB8827-0925-4A7F-919B-3E01CECD438F}"/>
    <cellStyle name="40% - Accent5 2 4" xfId="659" xr:uid="{00000000-0005-0000-0000-0000A8000000}"/>
    <cellStyle name="40% - Accent5 2 4 2" xfId="1529" xr:uid="{CBAA7613-421C-41DE-B227-4A49A1A941CC}"/>
    <cellStyle name="40% - Accent5 2 5" xfId="1113" xr:uid="{247A924C-A3E3-419B-8D47-16DDC74D5F6A}"/>
    <cellStyle name="40% - Accent5 3" xfId="86" xr:uid="{00000000-0005-0000-0000-0000A9000000}"/>
    <cellStyle name="40% - Accent5 3 2" xfId="87" xr:uid="{00000000-0005-0000-0000-0000AA000000}"/>
    <cellStyle name="40% - Accent5 3 2 2" xfId="664" xr:uid="{00000000-0005-0000-0000-0000AB000000}"/>
    <cellStyle name="40% - Accent5 3 2 2 2" xfId="1534" xr:uid="{D57694B1-1D8B-41E1-937D-77B9264C4303}"/>
    <cellStyle name="40% - Accent5 3 2 3" xfId="1118" xr:uid="{191EC00B-160C-46DE-9218-133147841768}"/>
    <cellStyle name="40% - Accent5 3 3" xfId="663" xr:uid="{00000000-0005-0000-0000-0000AC000000}"/>
    <cellStyle name="40% - Accent5 3 3 2" xfId="1533" xr:uid="{02A84576-0144-4EDA-A5C6-EB95FCB8A617}"/>
    <cellStyle name="40% - Accent5 3 4" xfId="1117" xr:uid="{DB7539D8-0672-4054-A644-10DE9AFA4BF1}"/>
    <cellStyle name="40% - Accent5 4" xfId="88" xr:uid="{00000000-0005-0000-0000-0000AD000000}"/>
    <cellStyle name="40% - Accent5 4 2" xfId="665" xr:uid="{00000000-0005-0000-0000-0000AE000000}"/>
    <cellStyle name="40% - Accent5 4 2 2" xfId="1535" xr:uid="{3269C63E-7065-4CF4-9C52-10ABC513F7C0}"/>
    <cellStyle name="40% - Accent5 4 3" xfId="1119" xr:uid="{8C3C3344-38E1-41F2-9587-CDE21BB009F3}"/>
    <cellStyle name="40% - Accent5 5" xfId="658" xr:uid="{00000000-0005-0000-0000-0000AF000000}"/>
    <cellStyle name="40% - Accent5 5 2" xfId="1528" xr:uid="{71A34A93-C435-4159-9253-41F26F240198}"/>
    <cellStyle name="40% - Accent5 6" xfId="1112" xr:uid="{00B24F29-1026-4A85-9E7F-3E5AC12173FC}"/>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9B638096-379D-4D9A-816E-BEB3FFFA2A7B}"/>
    <cellStyle name="40% - Accent6 2 2 2 3" xfId="1123" xr:uid="{48DAE553-842B-4683-8DCC-79B042AAD0B5}"/>
    <cellStyle name="40% - Accent6 2 2 3" xfId="668" xr:uid="{00000000-0005-0000-0000-0000B5000000}"/>
    <cellStyle name="40% - Accent6 2 2 3 2" xfId="1538" xr:uid="{9EB43307-55D5-439C-B9AC-E4D212DBAA3C}"/>
    <cellStyle name="40% - Accent6 2 2 4" xfId="1122" xr:uid="{C21FEC5A-9BCD-4FB7-8E55-6F4295D807EB}"/>
    <cellStyle name="40% - Accent6 2 3" xfId="93" xr:uid="{00000000-0005-0000-0000-0000B6000000}"/>
    <cellStyle name="40% - Accent6 2 3 2" xfId="670" xr:uid="{00000000-0005-0000-0000-0000B7000000}"/>
    <cellStyle name="40% - Accent6 2 3 2 2" xfId="1540" xr:uid="{BD8E2707-E62A-4A65-A5D2-DC62B73181B4}"/>
    <cellStyle name="40% - Accent6 2 3 3" xfId="1124" xr:uid="{5E65393E-7116-48BA-9975-BD33A6640BEA}"/>
    <cellStyle name="40% - Accent6 2 4" xfId="667" xr:uid="{00000000-0005-0000-0000-0000B8000000}"/>
    <cellStyle name="40% - Accent6 2 4 2" xfId="1537" xr:uid="{00499CC1-AA5C-460B-A8AC-DD34C8FD3269}"/>
    <cellStyle name="40% - Accent6 2 5" xfId="1121" xr:uid="{BCAA25C5-8BBC-4726-8993-5887D2DA9355}"/>
    <cellStyle name="40% - Accent6 3" xfId="94" xr:uid="{00000000-0005-0000-0000-0000B9000000}"/>
    <cellStyle name="40% - Accent6 3 2" xfId="95" xr:uid="{00000000-0005-0000-0000-0000BA000000}"/>
    <cellStyle name="40% - Accent6 3 2 2" xfId="672" xr:uid="{00000000-0005-0000-0000-0000BB000000}"/>
    <cellStyle name="40% - Accent6 3 2 2 2" xfId="1542" xr:uid="{27D4EFBD-8B41-4DF4-95AB-802F40BCAA04}"/>
    <cellStyle name="40% - Accent6 3 2 3" xfId="1126" xr:uid="{026AC004-4B69-449F-96D0-0DC607C73414}"/>
    <cellStyle name="40% - Accent6 3 3" xfId="671" xr:uid="{00000000-0005-0000-0000-0000BC000000}"/>
    <cellStyle name="40% - Accent6 3 3 2" xfId="1541" xr:uid="{A2F6A86E-C375-474A-B708-C7321D6F76B5}"/>
    <cellStyle name="40% - Accent6 3 4" xfId="1125" xr:uid="{38EFAF59-8C40-4272-85D5-AB6462CF5EDE}"/>
    <cellStyle name="40% - Accent6 4" xfId="96" xr:uid="{00000000-0005-0000-0000-0000BD000000}"/>
    <cellStyle name="40% - Accent6 4 2" xfId="673" xr:uid="{00000000-0005-0000-0000-0000BE000000}"/>
    <cellStyle name="40% - Accent6 4 2 2" xfId="1543" xr:uid="{D7D59939-3798-4B23-8AE1-3D1CD1685EE7}"/>
    <cellStyle name="40% - Accent6 4 3" xfId="1127" xr:uid="{FB38D4C9-CD42-402C-BFC1-52842873323C}"/>
    <cellStyle name="40% - Accent6 5" xfId="666" xr:uid="{00000000-0005-0000-0000-0000BF000000}"/>
    <cellStyle name="40% - Accent6 5 2" xfId="1536" xr:uid="{B6A5B65F-3FBA-465D-A369-6F73FDDC5AFC}"/>
    <cellStyle name="40% - Accent6 6" xfId="1120" xr:uid="{0260CC7E-7FE0-47AD-88E1-EA13FCF86AF7}"/>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3DD69B88-649E-41AE-A34C-4F3F439F6F85}"/>
    <cellStyle name="Comma 4 2 2 2 2 2 3" xfId="1130" xr:uid="{D27A6054-FAEA-4678-A6D1-799CFD7CED9F}"/>
    <cellStyle name="Comma 4 2 2 2 2 3" xfId="675" xr:uid="{00000000-0005-0000-0000-0000E3000000}"/>
    <cellStyle name="Comma 4 2 2 2 2 3 2" xfId="1545" xr:uid="{47DB4290-0E24-4314-AEDA-DB033027CDDC}"/>
    <cellStyle name="Comma 4 2 2 2 2 4" xfId="1129" xr:uid="{B0A8AE64-F23C-437E-869D-8F4C3B7820B3}"/>
    <cellStyle name="Comma 4 2 2 2 3" xfId="131" xr:uid="{00000000-0005-0000-0000-0000E4000000}"/>
    <cellStyle name="Comma 4 2 2 2 3 2" xfId="677" xr:uid="{00000000-0005-0000-0000-0000E5000000}"/>
    <cellStyle name="Comma 4 2 2 2 3 2 2" xfId="1547" xr:uid="{BF5DC5FA-9099-401F-9476-D71A93DA594E}"/>
    <cellStyle name="Comma 4 2 2 2 3 3" xfId="1131" xr:uid="{BFE5F15F-16BD-483B-B8A2-67AE526787FF}"/>
    <cellStyle name="Comma 4 2 2 2 4" xfId="674" xr:uid="{00000000-0005-0000-0000-0000E6000000}"/>
    <cellStyle name="Comma 4 2 2 2 4 2" xfId="1544" xr:uid="{353B2732-3B06-44E6-A1F9-44BE38CD8D6F}"/>
    <cellStyle name="Comma 4 2 2 2 5" xfId="1128" xr:uid="{C5B1A389-E9B7-4F07-8C42-7090BADFBDFC}"/>
    <cellStyle name="Comma 4 2 2 3" xfId="132" xr:uid="{00000000-0005-0000-0000-0000E7000000}"/>
    <cellStyle name="Comma 4 2 2 3 2" xfId="133" xr:uid="{00000000-0005-0000-0000-0000E8000000}"/>
    <cellStyle name="Comma 4 2 2 3 2 2" xfId="679" xr:uid="{00000000-0005-0000-0000-0000E9000000}"/>
    <cellStyle name="Comma 4 2 2 3 2 2 2" xfId="1549" xr:uid="{D2EAA2AC-4FB9-4CC2-808F-3CDE63EC0B0F}"/>
    <cellStyle name="Comma 4 2 2 3 2 3" xfId="1133" xr:uid="{74763BB1-6AA0-4284-9798-7597C5DB0B8B}"/>
    <cellStyle name="Comma 4 2 2 3 3" xfId="678" xr:uid="{00000000-0005-0000-0000-0000EA000000}"/>
    <cellStyle name="Comma 4 2 2 3 3 2" xfId="1548" xr:uid="{7CE3CE1A-CBE1-413D-AB04-07A9777F70DA}"/>
    <cellStyle name="Comma 4 2 2 3 4" xfId="1132" xr:uid="{FB988DEF-9072-434E-8AB2-8075CA8E15C4}"/>
    <cellStyle name="Comma 4 2 2 4" xfId="134" xr:uid="{00000000-0005-0000-0000-0000EB000000}"/>
    <cellStyle name="Comma 4 2 2 4 2" xfId="680" xr:uid="{00000000-0005-0000-0000-0000EC000000}"/>
    <cellStyle name="Comma 4 2 2 4 2 2" xfId="1550" xr:uid="{30279F38-1BF4-41F2-BCA9-E4CF5937516F}"/>
    <cellStyle name="Comma 4 2 2 4 3" xfId="1134" xr:uid="{6A33E713-92E2-4CE5-87F5-1509768F607A}"/>
    <cellStyle name="Comma 4 2 2 5" xfId="135" xr:uid="{00000000-0005-0000-0000-0000ED000000}"/>
    <cellStyle name="Comma 4 2 2 5 2" xfId="681" xr:uid="{00000000-0005-0000-0000-0000EE000000}"/>
    <cellStyle name="Comma 4 2 2 5 2 2" xfId="1551" xr:uid="{C2C47C29-EF8E-42B0-83A6-A5576C7DC8AA}"/>
    <cellStyle name="Comma 4 2 2 5 3" xfId="1135" xr:uid="{817546CC-77BD-4403-8F5D-49B1F8ECD824}"/>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284FB72D-110D-4205-8F5D-D6A9D2DA5DF1}"/>
    <cellStyle name="Comma 4 2 3 2 2 3" xfId="1138" xr:uid="{7D9BEF3B-09A9-451E-9E97-2E50A9E370F2}"/>
    <cellStyle name="Comma 4 2 3 2 3" xfId="683" xr:uid="{00000000-0005-0000-0000-0000F3000000}"/>
    <cellStyle name="Comma 4 2 3 2 3 2" xfId="1553" xr:uid="{B228DD82-75A6-41B8-8393-EC48901C0D46}"/>
    <cellStyle name="Comma 4 2 3 2 4" xfId="1137" xr:uid="{5F3D2C11-1AFB-41DC-A9CE-C47A72401DC3}"/>
    <cellStyle name="Comma 4 2 3 3" xfId="139" xr:uid="{00000000-0005-0000-0000-0000F4000000}"/>
    <cellStyle name="Comma 4 2 3 3 2" xfId="685" xr:uid="{00000000-0005-0000-0000-0000F5000000}"/>
    <cellStyle name="Comma 4 2 3 3 2 2" xfId="1555" xr:uid="{8E1BA1F3-8B26-468E-9BB2-5932809072F8}"/>
    <cellStyle name="Comma 4 2 3 3 3" xfId="1139" xr:uid="{0FC75FFE-D155-4D62-AC9B-87C4E811F108}"/>
    <cellStyle name="Comma 4 2 3 4" xfId="682" xr:uid="{00000000-0005-0000-0000-0000F6000000}"/>
    <cellStyle name="Comma 4 2 3 4 2" xfId="1552" xr:uid="{026BB617-4E54-47CE-AE31-440BA0C797DD}"/>
    <cellStyle name="Comma 4 2 3 5" xfId="1136" xr:uid="{F2C63B00-A9BD-4243-893F-1FEF9C899B5D}"/>
    <cellStyle name="Comma 4 2 4" xfId="140" xr:uid="{00000000-0005-0000-0000-0000F7000000}"/>
    <cellStyle name="Comma 4 2 4 2" xfId="141" xr:uid="{00000000-0005-0000-0000-0000F8000000}"/>
    <cellStyle name="Comma 4 2 4 2 2" xfId="687" xr:uid="{00000000-0005-0000-0000-0000F9000000}"/>
    <cellStyle name="Comma 4 2 4 2 2 2" xfId="1557" xr:uid="{FFCF725C-604F-4DB9-80D2-3C6089C9BB80}"/>
    <cellStyle name="Comma 4 2 4 2 3" xfId="1141" xr:uid="{7E098A41-C064-454C-AF90-CCE5CB19A068}"/>
    <cellStyle name="Comma 4 2 4 3" xfId="686" xr:uid="{00000000-0005-0000-0000-0000FA000000}"/>
    <cellStyle name="Comma 4 2 4 3 2" xfId="1556" xr:uid="{8D3E1E67-CF63-4455-A2F2-6B512954A950}"/>
    <cellStyle name="Comma 4 2 4 4" xfId="1140" xr:uid="{7DE71359-2189-45EE-B0CC-DC6C0E4A7AC2}"/>
    <cellStyle name="Comma 4 2 5" xfId="142" xr:uid="{00000000-0005-0000-0000-0000FB000000}"/>
    <cellStyle name="Comma 4 2 5 2" xfId="688" xr:uid="{00000000-0005-0000-0000-0000FC000000}"/>
    <cellStyle name="Comma 4 2 5 2 2" xfId="1558" xr:uid="{737D5DC8-FA57-48B9-9AD6-61FDAD0FA661}"/>
    <cellStyle name="Comma 4 2 5 3" xfId="1142" xr:uid="{5AF6B829-004A-4B1D-92BA-3E905506A5AB}"/>
    <cellStyle name="Comma 4 2 6" xfId="143" xr:uid="{00000000-0005-0000-0000-0000FD000000}"/>
    <cellStyle name="Comma 4 2 6 2" xfId="689" xr:uid="{00000000-0005-0000-0000-0000FE000000}"/>
    <cellStyle name="Comma 4 2 6 2 2" xfId="1559" xr:uid="{4FD1268D-2D35-4E91-B17D-FD574325DD0B}"/>
    <cellStyle name="Comma 4 2 6 3" xfId="1143" xr:uid="{D91EDAD3-4932-4F5B-88D3-31DDF9646322}"/>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BBA7E18B-68F4-4760-A670-8FA172D934AA}"/>
    <cellStyle name="Comma 4 3 2 2 2 3" xfId="1146" xr:uid="{75BECD28-AE6A-48FE-9A6F-ECFFF4906494}"/>
    <cellStyle name="Comma 4 3 2 2 3" xfId="691" xr:uid="{00000000-0005-0000-0000-000004010000}"/>
    <cellStyle name="Comma 4 3 2 2 3 2" xfId="1561" xr:uid="{5F2CC991-E8BC-4A7A-A2D1-09EC9B68AAC9}"/>
    <cellStyle name="Comma 4 3 2 2 4" xfId="1145" xr:uid="{6942B595-927C-4967-BE89-9F5B8A4EAA24}"/>
    <cellStyle name="Comma 4 3 2 3" xfId="148" xr:uid="{00000000-0005-0000-0000-000005010000}"/>
    <cellStyle name="Comma 4 3 2 3 2" xfId="693" xr:uid="{00000000-0005-0000-0000-000006010000}"/>
    <cellStyle name="Comma 4 3 2 3 2 2" xfId="1563" xr:uid="{FBAB7052-1379-4A32-8A59-4B4B2580AAF9}"/>
    <cellStyle name="Comma 4 3 2 3 3" xfId="1147" xr:uid="{7E54A26A-B5AE-458E-A84A-715D5F6069E3}"/>
    <cellStyle name="Comma 4 3 2 4" xfId="690" xr:uid="{00000000-0005-0000-0000-000007010000}"/>
    <cellStyle name="Comma 4 3 2 4 2" xfId="1560" xr:uid="{6EACE6EC-5DE4-4913-8C14-2BA5489C943E}"/>
    <cellStyle name="Comma 4 3 2 5" xfId="1144" xr:uid="{F984CC09-7803-46EA-9E7C-EA345BF934BE}"/>
    <cellStyle name="Comma 4 3 3" xfId="149" xr:uid="{00000000-0005-0000-0000-000008010000}"/>
    <cellStyle name="Comma 4 3 3 2" xfId="150" xr:uid="{00000000-0005-0000-0000-000009010000}"/>
    <cellStyle name="Comma 4 3 3 2 2" xfId="695" xr:uid="{00000000-0005-0000-0000-00000A010000}"/>
    <cellStyle name="Comma 4 3 3 2 2 2" xfId="1565" xr:uid="{0342B58A-7566-4648-A225-D9084A39FEF0}"/>
    <cellStyle name="Comma 4 3 3 2 3" xfId="1149" xr:uid="{1403F180-A5C4-411F-90B6-6690528E7956}"/>
    <cellStyle name="Comma 4 3 3 3" xfId="694" xr:uid="{00000000-0005-0000-0000-00000B010000}"/>
    <cellStyle name="Comma 4 3 3 3 2" xfId="1564" xr:uid="{F99C4E41-6273-4FD0-8F85-F4FA38D171B1}"/>
    <cellStyle name="Comma 4 3 3 4" xfId="1148" xr:uid="{4AC81A6E-422D-41C0-9BF4-6611EB05E378}"/>
    <cellStyle name="Comma 4 3 4" xfId="151" xr:uid="{00000000-0005-0000-0000-00000C010000}"/>
    <cellStyle name="Comma 4 3 4 2" xfId="696" xr:uid="{00000000-0005-0000-0000-00000D010000}"/>
    <cellStyle name="Comma 4 3 4 2 2" xfId="1566" xr:uid="{6198C396-F59C-4825-9B2F-25120AA0350E}"/>
    <cellStyle name="Comma 4 3 4 3" xfId="1150" xr:uid="{6629B0D4-258E-48AB-828F-B840971063BB}"/>
    <cellStyle name="Comma 4 3 5" xfId="152" xr:uid="{00000000-0005-0000-0000-00000E010000}"/>
    <cellStyle name="Comma 4 3 5 2" xfId="697" xr:uid="{00000000-0005-0000-0000-00000F010000}"/>
    <cellStyle name="Comma 4 3 5 2 2" xfId="1567" xr:uid="{E650B87A-B699-4E47-B21E-88E6FD7E36A5}"/>
    <cellStyle name="Comma 4 3 5 3" xfId="1151" xr:uid="{DDA94095-8971-48EF-B113-C126F89D84B4}"/>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55489A3F-969C-4973-9D9A-C6BFB9ED241B}"/>
    <cellStyle name="Comma 4 4 2 2 3" xfId="1154" xr:uid="{31894D0D-68DF-40FC-B562-3146F117DBE6}"/>
    <cellStyle name="Comma 4 4 2 3" xfId="699" xr:uid="{00000000-0005-0000-0000-000014010000}"/>
    <cellStyle name="Comma 4 4 2 3 2" xfId="1569" xr:uid="{63F93B6F-83FD-4E91-9CEB-B60DE2A13541}"/>
    <cellStyle name="Comma 4 4 2 4" xfId="1153" xr:uid="{A0EEFC16-3AB8-4B8A-8703-63ADAAA3C24E}"/>
    <cellStyle name="Comma 4 4 3" xfId="156" xr:uid="{00000000-0005-0000-0000-000015010000}"/>
    <cellStyle name="Comma 4 4 3 2" xfId="701" xr:uid="{00000000-0005-0000-0000-000016010000}"/>
    <cellStyle name="Comma 4 4 3 2 2" xfId="1571" xr:uid="{E20350F4-D49E-46FC-B58B-9837296C0381}"/>
    <cellStyle name="Comma 4 4 3 3" xfId="1155" xr:uid="{7F21A4AD-DF1F-4A32-91D3-932DFDFDEA99}"/>
    <cellStyle name="Comma 4 4 4" xfId="698" xr:uid="{00000000-0005-0000-0000-000017010000}"/>
    <cellStyle name="Comma 4 4 4 2" xfId="1568" xr:uid="{34B4E106-33A1-43C2-A364-1CEDEC4A8A4D}"/>
    <cellStyle name="Comma 4 4 5" xfId="1152" xr:uid="{A6918280-D814-4A0C-B764-30A37C9F0119}"/>
    <cellStyle name="Comma 4 5" xfId="157" xr:uid="{00000000-0005-0000-0000-000018010000}"/>
    <cellStyle name="Comma 4 5 2" xfId="158" xr:uid="{00000000-0005-0000-0000-000019010000}"/>
    <cellStyle name="Comma 4 5 2 2" xfId="703" xr:uid="{00000000-0005-0000-0000-00001A010000}"/>
    <cellStyle name="Comma 4 5 2 2 2" xfId="1573" xr:uid="{F9CC694F-FC83-43AD-88DB-4C2E240B7B46}"/>
    <cellStyle name="Comma 4 5 2 3" xfId="1157" xr:uid="{5E97D486-CE13-4794-83B2-5CC183ABAA9B}"/>
    <cellStyle name="Comma 4 5 3" xfId="702" xr:uid="{00000000-0005-0000-0000-00001B010000}"/>
    <cellStyle name="Comma 4 5 3 2" xfId="1572" xr:uid="{E6AE2BAF-EA98-413E-B9D4-40D415ACC777}"/>
    <cellStyle name="Comma 4 5 4" xfId="1156" xr:uid="{75080D73-2CDE-41D8-8651-9FCA697DCD81}"/>
    <cellStyle name="Comma 4 6" xfId="159" xr:uid="{00000000-0005-0000-0000-00001C010000}"/>
    <cellStyle name="Comma 4 6 2" xfId="704" xr:uid="{00000000-0005-0000-0000-00001D010000}"/>
    <cellStyle name="Comma 4 6 2 2" xfId="1574" xr:uid="{D4D08AE5-E575-444C-BD73-78EAC69DAEB6}"/>
    <cellStyle name="Comma 4 6 3" xfId="1158" xr:uid="{38D7CA6B-E065-4CBA-BE9F-3ED4E4F6F724}"/>
    <cellStyle name="Comma 4 7" xfId="160" xr:uid="{00000000-0005-0000-0000-00001E010000}"/>
    <cellStyle name="Comma 4 7 2" xfId="705" xr:uid="{00000000-0005-0000-0000-00001F010000}"/>
    <cellStyle name="Comma 4 7 2 2" xfId="1575" xr:uid="{C2F610B2-46D0-4DE5-9D63-318FD6C3B931}"/>
    <cellStyle name="Comma 4 7 3" xfId="1159" xr:uid="{C8C00AD4-2A80-4475-9D3B-A9C177C5DF25}"/>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E46AE8F0-B647-4B1E-A7B0-3218CBF0A7CB}"/>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408E04A5-DD3E-484E-AD61-87A58E7D4A9C}"/>
    <cellStyle name="Currency 3 2 2 2 2 3" xfId="1162" xr:uid="{B36B4BDE-6709-4ECC-AA6D-B541ADAEBA4D}"/>
    <cellStyle name="Currency 3 2 2 2 3" xfId="716" xr:uid="{00000000-0005-0000-0000-000040010000}"/>
    <cellStyle name="Currency 3 2 2 2 3 2" xfId="1577" xr:uid="{40E31636-1E93-49B1-9FBD-AE3B604A8909}"/>
    <cellStyle name="Currency 3 2 2 2 4" xfId="1161" xr:uid="{3B001977-6B54-4721-902F-3B276E814848}"/>
    <cellStyle name="Currency 3 2 2 3" xfId="182" xr:uid="{00000000-0005-0000-0000-000041010000}"/>
    <cellStyle name="Currency 3 2 2 3 2" xfId="718" xr:uid="{00000000-0005-0000-0000-000042010000}"/>
    <cellStyle name="Currency 3 2 2 3 2 2" xfId="1579" xr:uid="{A2967E24-4426-49E4-8B17-D29614846DA3}"/>
    <cellStyle name="Currency 3 2 2 3 3" xfId="1163" xr:uid="{5C47D749-B31F-4637-A478-3DAA6D60F476}"/>
    <cellStyle name="Currency 3 2 2 4" xfId="715" xr:uid="{00000000-0005-0000-0000-000043010000}"/>
    <cellStyle name="Currency 3 2 2 4 2" xfId="1576" xr:uid="{3B684197-5181-4230-8A64-8A07C93C12CA}"/>
    <cellStyle name="Currency 3 2 2 5" xfId="1160" xr:uid="{0901DA18-2950-457E-AB4D-6AD38F8E6A6B}"/>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E9E074B0-DC84-487D-B497-85D6C1C17649}"/>
    <cellStyle name="Currency 3 2 3 2 3" xfId="1165" xr:uid="{D026A88A-CEC6-4C83-9559-6DF77ACB5D13}"/>
    <cellStyle name="Currency 3 2 3 3" xfId="719" xr:uid="{00000000-0005-0000-0000-000047010000}"/>
    <cellStyle name="Currency 3 2 3 3 2" xfId="1580" xr:uid="{6CA359CF-2313-452E-BD62-FEBD1D7A759F}"/>
    <cellStyle name="Currency 3 2 3 4" xfId="1164" xr:uid="{B1226089-92A4-494A-B039-82C6EF7C3344}"/>
    <cellStyle name="Currency 3 2 4" xfId="185" xr:uid="{00000000-0005-0000-0000-000048010000}"/>
    <cellStyle name="Currency 3 2 4 2" xfId="721" xr:uid="{00000000-0005-0000-0000-000049010000}"/>
    <cellStyle name="Currency 3 2 4 2 2" xfId="1582" xr:uid="{BA7DA712-9937-448F-BE67-9B361EABCC8A}"/>
    <cellStyle name="Currency 3 2 4 3" xfId="1166" xr:uid="{8B0F67EF-8A6A-4BC9-BE09-839B4A94A357}"/>
    <cellStyle name="Currency 3 2 5" xfId="186" xr:uid="{00000000-0005-0000-0000-00004A010000}"/>
    <cellStyle name="Currency 3 2 5 2" xfId="722" xr:uid="{00000000-0005-0000-0000-00004B010000}"/>
    <cellStyle name="Currency 3 2 5 2 2" xfId="1583" xr:uid="{DE4F2A9F-F472-45D2-9247-7FE8E0A48102}"/>
    <cellStyle name="Currency 3 2 5 3" xfId="1167" xr:uid="{B353B7DB-DBA3-4D0A-9EA8-2F2B0AEC39BC}"/>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51E2C4FA-2A8B-4EE2-A577-316A72461E5E}"/>
    <cellStyle name="Currency 5 2 2 2 2 2 3" xfId="1170" xr:uid="{4BDCF942-CBF6-4B06-B429-CCE763AC84A1}"/>
    <cellStyle name="Currency 5 2 2 2 2 3" xfId="731" xr:uid="{00000000-0005-0000-0000-00005F010000}"/>
    <cellStyle name="Currency 5 2 2 2 2 3 2" xfId="1585" xr:uid="{28CD4103-D3B4-4681-84A7-0A138640F850}"/>
    <cellStyle name="Currency 5 2 2 2 2 4" xfId="1169" xr:uid="{5461E570-8F56-4A52-93CF-D462F32C6C78}"/>
    <cellStyle name="Currency 5 2 2 2 3" xfId="200" xr:uid="{00000000-0005-0000-0000-000060010000}"/>
    <cellStyle name="Currency 5 2 2 2 3 2" xfId="733" xr:uid="{00000000-0005-0000-0000-000061010000}"/>
    <cellStyle name="Currency 5 2 2 2 3 2 2" xfId="1587" xr:uid="{56C601E5-29B7-4B7F-9B99-1111A7F4F57A}"/>
    <cellStyle name="Currency 5 2 2 2 3 3" xfId="1171" xr:uid="{9F4CDD99-AFB7-48D6-9C8F-1C734CBB0C4C}"/>
    <cellStyle name="Currency 5 2 2 2 4" xfId="730" xr:uid="{00000000-0005-0000-0000-000062010000}"/>
    <cellStyle name="Currency 5 2 2 2 4 2" xfId="1584" xr:uid="{845304F4-9B30-4BC7-9B50-BDD314434FAE}"/>
    <cellStyle name="Currency 5 2 2 2 5" xfId="1168" xr:uid="{ECB0F251-B442-4868-B34C-8B2CE1726902}"/>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85D2E088-7797-476B-B03E-760681F8F094}"/>
    <cellStyle name="Currency 5 2 2 3 2 3" xfId="1173" xr:uid="{6BD12E8D-4780-4442-B91D-680ED44EF5E3}"/>
    <cellStyle name="Currency 5 2 2 3 3" xfId="734" xr:uid="{00000000-0005-0000-0000-000066010000}"/>
    <cellStyle name="Currency 5 2 2 3 3 2" xfId="1588" xr:uid="{9526F2E7-E7E1-498D-AEE0-A882BE548751}"/>
    <cellStyle name="Currency 5 2 2 3 4" xfId="1172" xr:uid="{EEFD1774-D080-422D-B1E9-CE7003F8E85C}"/>
    <cellStyle name="Currency 5 2 2 4" xfId="203" xr:uid="{00000000-0005-0000-0000-000067010000}"/>
    <cellStyle name="Currency 5 2 2 4 2" xfId="736" xr:uid="{00000000-0005-0000-0000-000068010000}"/>
    <cellStyle name="Currency 5 2 2 4 2 2" xfId="1590" xr:uid="{E2D2A626-52DE-4A45-BBCC-5577C01C4588}"/>
    <cellStyle name="Currency 5 2 2 4 3" xfId="1174" xr:uid="{F85E1FA4-0BA2-4550-B1C6-702E785D23A4}"/>
    <cellStyle name="Currency 5 2 2 5" xfId="204" xr:uid="{00000000-0005-0000-0000-000069010000}"/>
    <cellStyle name="Currency 5 2 2 5 2" xfId="737" xr:uid="{00000000-0005-0000-0000-00006A010000}"/>
    <cellStyle name="Currency 5 2 2 5 2 2" xfId="1591" xr:uid="{CBA43DA8-6883-471C-9A7C-45CDA987556E}"/>
    <cellStyle name="Currency 5 2 2 5 3" xfId="1175" xr:uid="{F95D8E63-37C6-49C1-A8C9-1F54BA2A050C}"/>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D6D086F8-5B58-4B2B-8C5B-0F675721C29F}"/>
    <cellStyle name="Currency 5 2 4 2 3" xfId="1177" xr:uid="{8F467B9A-E629-460C-AEC6-62490F5CDABE}"/>
    <cellStyle name="Currency 5 2 4 3" xfId="739" xr:uid="{00000000-0005-0000-0000-000070010000}"/>
    <cellStyle name="Currency 5 2 4 3 2" xfId="1592" xr:uid="{F4A17B07-4BC4-46C0-9BA3-FFBDB02DEDCB}"/>
    <cellStyle name="Currency 5 2 4 4" xfId="1176" xr:uid="{0E663D45-57E0-4643-87B3-1B63D07865A0}"/>
    <cellStyle name="Currency 5 2 5" xfId="208" xr:uid="{00000000-0005-0000-0000-000071010000}"/>
    <cellStyle name="Currency 5 2 5 2" xfId="741" xr:uid="{00000000-0005-0000-0000-000072010000}"/>
    <cellStyle name="Currency 5 2 5 2 2" xfId="1594" xr:uid="{3B630CA2-9761-4B84-85E2-47593578EAE7}"/>
    <cellStyle name="Currency 5 2 5 3" xfId="1178" xr:uid="{A687C061-9F04-4EBB-A1B6-A69C3DD038E6}"/>
    <cellStyle name="Currency 5 2 6" xfId="209" xr:uid="{00000000-0005-0000-0000-000073010000}"/>
    <cellStyle name="Currency 5 2 6 2" xfId="742" xr:uid="{00000000-0005-0000-0000-000074010000}"/>
    <cellStyle name="Currency 5 2 6 2 2" xfId="1595" xr:uid="{DE68FE7E-5E9D-4576-876C-D04CB34817F3}"/>
    <cellStyle name="Currency 5 2 6 3" xfId="1179" xr:uid="{962AAEB5-AE15-4A99-BA42-B18F3B5DEBA2}"/>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61392B42-49F2-4149-8058-8571568012F4}"/>
    <cellStyle name="Currency 5 3 2 2 2 3" xfId="1182" xr:uid="{3CAB8D8E-E2DE-47A8-BA61-CA17B787299F}"/>
    <cellStyle name="Currency 5 3 2 2 3" xfId="744" xr:uid="{00000000-0005-0000-0000-00007B010000}"/>
    <cellStyle name="Currency 5 3 2 2 3 2" xfId="1597" xr:uid="{D91B70FF-C10B-4165-8F47-BA34F9447267}"/>
    <cellStyle name="Currency 5 3 2 2 4" xfId="1181" xr:uid="{03493C8D-F145-4EBB-A039-7E7E7324F9B9}"/>
    <cellStyle name="Currency 5 3 2 3" xfId="214" xr:uid="{00000000-0005-0000-0000-00007C010000}"/>
    <cellStyle name="Currency 5 3 2 3 2" xfId="746" xr:uid="{00000000-0005-0000-0000-00007D010000}"/>
    <cellStyle name="Currency 5 3 2 3 2 2" xfId="1599" xr:uid="{DADC828E-994B-47DD-994B-DE957C88F704}"/>
    <cellStyle name="Currency 5 3 2 3 3" xfId="1183" xr:uid="{70427572-FDD9-4044-BD25-4E6CBAB0C386}"/>
    <cellStyle name="Currency 5 3 2 4" xfId="743" xr:uid="{00000000-0005-0000-0000-00007E010000}"/>
    <cellStyle name="Currency 5 3 2 4 2" xfId="1596" xr:uid="{6AC74E52-5AE7-4A45-8D65-67B05F575C34}"/>
    <cellStyle name="Currency 5 3 2 5" xfId="1180" xr:uid="{57AD6DED-0D41-4DCE-9F7F-CC8C595B89D2}"/>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2FB90057-C5D7-488D-ACE7-0FBE6C62EEA6}"/>
    <cellStyle name="Currency 5 3 3 2 3" xfId="1185" xr:uid="{496EADF6-ABA6-4DD6-8854-54A9863849B8}"/>
    <cellStyle name="Currency 5 3 3 3" xfId="747" xr:uid="{00000000-0005-0000-0000-000082010000}"/>
    <cellStyle name="Currency 5 3 3 3 2" xfId="1600" xr:uid="{1613A417-32C4-4156-9D68-1CEFC108740F}"/>
    <cellStyle name="Currency 5 3 3 4" xfId="1184" xr:uid="{58E6D4CF-4E62-4E9C-8A01-DEB73D76C564}"/>
    <cellStyle name="Currency 5 3 4" xfId="217" xr:uid="{00000000-0005-0000-0000-000083010000}"/>
    <cellStyle name="Currency 5 3 4 2" xfId="749" xr:uid="{00000000-0005-0000-0000-000084010000}"/>
    <cellStyle name="Currency 5 3 4 2 2" xfId="1602" xr:uid="{49AC64FC-5697-4110-8A9D-BBFBAE85A5F4}"/>
    <cellStyle name="Currency 5 3 4 3" xfId="1186" xr:uid="{A322FCD2-D9BC-4841-BF8E-AC1744DC655C}"/>
    <cellStyle name="Currency 5 3 5" xfId="218" xr:uid="{00000000-0005-0000-0000-000085010000}"/>
    <cellStyle name="Currency 5 3 5 2" xfId="750" xr:uid="{00000000-0005-0000-0000-000086010000}"/>
    <cellStyle name="Currency 5 3 5 2 2" xfId="1603" xr:uid="{91285745-E536-4C52-B6B4-352A91CF3823}"/>
    <cellStyle name="Currency 5 3 5 3" xfId="1187" xr:uid="{E1BD4D04-DEB4-4555-B1C7-25B553636FAE}"/>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AEBD6A58-7C72-4E94-B12A-90D694F55C91}"/>
    <cellStyle name="Currency 5 5 2 3" xfId="1189" xr:uid="{3105D1B1-C83C-4056-B751-2182F919CE1C}"/>
    <cellStyle name="Currency 5 5 3" xfId="752" xr:uid="{00000000-0005-0000-0000-00008C010000}"/>
    <cellStyle name="Currency 5 5 3 2" xfId="1604" xr:uid="{1D28A01D-314A-42BD-9DA1-BAA81638FA8E}"/>
    <cellStyle name="Currency 5 5 4" xfId="1188" xr:uid="{FA49B21B-1856-4913-8A2F-B0B99FB93F96}"/>
    <cellStyle name="Currency 5 6" xfId="222" xr:uid="{00000000-0005-0000-0000-00008D010000}"/>
    <cellStyle name="Currency 5 6 2" xfId="754" xr:uid="{00000000-0005-0000-0000-00008E010000}"/>
    <cellStyle name="Currency 5 6 2 2" xfId="1606" xr:uid="{C1F084DC-8EDA-45B3-8CC5-11DED92FEE20}"/>
    <cellStyle name="Currency 5 6 3" xfId="1190" xr:uid="{2A0F0D78-F7B2-4803-986A-C068C4F21FE8}"/>
    <cellStyle name="Currency 5 7" xfId="223" xr:uid="{00000000-0005-0000-0000-00008F010000}"/>
    <cellStyle name="Currency 5 7 2" xfId="755" xr:uid="{00000000-0005-0000-0000-000090010000}"/>
    <cellStyle name="Currency 5 7 2 2" xfId="1607" xr:uid="{3C425D49-3BC2-4920-857C-0AC3EEE03305}"/>
    <cellStyle name="Currency 5 7 3" xfId="1191" xr:uid="{89165FDC-608B-48EB-A76E-61475F6ABEB5}"/>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2BCDA865-AEC4-4534-898A-CF6B4802FEF0}"/>
    <cellStyle name="Normal 12 2 2 2 3" xfId="1195" xr:uid="{4F077BC9-75DC-44FE-89E1-23814671D932}"/>
    <cellStyle name="Normal 12 2 2 3" xfId="770" xr:uid="{00000000-0005-0000-0000-0000C9010000}"/>
    <cellStyle name="Normal 12 2 2 3 2" xfId="1610" xr:uid="{4DAB2D1D-D9A3-4FC0-83EB-F7565CCC98EC}"/>
    <cellStyle name="Normal 12 2 2 4" xfId="1194" xr:uid="{02A80421-4ADA-44DB-AE41-172B372934D6}"/>
    <cellStyle name="Normal 12 2 3" xfId="265" xr:uid="{00000000-0005-0000-0000-0000CA010000}"/>
    <cellStyle name="Normal 12 2 3 2" xfId="772" xr:uid="{00000000-0005-0000-0000-0000CB010000}"/>
    <cellStyle name="Normal 12 2 3 2 2" xfId="1612" xr:uid="{3BF5A3B3-9B38-4ADD-9D23-848526EF75F0}"/>
    <cellStyle name="Normal 12 2 3 3" xfId="1196" xr:uid="{2B4E8E40-FEC6-416F-B901-45A2088078AA}"/>
    <cellStyle name="Normal 12 2 4" xfId="769" xr:uid="{00000000-0005-0000-0000-0000CC010000}"/>
    <cellStyle name="Normal 12 2 4 2" xfId="1609" xr:uid="{3E7EBC1F-507E-48D2-A750-85CE79B7F280}"/>
    <cellStyle name="Normal 12 2 5" xfId="1193" xr:uid="{C057B2DD-47CD-421B-AED6-CA0A523CF364}"/>
    <cellStyle name="Normal 12 3" xfId="266" xr:uid="{00000000-0005-0000-0000-0000CD010000}"/>
    <cellStyle name="Normal 12 3 2" xfId="267" xr:uid="{00000000-0005-0000-0000-0000CE010000}"/>
    <cellStyle name="Normal 12 3 2 2" xfId="774" xr:uid="{00000000-0005-0000-0000-0000CF010000}"/>
    <cellStyle name="Normal 12 3 2 2 2" xfId="1614" xr:uid="{29BA4A80-6239-46D1-972B-983D40C72A3D}"/>
    <cellStyle name="Normal 12 3 2 3" xfId="1198" xr:uid="{32E82BF6-50A1-417D-ABEE-4AC489966251}"/>
    <cellStyle name="Normal 12 3 3" xfId="773" xr:uid="{00000000-0005-0000-0000-0000D0010000}"/>
    <cellStyle name="Normal 12 3 3 2" xfId="1613" xr:uid="{656C14FD-64E9-44A5-9562-40471C2B20BF}"/>
    <cellStyle name="Normal 12 3 4" xfId="1197" xr:uid="{269CB457-182D-42E5-9ACD-11EC5857E438}"/>
    <cellStyle name="Normal 12 4" xfId="268" xr:uid="{00000000-0005-0000-0000-0000D1010000}"/>
    <cellStyle name="Normal 12 4 2" xfId="775" xr:uid="{00000000-0005-0000-0000-0000D2010000}"/>
    <cellStyle name="Normal 12 4 2 2" xfId="1615" xr:uid="{CBFE6FBD-723C-45F3-91C0-6870CBF92F7D}"/>
    <cellStyle name="Normal 12 4 3" xfId="1199" xr:uid="{56586774-820F-467E-94F5-1AA0086B5F2C}"/>
    <cellStyle name="Normal 12 5" xfId="269" xr:uid="{00000000-0005-0000-0000-0000D3010000}"/>
    <cellStyle name="Normal 12 6" xfId="768" xr:uid="{00000000-0005-0000-0000-0000D4010000}"/>
    <cellStyle name="Normal 12 6 2" xfId="1608" xr:uid="{29B6203F-77FA-4A34-BEB9-6C689A64C739}"/>
    <cellStyle name="Normal 12 7" xfId="1192" xr:uid="{D2793CC9-03E7-4221-9A4A-11EE3F1FA2C9}"/>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9899364C-755D-44D6-9EAB-1C46C9C7F96B}"/>
    <cellStyle name="Normal 14 3" xfId="1200" xr:uid="{9F071E3D-4EA0-4051-8478-29B27F1F59BA}"/>
    <cellStyle name="Normal 15" xfId="575" xr:uid="{00000000-0005-0000-0000-0000D9010000}"/>
    <cellStyle name="Normal 15 2" xfId="1445" xr:uid="{FDE84C3B-F9C0-4937-94AD-F406A0D1E558}"/>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F67272A5-5D1C-48D2-8430-2014A07E96B1}"/>
    <cellStyle name="Normal 2 4 2 3 2 2 2 3" xfId="1205" xr:uid="{8F13CBA6-3341-40BA-B277-7F2B9E3CE68F}"/>
    <cellStyle name="Normal 2 4 2 3 2 2 3" xfId="782" xr:uid="{00000000-0005-0000-0000-0000EC010000}"/>
    <cellStyle name="Normal 2 4 2 3 2 2 3 2" xfId="1620" xr:uid="{10018D0F-744D-4807-8B33-0FEB75524B9D}"/>
    <cellStyle name="Normal 2 4 2 3 2 2 4" xfId="1204" xr:uid="{083DBF79-986E-4126-ABB6-3471C935E29D}"/>
    <cellStyle name="Normal 2 4 2 3 2 3" xfId="288" xr:uid="{00000000-0005-0000-0000-0000ED010000}"/>
    <cellStyle name="Normal 2 4 2 3 2 3 2" xfId="784" xr:uid="{00000000-0005-0000-0000-0000EE010000}"/>
    <cellStyle name="Normal 2 4 2 3 2 3 2 2" xfId="1622" xr:uid="{D650B3BD-D95B-4BFA-B380-3F1C52CBA2DB}"/>
    <cellStyle name="Normal 2 4 2 3 2 3 3" xfId="1206" xr:uid="{5E07896C-9496-4819-B7A6-C1F2C55DF25B}"/>
    <cellStyle name="Normal 2 4 2 3 2 4" xfId="781" xr:uid="{00000000-0005-0000-0000-0000EF010000}"/>
    <cellStyle name="Normal 2 4 2 3 2 4 2" xfId="1619" xr:uid="{D266C432-3616-4162-B0C7-3D78CB7BAD6B}"/>
    <cellStyle name="Normal 2 4 2 3 2 5" xfId="1203" xr:uid="{6BA6DBB9-F117-4743-9712-4FA246493B0C}"/>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C8ACD82E-CBB7-43DF-A323-AFC949F8832E}"/>
    <cellStyle name="Normal 2 4 2 3 3 2 3" xfId="1208" xr:uid="{EFB08A70-3360-44C6-936F-E5E7B9BCF9E0}"/>
    <cellStyle name="Normal 2 4 2 3 3 3" xfId="785" xr:uid="{00000000-0005-0000-0000-0000F3010000}"/>
    <cellStyle name="Normal 2 4 2 3 3 3 2" xfId="1623" xr:uid="{BBB9F8D7-0CCB-431C-8062-19BA1A48201A}"/>
    <cellStyle name="Normal 2 4 2 3 3 4" xfId="1207" xr:uid="{3EA88691-ADB0-4DA4-9A3F-58D73EDDAB84}"/>
    <cellStyle name="Normal 2 4 2 3 4" xfId="291" xr:uid="{00000000-0005-0000-0000-0000F4010000}"/>
    <cellStyle name="Normal 2 4 2 3 4 2" xfId="787" xr:uid="{00000000-0005-0000-0000-0000F5010000}"/>
    <cellStyle name="Normal 2 4 2 3 4 2 2" xfId="1625" xr:uid="{23272A40-2C56-48C8-83EF-4F6D42E22793}"/>
    <cellStyle name="Normal 2 4 2 3 4 3" xfId="1209" xr:uid="{3BE6AEF0-9427-46C9-B64F-578C7E1B0C1E}"/>
    <cellStyle name="Normal 2 4 2 3 5" xfId="780" xr:uid="{00000000-0005-0000-0000-0000F6010000}"/>
    <cellStyle name="Normal 2 4 2 3 5 2" xfId="1618" xr:uid="{C49894B6-59F6-4928-BF47-D75F83B37ECC}"/>
    <cellStyle name="Normal 2 4 2 3 6" xfId="1202" xr:uid="{B23CD6A0-3458-4972-9C21-4F03C92F4AD6}"/>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A054AD3D-07EB-4B64-86E7-BE4551ABC7D9}"/>
    <cellStyle name="Normal 2 4 2 4 2 2 3" xfId="1212" xr:uid="{705B467A-216F-46AC-B2F5-F8BCD2957821}"/>
    <cellStyle name="Normal 2 4 2 4 2 3" xfId="789" xr:uid="{00000000-0005-0000-0000-0000FB010000}"/>
    <cellStyle name="Normal 2 4 2 4 2 3 2" xfId="1627" xr:uid="{246816A2-3328-4A23-90B3-DA83898E21F4}"/>
    <cellStyle name="Normal 2 4 2 4 2 4" xfId="1211" xr:uid="{B54D77CE-27CE-477F-8F0E-69AA40869879}"/>
    <cellStyle name="Normal 2 4 2 4 3" xfId="295" xr:uid="{00000000-0005-0000-0000-0000FC010000}"/>
    <cellStyle name="Normal 2 4 2 4 3 2" xfId="791" xr:uid="{00000000-0005-0000-0000-0000FD010000}"/>
    <cellStyle name="Normal 2 4 2 4 3 2 2" xfId="1629" xr:uid="{3FB57E64-3FFB-4007-A9AA-12DD90B44331}"/>
    <cellStyle name="Normal 2 4 2 4 3 3" xfId="1213" xr:uid="{CEB94DF2-4FD9-4E66-A024-4287C354B756}"/>
    <cellStyle name="Normal 2 4 2 4 4" xfId="788" xr:uid="{00000000-0005-0000-0000-0000FE010000}"/>
    <cellStyle name="Normal 2 4 2 4 4 2" xfId="1626" xr:uid="{D22B0DA9-567A-4CE5-9A98-66197D37BB2E}"/>
    <cellStyle name="Normal 2 4 2 4 5" xfId="1210" xr:uid="{C84046BA-4E17-498D-BB54-1041A9DF66C3}"/>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903CB7C2-21CE-4BE9-ACCF-4D2FD1BAA24F}"/>
    <cellStyle name="Normal 2 4 2 5 2 3" xfId="1215" xr:uid="{29945FC0-095A-4204-9A46-732FDD520CC0}"/>
    <cellStyle name="Normal 2 4 2 5 3" xfId="792" xr:uid="{00000000-0005-0000-0000-000002020000}"/>
    <cellStyle name="Normal 2 4 2 5 3 2" xfId="1630" xr:uid="{1A714E5D-37A4-4DCF-8D10-538D4D33961D}"/>
    <cellStyle name="Normal 2 4 2 5 4" xfId="1214" xr:uid="{EB2CE307-F9E2-4AE4-9C22-50B17595565F}"/>
    <cellStyle name="Normal 2 4 2 6" xfId="298" xr:uid="{00000000-0005-0000-0000-000003020000}"/>
    <cellStyle name="Normal 2 4 2 6 2" xfId="794" xr:uid="{00000000-0005-0000-0000-000004020000}"/>
    <cellStyle name="Normal 2 4 2 6 2 2" xfId="1632" xr:uid="{D999F15A-4002-4F47-A146-417EC695675D}"/>
    <cellStyle name="Normal 2 4 2 6 3" xfId="1216" xr:uid="{F43A4713-E6EE-45F0-A782-0374A6208F96}"/>
    <cellStyle name="Normal 2 4 2 7" xfId="779" xr:uid="{00000000-0005-0000-0000-000005020000}"/>
    <cellStyle name="Normal 2 4 2 7 2" xfId="1617" xr:uid="{78CD1BF5-9757-467A-97DB-CB34CAB9E2B9}"/>
    <cellStyle name="Normal 2 4 2 8" xfId="1201" xr:uid="{B22CEF14-6DB4-48E3-8EC1-17BB5974D68E}"/>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8E692594-5FCE-4556-A651-2D56C3E5145F}"/>
    <cellStyle name="Normal 2 4 3 3 2 2 3" xfId="1220" xr:uid="{33D42C61-C853-4AF7-AD49-CD4B5BB412C9}"/>
    <cellStyle name="Normal 2 4 3 3 2 3" xfId="797" xr:uid="{00000000-0005-0000-0000-00000C020000}"/>
    <cellStyle name="Normal 2 4 3 3 2 3 2" xfId="1635" xr:uid="{AC3D6CFD-C58C-4EAF-A3C5-BEC2FA51CCE9}"/>
    <cellStyle name="Normal 2 4 3 3 2 4" xfId="1219" xr:uid="{59727FED-04D0-435C-B433-30DC8C04E4D9}"/>
    <cellStyle name="Normal 2 4 3 3 3" xfId="304" xr:uid="{00000000-0005-0000-0000-00000D020000}"/>
    <cellStyle name="Normal 2 4 3 3 3 2" xfId="799" xr:uid="{00000000-0005-0000-0000-00000E020000}"/>
    <cellStyle name="Normal 2 4 3 3 3 2 2" xfId="1637" xr:uid="{A9E9B4C8-C462-43A3-BCA1-C0DF942822BE}"/>
    <cellStyle name="Normal 2 4 3 3 3 3" xfId="1221" xr:uid="{E480D2F8-C28C-4FBE-8AF5-63F5BAAC31C7}"/>
    <cellStyle name="Normal 2 4 3 3 4" xfId="796" xr:uid="{00000000-0005-0000-0000-00000F020000}"/>
    <cellStyle name="Normal 2 4 3 3 4 2" xfId="1634" xr:uid="{697E2746-2586-4737-B49A-FC57885689A9}"/>
    <cellStyle name="Normal 2 4 3 3 5" xfId="1218" xr:uid="{926B172D-6576-4469-B8D7-DAC75A3BC543}"/>
    <cellStyle name="Normal 2 4 3 4" xfId="795" xr:uid="{00000000-0005-0000-0000-000010020000}"/>
    <cellStyle name="Normal 2 4 3 4 2" xfId="1633" xr:uid="{95CA81A2-FC67-4764-A171-B6DA7FD63AA1}"/>
    <cellStyle name="Normal 2 4 3 5" xfId="1217" xr:uid="{2A723C96-7E21-4638-8FF1-266029A9B3DF}"/>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C0728BA3-7581-412D-B824-1E62738E0FF1}"/>
    <cellStyle name="Normal 2 4 5 2 2 2 3" xfId="1225" xr:uid="{1F9A9AA9-BFE0-439B-B8D4-767AC144E46F}"/>
    <cellStyle name="Normal 2 4 5 2 2 3" xfId="802" xr:uid="{00000000-0005-0000-0000-000017020000}"/>
    <cellStyle name="Normal 2 4 5 2 2 3 2" xfId="1640" xr:uid="{A2B659BA-80BC-409D-B084-135C1E5B22E4}"/>
    <cellStyle name="Normal 2 4 5 2 2 4" xfId="1224" xr:uid="{768ED11E-724E-4BB6-A27E-7683706B219A}"/>
    <cellStyle name="Normal 2 4 5 2 3" xfId="310" xr:uid="{00000000-0005-0000-0000-000018020000}"/>
    <cellStyle name="Normal 2 4 5 2 3 2" xfId="804" xr:uid="{00000000-0005-0000-0000-000019020000}"/>
    <cellStyle name="Normal 2 4 5 2 3 2 2" xfId="1642" xr:uid="{8B2148FF-5A36-4480-A40D-F1820952B81C}"/>
    <cellStyle name="Normal 2 4 5 2 3 3" xfId="1226" xr:uid="{750E8F7D-509D-4D60-BA5B-BFD236877AFF}"/>
    <cellStyle name="Normal 2 4 5 2 4" xfId="801" xr:uid="{00000000-0005-0000-0000-00001A020000}"/>
    <cellStyle name="Normal 2 4 5 2 4 2" xfId="1639" xr:uid="{0A7F480B-C825-4DE8-87B2-2857E4D981C1}"/>
    <cellStyle name="Normal 2 4 5 2 5" xfId="1223" xr:uid="{94941D33-E3FD-4864-B71F-E0EA58CA8D1F}"/>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E22D9D0E-5751-4846-8E23-9251DBEE5314}"/>
    <cellStyle name="Normal 2 4 5 3 2 3" xfId="1228" xr:uid="{5D65F40C-A1F6-4F0D-A55B-113E61FB1CC9}"/>
    <cellStyle name="Normal 2 4 5 3 3" xfId="805" xr:uid="{00000000-0005-0000-0000-00001E020000}"/>
    <cellStyle name="Normal 2 4 5 3 3 2" xfId="1643" xr:uid="{E9A3D2FF-128B-4726-9405-B2A5A1E7E546}"/>
    <cellStyle name="Normal 2 4 5 3 4" xfId="1227" xr:uid="{85100BBD-6DAE-4FCA-9484-536D535B23A9}"/>
    <cellStyle name="Normal 2 4 5 4" xfId="313" xr:uid="{00000000-0005-0000-0000-00001F020000}"/>
    <cellStyle name="Normal 2 4 5 4 2" xfId="807" xr:uid="{00000000-0005-0000-0000-000020020000}"/>
    <cellStyle name="Normal 2 4 5 4 2 2" xfId="1645" xr:uid="{B3A9810B-EA2A-4DBE-98C2-09B22D54853C}"/>
    <cellStyle name="Normal 2 4 5 4 3" xfId="1229" xr:uid="{EC35852C-AF8D-437C-B447-89BCBA19867C}"/>
    <cellStyle name="Normal 2 4 5 5" xfId="800" xr:uid="{00000000-0005-0000-0000-000021020000}"/>
    <cellStyle name="Normal 2 4 5 5 2" xfId="1638" xr:uid="{160F3D93-BAA5-4AB2-B6F9-A1A9DB2AE3DF}"/>
    <cellStyle name="Normal 2 4 5 6" xfId="1222" xr:uid="{4E1C8B1B-7FC7-4BC1-8A6D-BD89F9D83EA8}"/>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E68D46EF-3756-4F9B-A9D6-8E20176E1E29}"/>
    <cellStyle name="Normal 2 4 7 2 3" xfId="1231" xr:uid="{08AB37C5-8378-4104-9BBF-ABAB0993C82C}"/>
    <cellStyle name="Normal 2 4 7 3" xfId="808" xr:uid="{00000000-0005-0000-0000-000026020000}"/>
    <cellStyle name="Normal 2 4 7 3 2" xfId="1646" xr:uid="{3DD90501-A325-4A94-A517-27DBA089F730}"/>
    <cellStyle name="Normal 2 4 7 4" xfId="1230" xr:uid="{183D3D1D-EBAE-4553-AC45-65AB2D2573DC}"/>
    <cellStyle name="Normal 2 4 8" xfId="317" xr:uid="{00000000-0005-0000-0000-000027020000}"/>
    <cellStyle name="Normal 2 4 8 2" xfId="810" xr:uid="{00000000-0005-0000-0000-000028020000}"/>
    <cellStyle name="Normal 2 4 8 2 2" xfId="1648" xr:uid="{65A5EFCA-1BB6-4A4E-A83D-015F975CB4E2}"/>
    <cellStyle name="Normal 2 4 8 3" xfId="1232" xr:uid="{65AF1421-4A6C-4E29-A4DA-53C9C4EF30A8}"/>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320DF3DD-A04D-41C8-8C12-ADF16482D164}"/>
    <cellStyle name="Normal 2 5 4 2 2 3" xfId="1236" xr:uid="{780AC3B0-E6ED-4BC6-B0F0-A5BC97C6973D}"/>
    <cellStyle name="Normal 2 5 4 2 3" xfId="813" xr:uid="{00000000-0005-0000-0000-000030020000}"/>
    <cellStyle name="Normal 2 5 4 2 3 2" xfId="1651" xr:uid="{19F34BBC-C50D-46A4-894E-06BF2233C942}"/>
    <cellStyle name="Normal 2 5 4 2 4" xfId="1235" xr:uid="{0FA1FB40-DBC3-485A-9E13-F1203F493935}"/>
    <cellStyle name="Normal 2 5 4 3" xfId="324" xr:uid="{00000000-0005-0000-0000-000031020000}"/>
    <cellStyle name="Normal 2 5 4 3 2" xfId="815" xr:uid="{00000000-0005-0000-0000-000032020000}"/>
    <cellStyle name="Normal 2 5 4 3 2 2" xfId="1653" xr:uid="{88658926-5B4E-49C3-AEE9-5DBC23D3845C}"/>
    <cellStyle name="Normal 2 5 4 3 3" xfId="1237" xr:uid="{23542C89-8239-4E8F-9BC3-A887875C1534}"/>
    <cellStyle name="Normal 2 5 4 4" xfId="812" xr:uid="{00000000-0005-0000-0000-000033020000}"/>
    <cellStyle name="Normal 2 5 4 4 2" xfId="1650" xr:uid="{F76F6120-11F5-4B03-9FE7-6AD81DE8C2AA}"/>
    <cellStyle name="Normal 2 5 4 5" xfId="1234" xr:uid="{017692F6-40DE-4E5D-A66D-7ED6E7BA907E}"/>
    <cellStyle name="Normal 2 5 5" xfId="811" xr:uid="{00000000-0005-0000-0000-000034020000}"/>
    <cellStyle name="Normal 2 5 5 2" xfId="1649" xr:uid="{A84EE8F4-4989-4CDA-A5AD-620E78ED1CF2}"/>
    <cellStyle name="Normal 2 5 6" xfId="1233" xr:uid="{EAA8109E-0930-4E6A-9694-2FBEB4B86357}"/>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B66D1613-BBDD-4DE9-A76F-DF85739F54D2}"/>
    <cellStyle name="Normal 3 2 3 2 2 3" xfId="1241" xr:uid="{FFCA4567-FF98-4BFD-ADBE-73AA03285538}"/>
    <cellStyle name="Normal 3 2 3 2 3" xfId="820" xr:uid="{00000000-0005-0000-0000-00003F020000}"/>
    <cellStyle name="Normal 3 2 3 2 3 2" xfId="1656" xr:uid="{4BA21405-BD83-4038-8CBE-F9E5FE6FAB84}"/>
    <cellStyle name="Normal 3 2 3 2 4" xfId="1240" xr:uid="{E41ED3C2-BE24-4CFC-98A5-D69F4D79ABC2}"/>
    <cellStyle name="Normal 3 2 3 3" xfId="332" xr:uid="{00000000-0005-0000-0000-000040020000}"/>
    <cellStyle name="Normal 3 2 3 3 2" xfId="822" xr:uid="{00000000-0005-0000-0000-000041020000}"/>
    <cellStyle name="Normal 3 2 3 3 2 2" xfId="1658" xr:uid="{E5414E67-58EF-44D8-A8C6-876F3A2EB1D2}"/>
    <cellStyle name="Normal 3 2 3 3 3" xfId="1242" xr:uid="{FAFE7ED4-6BBB-4E46-98F9-32685CC71189}"/>
    <cellStyle name="Normal 3 2 3 4" xfId="819" xr:uid="{00000000-0005-0000-0000-000042020000}"/>
    <cellStyle name="Normal 3 2 3 4 2" xfId="1655" xr:uid="{23A09F1B-BEC2-4385-B348-5EE1F2807723}"/>
    <cellStyle name="Normal 3 2 3 5" xfId="1239" xr:uid="{96A874A4-E9B0-4DFA-931E-EAEC99B2027B}"/>
    <cellStyle name="Normal 3 2 4" xfId="817" xr:uid="{00000000-0005-0000-0000-000043020000}"/>
    <cellStyle name="Normal 3 2 4 2" xfId="1654" xr:uid="{9D1189D6-5AA4-47BF-B099-25A2FEC53D6F}"/>
    <cellStyle name="Normal 3 2 5" xfId="1238" xr:uid="{1EFF6EAA-E3C8-4CAD-AC92-D132DD49022B}"/>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4833DACF-67EC-4B4D-8CF0-D3533B517066}"/>
    <cellStyle name="Normal 4 2 2 3 2 2 2 3" xfId="1247" xr:uid="{93F56290-B9FD-49B1-8A45-985C38B6624E}"/>
    <cellStyle name="Normal 4 2 2 3 2 2 3" xfId="826" xr:uid="{00000000-0005-0000-0000-000053020000}"/>
    <cellStyle name="Normal 4 2 2 3 2 2 3 2" xfId="1662" xr:uid="{DFBDD6CF-3074-43C2-982B-59E7A1B14AD6}"/>
    <cellStyle name="Normal 4 2 2 3 2 2 4" xfId="1246" xr:uid="{C1F47CE3-ED6F-4099-9F07-47AEF376C045}"/>
    <cellStyle name="Normal 4 2 2 3 2 3" xfId="346" xr:uid="{00000000-0005-0000-0000-000054020000}"/>
    <cellStyle name="Normal 4 2 2 3 2 3 2" xfId="828" xr:uid="{00000000-0005-0000-0000-000055020000}"/>
    <cellStyle name="Normal 4 2 2 3 2 3 2 2" xfId="1664" xr:uid="{B29F5D76-AB14-41F1-9156-705B29A58743}"/>
    <cellStyle name="Normal 4 2 2 3 2 3 3" xfId="1248" xr:uid="{3CCF2CB0-F2D8-442E-9C17-C3EBB1ECD96F}"/>
    <cellStyle name="Normal 4 2 2 3 2 4" xfId="825" xr:uid="{00000000-0005-0000-0000-000056020000}"/>
    <cellStyle name="Normal 4 2 2 3 2 4 2" xfId="1661" xr:uid="{7AEC827F-61FD-4576-BEF8-A9ECFC04F736}"/>
    <cellStyle name="Normal 4 2 2 3 2 5" xfId="1245" xr:uid="{43D88A65-2A07-45B1-A8B4-419D44D1AC6B}"/>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56A99A4F-D5F1-4A72-8917-5853E1E4BA8E}"/>
    <cellStyle name="Normal 4 2 2 3 3 2 3" xfId="1250" xr:uid="{67EC31BF-F97F-4DDE-9C81-F3F956D3EF41}"/>
    <cellStyle name="Normal 4 2 2 3 3 3" xfId="829" xr:uid="{00000000-0005-0000-0000-00005A020000}"/>
    <cellStyle name="Normal 4 2 2 3 3 3 2" xfId="1665" xr:uid="{B4153F01-98A3-4FDC-92B8-27DB3130EE77}"/>
    <cellStyle name="Normal 4 2 2 3 3 4" xfId="1249" xr:uid="{F51BAF97-EBCC-41E9-92A9-22416D2AFB6F}"/>
    <cellStyle name="Normal 4 2 2 3 4" xfId="349" xr:uid="{00000000-0005-0000-0000-00005B020000}"/>
    <cellStyle name="Normal 4 2 2 3 4 2" xfId="831" xr:uid="{00000000-0005-0000-0000-00005C020000}"/>
    <cellStyle name="Normal 4 2 2 3 4 2 2" xfId="1667" xr:uid="{485DAEF9-C24D-455D-8FB4-AF3369B5728C}"/>
    <cellStyle name="Normal 4 2 2 3 4 3" xfId="1251" xr:uid="{194BD1AF-7C60-4887-9E4C-C9C059773FBC}"/>
    <cellStyle name="Normal 4 2 2 3 5" xfId="824" xr:uid="{00000000-0005-0000-0000-00005D020000}"/>
    <cellStyle name="Normal 4 2 2 3 5 2" xfId="1660" xr:uid="{DFB6509D-200B-4544-8514-3F18173F0C70}"/>
    <cellStyle name="Normal 4 2 2 3 6" xfId="1244" xr:uid="{E27FB69D-DDBB-442F-BCAE-AAFC61D06F1F}"/>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344DC31B-8BA6-4867-8ED2-CA868D0832B7}"/>
    <cellStyle name="Normal 4 2 2 4 2 2 3" xfId="1254" xr:uid="{0A9DDA00-E073-438B-86AA-4C0B6EF175BA}"/>
    <cellStyle name="Normal 4 2 2 4 2 3" xfId="833" xr:uid="{00000000-0005-0000-0000-000062020000}"/>
    <cellStyle name="Normal 4 2 2 4 2 3 2" xfId="1669" xr:uid="{35351EDE-C92B-4780-88DB-F327C0D229C3}"/>
    <cellStyle name="Normal 4 2 2 4 2 4" xfId="1253" xr:uid="{9272B537-A244-43D0-9F37-5762FBE3D0E9}"/>
    <cellStyle name="Normal 4 2 2 4 3" xfId="353" xr:uid="{00000000-0005-0000-0000-000063020000}"/>
    <cellStyle name="Normal 4 2 2 4 3 2" xfId="835" xr:uid="{00000000-0005-0000-0000-000064020000}"/>
    <cellStyle name="Normal 4 2 2 4 3 2 2" xfId="1671" xr:uid="{FA681CDE-B9FA-4447-8B3D-BCC58F9DC1E6}"/>
    <cellStyle name="Normal 4 2 2 4 3 3" xfId="1255" xr:uid="{4299C0F4-DCBE-463E-9B97-B8531EAEB1E9}"/>
    <cellStyle name="Normal 4 2 2 4 4" xfId="832" xr:uid="{00000000-0005-0000-0000-000065020000}"/>
    <cellStyle name="Normal 4 2 2 4 4 2" xfId="1668" xr:uid="{C58B6F76-912B-4BC7-AA0D-601EF079F02E}"/>
    <cellStyle name="Normal 4 2 2 4 5" xfId="1252" xr:uid="{6383A8A3-24C4-419C-80A9-577DC6D67680}"/>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BEC96B27-37BA-4BA8-92B9-374C9D7D2F38}"/>
    <cellStyle name="Normal 4 2 2 5 2 3" xfId="1257" xr:uid="{0838BF4E-736A-42CA-B9A3-C01183099BF9}"/>
    <cellStyle name="Normal 4 2 2 5 3" xfId="836" xr:uid="{00000000-0005-0000-0000-000069020000}"/>
    <cellStyle name="Normal 4 2 2 5 3 2" xfId="1672" xr:uid="{813366D9-8029-467F-8384-FD8C64817A76}"/>
    <cellStyle name="Normal 4 2 2 5 4" xfId="1256" xr:uid="{669A545B-5BA1-4007-B8F6-A746CADC2369}"/>
    <cellStyle name="Normal 4 2 2 6" xfId="356" xr:uid="{00000000-0005-0000-0000-00006A020000}"/>
    <cellStyle name="Normal 4 2 2 6 2" xfId="838" xr:uid="{00000000-0005-0000-0000-00006B020000}"/>
    <cellStyle name="Normal 4 2 2 6 2 2" xfId="1674" xr:uid="{20DE03CF-7930-40B7-BDDA-89FE456750C3}"/>
    <cellStyle name="Normal 4 2 2 6 3" xfId="1258" xr:uid="{F582497F-4AA0-4E2C-AAC8-88B387811AC8}"/>
    <cellStyle name="Normal 4 2 2 7" xfId="823" xr:uid="{00000000-0005-0000-0000-00006C020000}"/>
    <cellStyle name="Normal 4 2 2 7 2" xfId="1659" xr:uid="{F1511A7C-B2FC-49A2-B8D3-0A62321CCA36}"/>
    <cellStyle name="Normal 4 2 2 8" xfId="1243" xr:uid="{68BDA2D4-2DAD-4E59-95C1-3D44F17D51D8}"/>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0C2D3501-EA70-48A7-945B-731C43AA04DB}"/>
    <cellStyle name="Normal 4 2 4 2 2 2 3" xfId="1262" xr:uid="{02E17E2F-33B7-43D7-9A54-4B53102B4C46}"/>
    <cellStyle name="Normal 4 2 4 2 2 3" xfId="841" xr:uid="{00000000-0005-0000-0000-000073020000}"/>
    <cellStyle name="Normal 4 2 4 2 2 3 2" xfId="1677" xr:uid="{E95F9C6E-EEA0-444B-99FB-AE83D53E43A1}"/>
    <cellStyle name="Normal 4 2 4 2 2 4" xfId="1261" xr:uid="{0A2790CC-C18B-411F-A0F9-B026C9774565}"/>
    <cellStyle name="Normal 4 2 4 2 3" xfId="362" xr:uid="{00000000-0005-0000-0000-000074020000}"/>
    <cellStyle name="Normal 4 2 4 2 3 2" xfId="843" xr:uid="{00000000-0005-0000-0000-000075020000}"/>
    <cellStyle name="Normal 4 2 4 2 3 2 2" xfId="1679" xr:uid="{E51C55B3-EF69-4F82-AF92-97D7B89B4324}"/>
    <cellStyle name="Normal 4 2 4 2 3 3" xfId="1263" xr:uid="{D7AF943C-5479-4DE5-ACB0-1C1A798B48DD}"/>
    <cellStyle name="Normal 4 2 4 2 4" xfId="840" xr:uid="{00000000-0005-0000-0000-000076020000}"/>
    <cellStyle name="Normal 4 2 4 2 4 2" xfId="1676" xr:uid="{BB5D92FB-21B6-49BC-B5D1-92D8B55A791B}"/>
    <cellStyle name="Normal 4 2 4 2 5" xfId="1260" xr:uid="{13B39FCD-52A7-4213-BCAB-06CB6AACC9DB}"/>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FA9CA8B5-37F2-4427-A1F7-82AEA39F02A8}"/>
    <cellStyle name="Normal 4 2 4 3 2 3" xfId="1265" xr:uid="{2A633E97-3C15-4515-BE60-82327FCD9FA3}"/>
    <cellStyle name="Normal 4 2 4 3 3" xfId="844" xr:uid="{00000000-0005-0000-0000-00007A020000}"/>
    <cellStyle name="Normal 4 2 4 3 3 2" xfId="1680" xr:uid="{8D1F93CC-BB5C-41BE-A10C-B1CA05A1DDC8}"/>
    <cellStyle name="Normal 4 2 4 3 4" xfId="1264" xr:uid="{F46B76AD-5BA5-44AE-93F0-540B517618A6}"/>
    <cellStyle name="Normal 4 2 4 4" xfId="365" xr:uid="{00000000-0005-0000-0000-00007B020000}"/>
    <cellStyle name="Normal 4 2 4 4 2" xfId="846" xr:uid="{00000000-0005-0000-0000-00007C020000}"/>
    <cellStyle name="Normal 4 2 4 4 2 2" xfId="1682" xr:uid="{68FE7458-983C-4A64-8367-44C83FB1BCEA}"/>
    <cellStyle name="Normal 4 2 4 4 3" xfId="1266" xr:uid="{C9BF728F-988B-4187-B2B5-2610313A352E}"/>
    <cellStyle name="Normal 4 2 4 5" xfId="839" xr:uid="{00000000-0005-0000-0000-00007D020000}"/>
    <cellStyle name="Normal 4 2 4 5 2" xfId="1675" xr:uid="{A52C74B3-AF89-4619-B54B-1F5BA4C0F69B}"/>
    <cellStyle name="Normal 4 2 4 6" xfId="1259" xr:uid="{965A11BC-01E4-4167-90E6-105368B8F37D}"/>
    <cellStyle name="Normal 4 2 5" xfId="366" xr:uid="{00000000-0005-0000-0000-00007E020000}"/>
    <cellStyle name="Normal 4 2 5 2" xfId="367" xr:uid="{00000000-0005-0000-0000-00007F020000}"/>
    <cellStyle name="Normal 4 2 5 2 2" xfId="848" xr:uid="{00000000-0005-0000-0000-000080020000}"/>
    <cellStyle name="Normal 4 2 5 2 2 2" xfId="1684" xr:uid="{0AEF4DA9-4FEA-4F31-87EE-A5CFE01BAA64}"/>
    <cellStyle name="Normal 4 2 5 2 3" xfId="1268" xr:uid="{C18D0637-9112-43F4-B32C-6BC58B3EC29F}"/>
    <cellStyle name="Normal 4 2 5 3" xfId="847" xr:uid="{00000000-0005-0000-0000-000081020000}"/>
    <cellStyle name="Normal 4 2 5 3 2" xfId="1683" xr:uid="{6A6911A0-69EF-484F-B546-E3ABE0F87149}"/>
    <cellStyle name="Normal 4 2 5 4" xfId="1267" xr:uid="{45B4BD24-E885-4003-B03A-4FD887DD032B}"/>
    <cellStyle name="Normal 4 2 6" xfId="368" xr:uid="{00000000-0005-0000-0000-000082020000}"/>
    <cellStyle name="Normal 4 2 6 2" xfId="849" xr:uid="{00000000-0005-0000-0000-000083020000}"/>
    <cellStyle name="Normal 4 2 6 2 2" xfId="1685" xr:uid="{978DAF46-A6CF-4039-A3B2-0EDAD09782B1}"/>
    <cellStyle name="Normal 4 2 6 3" xfId="1269" xr:uid="{DBF8471F-9C02-4B34-9DED-2E0271A28C9E}"/>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1BFC31E2-C0B1-4F4B-8B70-084EA2B38CAA}"/>
    <cellStyle name="Normal 4 3 2 2 2 2 2 3" xfId="1273" xr:uid="{16F16549-C1D5-4A8A-896E-A77B04FA46B8}"/>
    <cellStyle name="Normal 4 3 2 2 2 2 3" xfId="853" xr:uid="{00000000-0005-0000-0000-00008B020000}"/>
    <cellStyle name="Normal 4 3 2 2 2 2 3 2" xfId="1688" xr:uid="{CDB67775-8186-4CDA-B783-CCD8BFC9FF58}"/>
    <cellStyle name="Normal 4 3 2 2 2 2 4" xfId="1272" xr:uid="{03FCF2A5-A50E-4B59-B15D-1516F86CBAAE}"/>
    <cellStyle name="Normal 4 3 2 2 2 3" xfId="375" xr:uid="{00000000-0005-0000-0000-00008C020000}"/>
    <cellStyle name="Normal 4 3 2 2 2 3 2" xfId="855" xr:uid="{00000000-0005-0000-0000-00008D020000}"/>
    <cellStyle name="Normal 4 3 2 2 2 3 2 2" xfId="1690" xr:uid="{E35F50ED-6AC3-4466-82C8-1951FCD08612}"/>
    <cellStyle name="Normal 4 3 2 2 2 3 3" xfId="1274" xr:uid="{511A07B7-258D-417B-94E5-7A497A9C4A0E}"/>
    <cellStyle name="Normal 4 3 2 2 2 4" xfId="852" xr:uid="{00000000-0005-0000-0000-00008E020000}"/>
    <cellStyle name="Normal 4 3 2 2 2 4 2" xfId="1687" xr:uid="{02AE328D-9281-467D-A4B4-F43CAD04F127}"/>
    <cellStyle name="Normal 4 3 2 2 2 5" xfId="1271" xr:uid="{52BC3EB7-6327-4BD7-8172-5114DB1C05DC}"/>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1EB45D8A-2F9E-4F71-A8D1-A23B7B11F18F}"/>
    <cellStyle name="Normal 4 3 3 2 2 3" xfId="1277" xr:uid="{7B53D261-9383-40D9-8D81-552E68B8190A}"/>
    <cellStyle name="Normal 4 3 3 2 3" xfId="858" xr:uid="{00000000-0005-0000-0000-000096020000}"/>
    <cellStyle name="Normal 4 3 3 2 3 2" xfId="1692" xr:uid="{247A8472-AFF0-4DFA-91AC-1DD2736673AF}"/>
    <cellStyle name="Normal 4 3 3 2 4" xfId="1276" xr:uid="{227D1F7C-B4DB-431D-B99C-E01B1E05662F}"/>
    <cellStyle name="Normal 4 3 3 3" xfId="380" xr:uid="{00000000-0005-0000-0000-000097020000}"/>
    <cellStyle name="Normal 4 3 3 3 2" xfId="860" xr:uid="{00000000-0005-0000-0000-000098020000}"/>
    <cellStyle name="Normal 4 3 3 3 2 2" xfId="1694" xr:uid="{2A8DC5E3-91FF-43AE-9170-B7E9ABDDD576}"/>
    <cellStyle name="Normal 4 3 3 3 3" xfId="1278" xr:uid="{E1EE3948-7EEB-4BAE-B185-78203FE645AF}"/>
    <cellStyle name="Normal 4 3 3 4" xfId="857" xr:uid="{00000000-0005-0000-0000-000099020000}"/>
    <cellStyle name="Normal 4 3 3 4 2" xfId="1691" xr:uid="{AF2DF242-AC20-42A6-9B1E-8C4B06FD4BC2}"/>
    <cellStyle name="Normal 4 3 3 5" xfId="1275" xr:uid="{C9B60D56-FE46-45FF-BF56-5BEBA234CE66}"/>
    <cellStyle name="Normal 4 3 4" xfId="850" xr:uid="{00000000-0005-0000-0000-00009A020000}"/>
    <cellStyle name="Normal 4 3 4 2" xfId="1686" xr:uid="{D7D355F6-51EA-404F-BB85-350EF0107815}"/>
    <cellStyle name="Normal 4 3 5" xfId="1270" xr:uid="{48EEA121-BA0D-46A7-880B-C5036444BC67}"/>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265777A7-DF19-410A-A4C4-915B943860B0}"/>
    <cellStyle name="Normal 4 4 2 2 2 2 3" xfId="1283" xr:uid="{E6FE4F08-A7B2-4473-AC72-DE00F1F5F139}"/>
    <cellStyle name="Normal 4 4 2 2 2 3" xfId="864" xr:uid="{00000000-0005-0000-0000-0000A1020000}"/>
    <cellStyle name="Normal 4 4 2 2 2 3 2" xfId="1698" xr:uid="{E1F552C3-AB96-40FB-88F2-C3944A479070}"/>
    <cellStyle name="Normal 4 4 2 2 2 4" xfId="1282" xr:uid="{607DBF66-C128-4808-AF96-2678F180A23F}"/>
    <cellStyle name="Normal 4 4 2 2 3" xfId="386" xr:uid="{00000000-0005-0000-0000-0000A2020000}"/>
    <cellStyle name="Normal 4 4 2 2 3 2" xfId="866" xr:uid="{00000000-0005-0000-0000-0000A3020000}"/>
    <cellStyle name="Normal 4 4 2 2 3 2 2" xfId="1700" xr:uid="{338A10CE-B1CD-4DE4-95C1-88554BBA8F7A}"/>
    <cellStyle name="Normal 4 4 2 2 3 3" xfId="1284" xr:uid="{69787C22-ED24-43F7-95CB-B5524079356A}"/>
    <cellStyle name="Normal 4 4 2 2 4" xfId="863" xr:uid="{00000000-0005-0000-0000-0000A4020000}"/>
    <cellStyle name="Normal 4 4 2 2 4 2" xfId="1697" xr:uid="{93D5506D-C1AA-4CBD-BC26-9A81C056EA12}"/>
    <cellStyle name="Normal 4 4 2 2 5" xfId="1281" xr:uid="{4D99DF49-C723-463F-A912-2E12A035C4E4}"/>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90831333-4D51-491F-BC10-48BBF493661C}"/>
    <cellStyle name="Normal 4 4 2 3 2 3" xfId="1286" xr:uid="{4E5E6E4D-151C-451E-82B4-6AC684910FE1}"/>
    <cellStyle name="Normal 4 4 2 3 3" xfId="867" xr:uid="{00000000-0005-0000-0000-0000A8020000}"/>
    <cellStyle name="Normal 4 4 2 3 3 2" xfId="1701" xr:uid="{8E42AC0B-B284-430A-8693-F4D629D7695C}"/>
    <cellStyle name="Normal 4 4 2 3 4" xfId="1285" xr:uid="{4D98EEDD-F5FD-4792-9928-9F704C8AAB1D}"/>
    <cellStyle name="Normal 4 4 2 4" xfId="389" xr:uid="{00000000-0005-0000-0000-0000A9020000}"/>
    <cellStyle name="Normal 4 4 2 4 2" xfId="869" xr:uid="{00000000-0005-0000-0000-0000AA020000}"/>
    <cellStyle name="Normal 4 4 2 4 2 2" xfId="1703" xr:uid="{2BA6552B-7F87-4D77-AB00-C1FA8E59E524}"/>
    <cellStyle name="Normal 4 4 2 4 3" xfId="1287" xr:uid="{8C4F36B6-E8C6-4D76-A50D-58DE5FA9D158}"/>
    <cellStyle name="Normal 4 4 2 5" xfId="862" xr:uid="{00000000-0005-0000-0000-0000AB020000}"/>
    <cellStyle name="Normal 4 4 2 5 2" xfId="1696" xr:uid="{1128E0DF-5ADE-438A-BA5B-E9CAFA38BEE3}"/>
    <cellStyle name="Normal 4 4 2 6" xfId="1280" xr:uid="{06686AD5-9B7B-42CA-84E7-3CBB88E8BA53}"/>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699C9AFA-D82E-424B-BF26-2E1E07008807}"/>
    <cellStyle name="Normal 4 4 3 2 2 3" xfId="1290" xr:uid="{6FD7673A-EF32-4D7F-A5C9-D5BEDAC489BC}"/>
    <cellStyle name="Normal 4 4 3 2 3" xfId="871" xr:uid="{00000000-0005-0000-0000-0000B0020000}"/>
    <cellStyle name="Normal 4 4 3 2 3 2" xfId="1705" xr:uid="{C3FA15A4-B869-43C0-BC81-0F0B08F9E79D}"/>
    <cellStyle name="Normal 4 4 3 2 4" xfId="1289" xr:uid="{0E5E287D-CA6D-4A1E-9205-83540E43A25A}"/>
    <cellStyle name="Normal 4 4 3 3" xfId="393" xr:uid="{00000000-0005-0000-0000-0000B1020000}"/>
    <cellStyle name="Normal 4 4 3 3 2" xfId="873" xr:uid="{00000000-0005-0000-0000-0000B2020000}"/>
    <cellStyle name="Normal 4 4 3 3 2 2" xfId="1707" xr:uid="{544EF912-9FB4-402E-95AB-4742C2B8A59C}"/>
    <cellStyle name="Normal 4 4 3 3 3" xfId="1291" xr:uid="{36379F4D-3BDB-4236-BED3-85A7C3D84608}"/>
    <cellStyle name="Normal 4 4 3 4" xfId="870" xr:uid="{00000000-0005-0000-0000-0000B3020000}"/>
    <cellStyle name="Normal 4 4 3 4 2" xfId="1704" xr:uid="{54CBAE55-CDBA-40E3-9033-6198219441C7}"/>
    <cellStyle name="Normal 4 4 3 5" xfId="1288" xr:uid="{EB67910B-A1C3-4C00-B4F9-F2D51AB6AE6B}"/>
    <cellStyle name="Normal 4 4 4" xfId="394" xr:uid="{00000000-0005-0000-0000-0000B4020000}"/>
    <cellStyle name="Normal 4 4 4 2" xfId="395" xr:uid="{00000000-0005-0000-0000-0000B5020000}"/>
    <cellStyle name="Normal 4 4 4 2 2" xfId="875" xr:uid="{00000000-0005-0000-0000-0000B6020000}"/>
    <cellStyle name="Normal 4 4 4 2 2 2" xfId="1709" xr:uid="{40A2AB15-9750-4A23-8805-F80207DA5148}"/>
    <cellStyle name="Normal 4 4 4 2 3" xfId="1293" xr:uid="{8164C004-E40E-4DEF-B4AF-425888E8037F}"/>
    <cellStyle name="Normal 4 4 4 3" xfId="874" xr:uid="{00000000-0005-0000-0000-0000B7020000}"/>
    <cellStyle name="Normal 4 4 4 3 2" xfId="1708" xr:uid="{CC6491DD-9C2C-4934-8820-EF1984C0EDA8}"/>
    <cellStyle name="Normal 4 4 4 4" xfId="1292" xr:uid="{350AD94D-0BA3-4092-B7E8-A66C2CD9B16C}"/>
    <cellStyle name="Normal 4 4 5" xfId="396" xr:uid="{00000000-0005-0000-0000-0000B8020000}"/>
    <cellStyle name="Normal 4 4 5 2" xfId="876" xr:uid="{00000000-0005-0000-0000-0000B9020000}"/>
    <cellStyle name="Normal 4 4 5 2 2" xfId="1710" xr:uid="{1C99ECAA-F355-439E-8F71-441E2EDAC7A2}"/>
    <cellStyle name="Normal 4 4 5 3" xfId="1294" xr:uid="{99954B1D-2AE6-4185-A677-7492F12A7D5A}"/>
    <cellStyle name="Normal 4 4 6" xfId="861" xr:uid="{00000000-0005-0000-0000-0000BA020000}"/>
    <cellStyle name="Normal 4 4 6 2" xfId="1695" xr:uid="{690AD693-C99B-416C-A1A7-A31D24F4987B}"/>
    <cellStyle name="Normal 4 4 7" xfId="1279" xr:uid="{A5698D8C-8599-4146-AA01-237A79673561}"/>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4A818AF0-0C33-45EE-AB27-C67BBB61D64C}"/>
    <cellStyle name="Normal 4 6 2 2 2 3" xfId="1298" xr:uid="{663724BA-65E2-4519-8702-7EEB20CA3F9D}"/>
    <cellStyle name="Normal 4 6 2 2 3" xfId="879" xr:uid="{00000000-0005-0000-0000-0000C1020000}"/>
    <cellStyle name="Normal 4 6 2 2 3 2" xfId="1713" xr:uid="{794F6397-0D80-46CE-B46D-1F3B008DE958}"/>
    <cellStyle name="Normal 4 6 2 2 4" xfId="1297" xr:uid="{0182D838-7529-4AF9-9638-B72E556AD6FD}"/>
    <cellStyle name="Normal 4 6 2 3" xfId="402" xr:uid="{00000000-0005-0000-0000-0000C2020000}"/>
    <cellStyle name="Normal 4 6 2 3 2" xfId="881" xr:uid="{00000000-0005-0000-0000-0000C3020000}"/>
    <cellStyle name="Normal 4 6 2 3 2 2" xfId="1715" xr:uid="{E1EBED10-C8C5-41BD-BC86-05F34476B7BD}"/>
    <cellStyle name="Normal 4 6 2 3 3" xfId="1299" xr:uid="{D3FF5FAE-59D7-49AA-B25A-40890E4A9A85}"/>
    <cellStyle name="Normal 4 6 2 4" xfId="878" xr:uid="{00000000-0005-0000-0000-0000C4020000}"/>
    <cellStyle name="Normal 4 6 2 4 2" xfId="1712" xr:uid="{CEDB061A-E96F-4385-BC53-F5975C4448AC}"/>
    <cellStyle name="Normal 4 6 2 5" xfId="1296" xr:uid="{9B15E456-F1D5-4CB7-9D5B-AB98CED9FC52}"/>
    <cellStyle name="Normal 4 6 3" xfId="403" xr:uid="{00000000-0005-0000-0000-0000C5020000}"/>
    <cellStyle name="Normal 4 6 3 2" xfId="404" xr:uid="{00000000-0005-0000-0000-0000C6020000}"/>
    <cellStyle name="Normal 4 6 3 2 2" xfId="883" xr:uid="{00000000-0005-0000-0000-0000C7020000}"/>
    <cellStyle name="Normal 4 6 3 2 2 2" xfId="1717" xr:uid="{461B2CE8-4566-45ED-AB10-EB683F10EAAC}"/>
    <cellStyle name="Normal 4 6 3 2 3" xfId="1301" xr:uid="{60F7B5B7-226D-4C9E-A4E5-F12CFA2720EC}"/>
    <cellStyle name="Normal 4 6 3 3" xfId="882" xr:uid="{00000000-0005-0000-0000-0000C8020000}"/>
    <cellStyle name="Normal 4 6 3 3 2" xfId="1716" xr:uid="{C2DAB64B-7280-4D12-BC41-247E4F30A634}"/>
    <cellStyle name="Normal 4 6 3 4" xfId="1300" xr:uid="{A89D9CFC-98C8-4051-BB09-AAF5DAB16722}"/>
    <cellStyle name="Normal 4 6 4" xfId="405" xr:uid="{00000000-0005-0000-0000-0000C9020000}"/>
    <cellStyle name="Normal 4 6 4 2" xfId="884" xr:uid="{00000000-0005-0000-0000-0000CA020000}"/>
    <cellStyle name="Normal 4 6 4 2 2" xfId="1718" xr:uid="{5FD7E7B3-D969-477C-B49C-C189401130EB}"/>
    <cellStyle name="Normal 4 6 4 3" xfId="1302" xr:uid="{DC538541-E9A8-4C35-9FB8-1CF7FE24718F}"/>
    <cellStyle name="Normal 4 6 5" xfId="877" xr:uid="{00000000-0005-0000-0000-0000CB020000}"/>
    <cellStyle name="Normal 4 6 5 2" xfId="1711" xr:uid="{76980CBA-0562-49BB-88E6-8B2F4CD87FC9}"/>
    <cellStyle name="Normal 4 6 6" xfId="1295" xr:uid="{1354C4E1-7A5F-4548-B63D-94806F0903F2}"/>
    <cellStyle name="Normal 4 7" xfId="406" xr:uid="{00000000-0005-0000-0000-0000CC020000}"/>
    <cellStyle name="Normal 4 7 2" xfId="407" xr:uid="{00000000-0005-0000-0000-0000CD020000}"/>
    <cellStyle name="Normal 4 7 2 2" xfId="886" xr:uid="{00000000-0005-0000-0000-0000CE020000}"/>
    <cellStyle name="Normal 4 7 2 2 2" xfId="1720" xr:uid="{07545224-05F7-4288-9917-7392C1A7B0C7}"/>
    <cellStyle name="Normal 4 7 2 3" xfId="1304" xr:uid="{66E318D7-C229-41B0-B922-971E05727227}"/>
    <cellStyle name="Normal 4 7 3" xfId="885" xr:uid="{00000000-0005-0000-0000-0000CF020000}"/>
    <cellStyle name="Normal 4 7 3 2" xfId="1719" xr:uid="{445A6089-B71C-4237-82B7-25035ED7B4CE}"/>
    <cellStyle name="Normal 4 7 4" xfId="1303" xr:uid="{50A2349C-BF64-4860-BA64-F9E4722853D7}"/>
    <cellStyle name="Normal 4 8" xfId="408" xr:uid="{00000000-0005-0000-0000-0000D0020000}"/>
    <cellStyle name="Normal 4 8 2" xfId="887" xr:uid="{00000000-0005-0000-0000-0000D1020000}"/>
    <cellStyle name="Normal 4 8 2 2" xfId="1721" xr:uid="{EBEE2F90-DC83-4252-87ED-16B284D0016D}"/>
    <cellStyle name="Normal 4 8 3" xfId="1305" xr:uid="{386F81B2-0F2B-4FCD-B8EE-5A68CD07E286}"/>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2ACB7732-4A3B-4F87-A624-0903135A26CA}"/>
    <cellStyle name="Normal 5 2 2 2 2 2 2 3" xfId="1312" xr:uid="{0DD35FF2-7630-4AB8-A9E1-82836C4901FE}"/>
    <cellStyle name="Normal 5 2 2 2 2 2 3" xfId="893" xr:uid="{00000000-0005-0000-0000-0000DA020000}"/>
    <cellStyle name="Normal 5 2 2 2 2 2 3 2" xfId="1727" xr:uid="{EFE90DF6-4C8D-4A25-AADE-764E14CE2BCA}"/>
    <cellStyle name="Normal 5 2 2 2 2 2 4" xfId="1311" xr:uid="{CA99931D-5EF2-4DF4-B4D9-ECC2C5CF5C3B}"/>
    <cellStyle name="Normal 5 2 2 2 2 3" xfId="416" xr:uid="{00000000-0005-0000-0000-0000DB020000}"/>
    <cellStyle name="Normal 5 2 2 2 2 3 2" xfId="895" xr:uid="{00000000-0005-0000-0000-0000DC020000}"/>
    <cellStyle name="Normal 5 2 2 2 2 3 2 2" xfId="1729" xr:uid="{2AC8C839-C5E8-4744-8166-C7A572A9A324}"/>
    <cellStyle name="Normal 5 2 2 2 2 3 3" xfId="1313" xr:uid="{0C0E10A9-900A-47E8-B611-405EC0077936}"/>
    <cellStyle name="Normal 5 2 2 2 2 4" xfId="892" xr:uid="{00000000-0005-0000-0000-0000DD020000}"/>
    <cellStyle name="Normal 5 2 2 2 2 4 2" xfId="1726" xr:uid="{61CB67D3-E2B0-4319-87EA-067E8184E98B}"/>
    <cellStyle name="Normal 5 2 2 2 2 5" xfId="1310" xr:uid="{5C9D3DF4-DDA5-4A0C-829D-F7F1F3F8FE58}"/>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D382F43D-A5DF-4E3F-9EBE-B943152A6F6A}"/>
    <cellStyle name="Normal 5 2 2 2 3 2 3" xfId="1315" xr:uid="{D797C6AD-791D-4BD5-A1E3-E4B6195942D4}"/>
    <cellStyle name="Normal 5 2 2 2 3 3" xfId="896" xr:uid="{00000000-0005-0000-0000-0000E1020000}"/>
    <cellStyle name="Normal 5 2 2 2 3 3 2" xfId="1730" xr:uid="{FD4C29A9-D05C-46B4-AF78-4B6F179EFF57}"/>
    <cellStyle name="Normal 5 2 2 2 3 4" xfId="1314" xr:uid="{C9EDDD64-AF76-46C5-B94C-1870C3088A93}"/>
    <cellStyle name="Normal 5 2 2 2 4" xfId="419" xr:uid="{00000000-0005-0000-0000-0000E2020000}"/>
    <cellStyle name="Normal 5 2 2 2 4 2" xfId="898" xr:uid="{00000000-0005-0000-0000-0000E3020000}"/>
    <cellStyle name="Normal 5 2 2 2 4 2 2" xfId="1732" xr:uid="{A98318F0-C93C-4232-955C-4CB55547C416}"/>
    <cellStyle name="Normal 5 2 2 2 4 3" xfId="1316" xr:uid="{A00EC8D8-CEA1-464B-9430-797E5BFB33CF}"/>
    <cellStyle name="Normal 5 2 2 2 5" xfId="891" xr:uid="{00000000-0005-0000-0000-0000E4020000}"/>
    <cellStyle name="Normal 5 2 2 2 5 2" xfId="1725" xr:uid="{69E6E940-EB27-4D52-BFEB-B4E7E04CC697}"/>
    <cellStyle name="Normal 5 2 2 2 6" xfId="1309" xr:uid="{20B097AB-2657-4FC5-97DC-822272404019}"/>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48793239-FD72-4E73-9338-AE2B53143CD6}"/>
    <cellStyle name="Normal 5 2 2 3 2 2 3" xfId="1319" xr:uid="{AA5485D7-5C71-407A-AEFA-A9235D190422}"/>
    <cellStyle name="Normal 5 2 2 3 2 3" xfId="900" xr:uid="{00000000-0005-0000-0000-0000E9020000}"/>
    <cellStyle name="Normal 5 2 2 3 2 3 2" xfId="1734" xr:uid="{68B0692E-1593-4E8E-8D97-253006E3FE8B}"/>
    <cellStyle name="Normal 5 2 2 3 2 4" xfId="1318" xr:uid="{3A10EB0B-C467-486E-B553-41C2EB9E244E}"/>
    <cellStyle name="Normal 5 2 2 3 3" xfId="423" xr:uid="{00000000-0005-0000-0000-0000EA020000}"/>
    <cellStyle name="Normal 5 2 2 3 3 2" xfId="902" xr:uid="{00000000-0005-0000-0000-0000EB020000}"/>
    <cellStyle name="Normal 5 2 2 3 3 2 2" xfId="1736" xr:uid="{855B7E30-6BD0-477A-94E5-A9B2F6E79011}"/>
    <cellStyle name="Normal 5 2 2 3 3 3" xfId="1320" xr:uid="{49305CDD-22C5-4D94-B967-B586244E55C6}"/>
    <cellStyle name="Normal 5 2 2 3 4" xfId="899" xr:uid="{00000000-0005-0000-0000-0000EC020000}"/>
    <cellStyle name="Normal 5 2 2 3 4 2" xfId="1733" xr:uid="{A47A876E-AFFC-495F-AAC4-4FD89CFD3034}"/>
    <cellStyle name="Normal 5 2 2 3 5" xfId="1317" xr:uid="{D9015813-7F1A-4DFC-8FBA-90662752A189}"/>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2B3C84D8-A21A-46BD-90EF-DCA20A7FC044}"/>
    <cellStyle name="Normal 5 2 2 4 2 3" xfId="1322" xr:uid="{BC72A800-00AE-432E-B8D2-03DFBDCB08BB}"/>
    <cellStyle name="Normal 5 2 2 4 3" xfId="903" xr:uid="{00000000-0005-0000-0000-0000F0020000}"/>
    <cellStyle name="Normal 5 2 2 4 3 2" xfId="1737" xr:uid="{3F5EDBA5-3FAA-4618-ABED-42451BB762AA}"/>
    <cellStyle name="Normal 5 2 2 4 4" xfId="1321" xr:uid="{FE5F04A2-A2E6-4444-A784-E02B216F8F9A}"/>
    <cellStyle name="Normal 5 2 2 5" xfId="426" xr:uid="{00000000-0005-0000-0000-0000F1020000}"/>
    <cellStyle name="Normal 5 2 2 5 2" xfId="905" xr:uid="{00000000-0005-0000-0000-0000F2020000}"/>
    <cellStyle name="Normal 5 2 2 5 2 2" xfId="1739" xr:uid="{53224FA7-A116-4800-9677-9E9F9A061137}"/>
    <cellStyle name="Normal 5 2 2 5 3" xfId="1323" xr:uid="{CB7A211D-8567-45B4-A49E-48519F9062BC}"/>
    <cellStyle name="Normal 5 2 2 6" xfId="890" xr:uid="{00000000-0005-0000-0000-0000F3020000}"/>
    <cellStyle name="Normal 5 2 2 6 2" xfId="1724" xr:uid="{51C73D70-B826-4A6B-B219-AB4296E70800}"/>
    <cellStyle name="Normal 5 2 2 7" xfId="1308" xr:uid="{9907BCB7-36CE-4F40-9560-E5058C47A408}"/>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4E4F0D6C-4436-4A65-92C2-679B3B5831E2}"/>
    <cellStyle name="Normal 5 2 3 2 2 2 3" xfId="1327" xr:uid="{D4FD9814-01C2-44DC-8C59-1D7967E8BFD3}"/>
    <cellStyle name="Normal 5 2 3 2 2 3" xfId="908" xr:uid="{00000000-0005-0000-0000-0000F9020000}"/>
    <cellStyle name="Normal 5 2 3 2 2 3 2" xfId="1742" xr:uid="{92B30F42-C648-4621-81B9-82A0C66FA8FC}"/>
    <cellStyle name="Normal 5 2 3 2 2 4" xfId="1326" xr:uid="{4A6A0CD6-FE70-481C-AABD-F3F757A89D4F}"/>
    <cellStyle name="Normal 5 2 3 2 3" xfId="431" xr:uid="{00000000-0005-0000-0000-0000FA020000}"/>
    <cellStyle name="Normal 5 2 3 2 3 2" xfId="910" xr:uid="{00000000-0005-0000-0000-0000FB020000}"/>
    <cellStyle name="Normal 5 2 3 2 3 2 2" xfId="1744" xr:uid="{116FB4E5-8AF0-4463-9BD5-7A8D3272FAD1}"/>
    <cellStyle name="Normal 5 2 3 2 3 3" xfId="1328" xr:uid="{20B65459-7F0F-4189-B61E-0964FBF2FB94}"/>
    <cellStyle name="Normal 5 2 3 2 4" xfId="907" xr:uid="{00000000-0005-0000-0000-0000FC020000}"/>
    <cellStyle name="Normal 5 2 3 2 4 2" xfId="1741" xr:uid="{B0251CF1-4773-4502-B3C7-25CE113F0427}"/>
    <cellStyle name="Normal 5 2 3 2 5" xfId="1325" xr:uid="{B2F46600-FF88-4911-99D9-3900BDDAA075}"/>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57515C48-CF8F-4D95-B8B7-B227187469E4}"/>
    <cellStyle name="Normal 5 2 3 3 2 3" xfId="1330" xr:uid="{66F1D759-C0CB-4E84-A752-E51808C95C3D}"/>
    <cellStyle name="Normal 5 2 3 3 3" xfId="911" xr:uid="{00000000-0005-0000-0000-000000030000}"/>
    <cellStyle name="Normal 5 2 3 3 3 2" xfId="1745" xr:uid="{A7E13879-6293-4DDA-87BC-6B1374935173}"/>
    <cellStyle name="Normal 5 2 3 3 4" xfId="1329" xr:uid="{5B763548-B6C6-4508-8B13-F43E086DF575}"/>
    <cellStyle name="Normal 5 2 3 4" xfId="434" xr:uid="{00000000-0005-0000-0000-000001030000}"/>
    <cellStyle name="Normal 5 2 3 4 2" xfId="913" xr:uid="{00000000-0005-0000-0000-000002030000}"/>
    <cellStyle name="Normal 5 2 3 4 2 2" xfId="1747" xr:uid="{11AB8F2C-C4FD-4C41-90DB-63E3ADE84E9E}"/>
    <cellStyle name="Normal 5 2 3 4 3" xfId="1331" xr:uid="{6629D59F-ADAF-418C-BC91-39ABFF8EE401}"/>
    <cellStyle name="Normal 5 2 3 5" xfId="906" xr:uid="{00000000-0005-0000-0000-000003030000}"/>
    <cellStyle name="Normal 5 2 3 5 2" xfId="1740" xr:uid="{9A7B4B0F-FC99-43E1-8A5E-F56185F08C1F}"/>
    <cellStyle name="Normal 5 2 3 6" xfId="1324" xr:uid="{16514473-7B78-44C8-984C-DB74F0A0A7D9}"/>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43E0AA63-F9BA-4838-A762-45B93FDF8EAD}"/>
    <cellStyle name="Normal 5 2 4 2 2 3" xfId="1334" xr:uid="{A5F7DFA0-15DC-4264-A09C-5997390771A8}"/>
    <cellStyle name="Normal 5 2 4 2 3" xfId="915" xr:uid="{00000000-0005-0000-0000-000008030000}"/>
    <cellStyle name="Normal 5 2 4 2 3 2" xfId="1749" xr:uid="{01621B51-087C-467A-8E8C-3223F39E7CA7}"/>
    <cellStyle name="Normal 5 2 4 2 4" xfId="1333" xr:uid="{C74D2EA5-40B3-4D51-AD46-3B5DCFEE3150}"/>
    <cellStyle name="Normal 5 2 4 3" xfId="438" xr:uid="{00000000-0005-0000-0000-000009030000}"/>
    <cellStyle name="Normal 5 2 4 3 2" xfId="917" xr:uid="{00000000-0005-0000-0000-00000A030000}"/>
    <cellStyle name="Normal 5 2 4 3 2 2" xfId="1751" xr:uid="{65200884-7023-4BCE-AC3B-8F6B7BA26DC8}"/>
    <cellStyle name="Normal 5 2 4 3 3" xfId="1335" xr:uid="{3D0474D9-ECC1-4160-975A-B937224081C3}"/>
    <cellStyle name="Normal 5 2 4 4" xfId="914" xr:uid="{00000000-0005-0000-0000-00000B030000}"/>
    <cellStyle name="Normal 5 2 4 4 2" xfId="1748" xr:uid="{68F925A1-768F-4847-99A6-5A9C1C65027B}"/>
    <cellStyle name="Normal 5 2 4 5" xfId="1332" xr:uid="{7F921EB2-1057-4933-8E0A-30DB2BF4C1DD}"/>
    <cellStyle name="Normal 5 2 5" xfId="439" xr:uid="{00000000-0005-0000-0000-00000C030000}"/>
    <cellStyle name="Normal 5 2 5 2" xfId="440" xr:uid="{00000000-0005-0000-0000-00000D030000}"/>
    <cellStyle name="Normal 5 2 5 2 2" xfId="919" xr:uid="{00000000-0005-0000-0000-00000E030000}"/>
    <cellStyle name="Normal 5 2 5 2 2 2" xfId="1753" xr:uid="{B7053BE1-F79D-47CD-A0CD-22218435CA95}"/>
    <cellStyle name="Normal 5 2 5 2 3" xfId="1337" xr:uid="{CCB09C2D-ADEB-4B74-AE14-5474B3F15809}"/>
    <cellStyle name="Normal 5 2 5 3" xfId="918" xr:uid="{00000000-0005-0000-0000-00000F030000}"/>
    <cellStyle name="Normal 5 2 5 3 2" xfId="1752" xr:uid="{3E7CABF9-4037-4310-B76D-A660ABA875FE}"/>
    <cellStyle name="Normal 5 2 5 4" xfId="1336" xr:uid="{510D6FAE-79C8-4462-8C0C-24E27A3BEBE3}"/>
    <cellStyle name="Normal 5 2 6" xfId="441" xr:uid="{00000000-0005-0000-0000-000010030000}"/>
    <cellStyle name="Normal 5 2 6 2" xfId="920" xr:uid="{00000000-0005-0000-0000-000011030000}"/>
    <cellStyle name="Normal 5 2 6 2 2" xfId="1754" xr:uid="{926FD5F2-A679-46BE-AEC5-11B61D461196}"/>
    <cellStyle name="Normal 5 2 6 3" xfId="1338" xr:uid="{67B862A1-3C3C-4365-BE4C-C94402F12928}"/>
    <cellStyle name="Normal 5 2 7" xfId="889" xr:uid="{00000000-0005-0000-0000-000012030000}"/>
    <cellStyle name="Normal 5 2 7 2" xfId="1723" xr:uid="{8ACA4530-A51C-46FC-9E90-4FA390B92187}"/>
    <cellStyle name="Normal 5 2 8" xfId="1307" xr:uid="{B5CDE6A6-D7BB-40E0-AA17-7DA0FABE5C7E}"/>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A98A0876-43B2-4158-93C5-ACE0B009DD1C}"/>
    <cellStyle name="Normal 5 3 3 2 2 2 3" xfId="1343" xr:uid="{A4EC3E2B-79B2-493F-978B-C21BEFB500BA}"/>
    <cellStyle name="Normal 5 3 3 2 2 3" xfId="925" xr:uid="{00000000-0005-0000-0000-00001B030000}"/>
    <cellStyle name="Normal 5 3 3 2 2 3 2" xfId="1758" xr:uid="{655635C2-2E39-4AE1-8FA1-E501E35683DA}"/>
    <cellStyle name="Normal 5 3 3 2 2 4" xfId="1342" xr:uid="{C66CFE44-3EE4-454C-9AC9-2E65FA2A2CC5}"/>
    <cellStyle name="Normal 5 3 3 2 3" xfId="448" xr:uid="{00000000-0005-0000-0000-00001C030000}"/>
    <cellStyle name="Normal 5 3 3 2 3 2" xfId="927" xr:uid="{00000000-0005-0000-0000-00001D030000}"/>
    <cellStyle name="Normal 5 3 3 2 3 2 2" xfId="1760" xr:uid="{9771A471-8623-4306-A151-363DB4083901}"/>
    <cellStyle name="Normal 5 3 3 2 3 3" xfId="1344" xr:uid="{32332E16-139A-4CB9-AE4E-58AB8B158D3C}"/>
    <cellStyle name="Normal 5 3 3 2 4" xfId="924" xr:uid="{00000000-0005-0000-0000-00001E030000}"/>
    <cellStyle name="Normal 5 3 3 2 4 2" xfId="1757" xr:uid="{6423BE17-000F-4E30-A09C-36AD29667FA7}"/>
    <cellStyle name="Normal 5 3 3 2 5" xfId="1341" xr:uid="{F173878A-1BFD-4BDF-B4C4-025A0BB7B999}"/>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1261344B-6C90-4907-A8DA-7E2F5B01BDAE}"/>
    <cellStyle name="Normal 5 3 3 3 2 3" xfId="1346" xr:uid="{C8D6D3C7-50FC-4E31-B6A0-08DEF326D66D}"/>
    <cellStyle name="Normal 5 3 3 3 3" xfId="928" xr:uid="{00000000-0005-0000-0000-000022030000}"/>
    <cellStyle name="Normal 5 3 3 3 3 2" xfId="1761" xr:uid="{96893DE0-2539-42DC-9916-893394E7C4D8}"/>
    <cellStyle name="Normal 5 3 3 3 4" xfId="1345" xr:uid="{9C3FC3F5-87C9-4C50-B1F0-86AD55E30B08}"/>
    <cellStyle name="Normal 5 3 3 4" xfId="451" xr:uid="{00000000-0005-0000-0000-000023030000}"/>
    <cellStyle name="Normal 5 3 3 4 2" xfId="930" xr:uid="{00000000-0005-0000-0000-000024030000}"/>
    <cellStyle name="Normal 5 3 3 4 2 2" xfId="1763" xr:uid="{411B4F85-0907-4EBD-8467-38E4AD181FC8}"/>
    <cellStyle name="Normal 5 3 3 4 3" xfId="1347" xr:uid="{E3F7A251-A276-4C32-A0B6-EBC082BADA52}"/>
    <cellStyle name="Normal 5 3 3 5" xfId="923" xr:uid="{00000000-0005-0000-0000-000025030000}"/>
    <cellStyle name="Normal 5 3 3 5 2" xfId="1756" xr:uid="{A51BAA4D-959F-450A-A319-F06B97EF966A}"/>
    <cellStyle name="Normal 5 3 3 6" xfId="1340" xr:uid="{576E58D6-3208-4C6F-9658-E36FDA8FD9FF}"/>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6F2A181B-371C-4C8A-9387-BA0FFC9EAC40}"/>
    <cellStyle name="Normal 5 3 4 2 2 3" xfId="1350" xr:uid="{5AADF108-C72F-4303-9F8D-FB5E5EA328A1}"/>
    <cellStyle name="Normal 5 3 4 2 3" xfId="932" xr:uid="{00000000-0005-0000-0000-00002A030000}"/>
    <cellStyle name="Normal 5 3 4 2 3 2" xfId="1765" xr:uid="{D8B03B1B-0931-403E-ADF3-3CCC8B519649}"/>
    <cellStyle name="Normal 5 3 4 2 4" xfId="1349" xr:uid="{A78B7FDD-1740-495D-80EB-F07D1F405FCB}"/>
    <cellStyle name="Normal 5 3 4 3" xfId="455" xr:uid="{00000000-0005-0000-0000-00002B030000}"/>
    <cellStyle name="Normal 5 3 4 3 2" xfId="934" xr:uid="{00000000-0005-0000-0000-00002C030000}"/>
    <cellStyle name="Normal 5 3 4 3 2 2" xfId="1767" xr:uid="{EC9FF1A9-97D1-4019-95C8-5BD58F2A7803}"/>
    <cellStyle name="Normal 5 3 4 3 3" xfId="1351" xr:uid="{C8F31D08-8200-4BE3-907B-FEAA9AB8E4F6}"/>
    <cellStyle name="Normal 5 3 4 4" xfId="931" xr:uid="{00000000-0005-0000-0000-00002D030000}"/>
    <cellStyle name="Normal 5 3 4 4 2" xfId="1764" xr:uid="{6A4E0E65-2A49-45A4-9495-48F92508810C}"/>
    <cellStyle name="Normal 5 3 4 5" xfId="1348" xr:uid="{398BD857-4903-4EF4-B75C-11EF3EAC3BC6}"/>
    <cellStyle name="Normal 5 3 5" xfId="456" xr:uid="{00000000-0005-0000-0000-00002E030000}"/>
    <cellStyle name="Normal 5 3 5 2" xfId="457" xr:uid="{00000000-0005-0000-0000-00002F030000}"/>
    <cellStyle name="Normal 5 3 5 2 2" xfId="936" xr:uid="{00000000-0005-0000-0000-000030030000}"/>
    <cellStyle name="Normal 5 3 5 2 2 2" xfId="1769" xr:uid="{04942885-3A54-4DE6-AC4C-D0C3AD25523E}"/>
    <cellStyle name="Normal 5 3 5 2 3" xfId="1353" xr:uid="{8A8B3DD7-EC99-4070-9183-85EF305FF72D}"/>
    <cellStyle name="Normal 5 3 5 3" xfId="935" xr:uid="{00000000-0005-0000-0000-000031030000}"/>
    <cellStyle name="Normal 5 3 5 3 2" xfId="1768" xr:uid="{B0D3A812-1E31-400C-88FE-FC316818985A}"/>
    <cellStyle name="Normal 5 3 5 4" xfId="1352" xr:uid="{239443FB-8D0A-411A-9F80-B8F544F169D3}"/>
    <cellStyle name="Normal 5 3 6" xfId="458" xr:uid="{00000000-0005-0000-0000-000032030000}"/>
    <cellStyle name="Normal 5 3 6 2" xfId="937" xr:uid="{00000000-0005-0000-0000-000033030000}"/>
    <cellStyle name="Normal 5 3 6 2 2" xfId="1770" xr:uid="{58C12EC0-32F1-4F38-9EE2-05B150152564}"/>
    <cellStyle name="Normal 5 3 6 3" xfId="1354" xr:uid="{5380A89C-D7E2-4C73-9F5F-4CFF08E11256}"/>
    <cellStyle name="Normal 5 3 7" xfId="921" xr:uid="{00000000-0005-0000-0000-000034030000}"/>
    <cellStyle name="Normal 5 3 7 2" xfId="1755" xr:uid="{D37F9115-B0E2-406A-B1A2-EB8CC1F7E3D1}"/>
    <cellStyle name="Normal 5 3 8" xfId="1339" xr:uid="{BCF306DB-3397-47AA-98E2-55BA92A059AD}"/>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D7072E26-C83B-4566-B655-D330A18DE76E}"/>
    <cellStyle name="Normal 5 4 2 2 2 3" xfId="1358" xr:uid="{E7996729-C09B-4827-BD9E-D85768BD4D35}"/>
    <cellStyle name="Normal 5 4 2 2 3" xfId="940" xr:uid="{00000000-0005-0000-0000-00003A030000}"/>
    <cellStyle name="Normal 5 4 2 2 3 2" xfId="1773" xr:uid="{C99ED330-F614-4321-8354-BF5E47956FC2}"/>
    <cellStyle name="Normal 5 4 2 2 4" xfId="1357" xr:uid="{9A3F4F25-0283-4167-81BF-51D6284D6C97}"/>
    <cellStyle name="Normal 5 4 2 3" xfId="463" xr:uid="{00000000-0005-0000-0000-00003B030000}"/>
    <cellStyle name="Normal 5 4 2 3 2" xfId="942" xr:uid="{00000000-0005-0000-0000-00003C030000}"/>
    <cellStyle name="Normal 5 4 2 3 2 2" xfId="1775" xr:uid="{106AFE55-775B-4567-B6F3-CC543E0F13B2}"/>
    <cellStyle name="Normal 5 4 2 3 3" xfId="1359" xr:uid="{6385A172-D386-4D35-835E-0356B7A8E5C6}"/>
    <cellStyle name="Normal 5 4 2 4" xfId="939" xr:uid="{00000000-0005-0000-0000-00003D030000}"/>
    <cellStyle name="Normal 5 4 2 4 2" xfId="1772" xr:uid="{2BD8D1BA-9CBF-4BA0-87AC-628DC24ABFA4}"/>
    <cellStyle name="Normal 5 4 2 5" xfId="1356" xr:uid="{831655C5-5DD5-4630-8994-68F15D0843E1}"/>
    <cellStyle name="Normal 5 4 3" xfId="464" xr:uid="{00000000-0005-0000-0000-00003E030000}"/>
    <cellStyle name="Normal 5 4 3 2" xfId="465" xr:uid="{00000000-0005-0000-0000-00003F030000}"/>
    <cellStyle name="Normal 5 4 3 2 2" xfId="944" xr:uid="{00000000-0005-0000-0000-000040030000}"/>
    <cellStyle name="Normal 5 4 3 2 2 2" xfId="1777" xr:uid="{DB5ADE1D-41EA-4D2E-80A1-0BEEDBCFF88C}"/>
    <cellStyle name="Normal 5 4 3 2 3" xfId="1361" xr:uid="{273D7536-E765-4F3A-AD45-F40E2D24C588}"/>
    <cellStyle name="Normal 5 4 3 3" xfId="943" xr:uid="{00000000-0005-0000-0000-000041030000}"/>
    <cellStyle name="Normal 5 4 3 3 2" xfId="1776" xr:uid="{D921B55F-64CF-4190-976A-1BE5478EC1A5}"/>
    <cellStyle name="Normal 5 4 3 4" xfId="1360" xr:uid="{08FEF35C-3A46-4D7A-B823-5946A4B9D21A}"/>
    <cellStyle name="Normal 5 4 4" xfId="466" xr:uid="{00000000-0005-0000-0000-000042030000}"/>
    <cellStyle name="Normal 5 4 4 2" xfId="945" xr:uid="{00000000-0005-0000-0000-000043030000}"/>
    <cellStyle name="Normal 5 4 4 2 2" xfId="1778" xr:uid="{39131E03-3B1B-4949-A230-80F1F5FB269A}"/>
    <cellStyle name="Normal 5 4 4 3" xfId="1362" xr:uid="{40919FFD-477A-4C05-BA32-99D265C6338C}"/>
    <cellStyle name="Normal 5 4 5" xfId="938" xr:uid="{00000000-0005-0000-0000-000044030000}"/>
    <cellStyle name="Normal 5 4 5 2" xfId="1771" xr:uid="{B1907CFD-9086-4395-9E10-E0E741E4FF52}"/>
    <cellStyle name="Normal 5 4 6" xfId="1355" xr:uid="{1716108D-4CF3-4666-99D7-5474C46B5C17}"/>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59FAF2DD-B108-4B33-8A4B-92314AF3AF16}"/>
    <cellStyle name="Normal 5 5 2 2 3" xfId="1365" xr:uid="{D69EBF30-EE04-452C-A553-8047EAC19FA5}"/>
    <cellStyle name="Normal 5 5 2 3" xfId="947" xr:uid="{00000000-0005-0000-0000-000049030000}"/>
    <cellStyle name="Normal 5 5 2 3 2" xfId="1780" xr:uid="{36E0585E-1054-400A-A620-3A54A3905056}"/>
    <cellStyle name="Normal 5 5 2 4" xfId="1364" xr:uid="{7B760B84-A9D2-4ABA-8139-B8FA42EB98CD}"/>
    <cellStyle name="Normal 5 5 3" xfId="470" xr:uid="{00000000-0005-0000-0000-00004A030000}"/>
    <cellStyle name="Normal 5 5 3 2" xfId="949" xr:uid="{00000000-0005-0000-0000-00004B030000}"/>
    <cellStyle name="Normal 5 5 3 2 2" xfId="1782" xr:uid="{66301394-CF28-4634-8C2D-A2C041C3EBB0}"/>
    <cellStyle name="Normal 5 5 3 3" xfId="1366" xr:uid="{EBDF92B6-FB60-4B76-A923-DBA72C45DAEB}"/>
    <cellStyle name="Normal 5 5 4" xfId="946" xr:uid="{00000000-0005-0000-0000-00004C030000}"/>
    <cellStyle name="Normal 5 5 4 2" xfId="1779" xr:uid="{C2CEA555-59EB-4B68-8854-E81760F4F308}"/>
    <cellStyle name="Normal 5 5 5" xfId="1363" xr:uid="{5197EBB0-D0B8-4810-892A-BEB119B67BCC}"/>
    <cellStyle name="Normal 5 6" xfId="471" xr:uid="{00000000-0005-0000-0000-00004D030000}"/>
    <cellStyle name="Normal 5 6 2" xfId="472" xr:uid="{00000000-0005-0000-0000-00004E030000}"/>
    <cellStyle name="Normal 5 6 2 2" xfId="951" xr:uid="{00000000-0005-0000-0000-00004F030000}"/>
    <cellStyle name="Normal 5 6 2 2 2" xfId="1784" xr:uid="{EECD619E-8721-4E54-835E-C434EE8960B2}"/>
    <cellStyle name="Normal 5 6 2 3" xfId="1368" xr:uid="{83C4252A-96F4-4076-B471-9F20E28E198C}"/>
    <cellStyle name="Normal 5 6 3" xfId="950" xr:uid="{00000000-0005-0000-0000-000050030000}"/>
    <cellStyle name="Normal 5 6 3 2" xfId="1783" xr:uid="{13B590C9-60D6-4BFB-90C8-32971CB09E47}"/>
    <cellStyle name="Normal 5 6 4" xfId="1367" xr:uid="{9BB2B6CF-4A67-4668-83C6-2DA5FE4EAAAB}"/>
    <cellStyle name="Normal 5 7" xfId="473" xr:uid="{00000000-0005-0000-0000-000051030000}"/>
    <cellStyle name="Normal 5 7 2" xfId="952" xr:uid="{00000000-0005-0000-0000-000052030000}"/>
    <cellStyle name="Normal 5 7 2 2" xfId="1785" xr:uid="{CDD2B4E7-554D-447A-9A1C-749491EC61F7}"/>
    <cellStyle name="Normal 5 7 3" xfId="1369" xr:uid="{70AEE3BF-8BE4-4471-8D96-6143042F66A0}"/>
    <cellStyle name="Normal 5 8" xfId="888" xr:uid="{00000000-0005-0000-0000-000053030000}"/>
    <cellStyle name="Normal 5 8 2" xfId="1722" xr:uid="{262F8536-3160-4615-B560-50CA815E7FE2}"/>
    <cellStyle name="Normal 5 9" xfId="1306" xr:uid="{F188D10C-76EE-41D7-B31F-A71F588D0B82}"/>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6F0D3DB3-A42B-43DD-8063-290FFB2DB563}"/>
    <cellStyle name="Normal 8 2 2 2 2 2 3" xfId="1375" xr:uid="{760BF56F-E066-4438-8B8E-D3FAA9FBEF49}"/>
    <cellStyle name="Normal 8 2 2 2 2 3" xfId="957" xr:uid="{00000000-0005-0000-0000-000062030000}"/>
    <cellStyle name="Normal 8 2 2 2 2 3 2" xfId="1790" xr:uid="{B5ECF36D-C489-4211-AB5A-C2120B6B4125}"/>
    <cellStyle name="Normal 8 2 2 2 2 4" xfId="1374" xr:uid="{1420F573-833E-49B6-B32D-B8B565149A77}"/>
    <cellStyle name="Normal 8 2 2 2 3" xfId="487" xr:uid="{00000000-0005-0000-0000-000063030000}"/>
    <cellStyle name="Normal 8 2 2 2 3 2" xfId="959" xr:uid="{00000000-0005-0000-0000-000064030000}"/>
    <cellStyle name="Normal 8 2 2 2 3 2 2" xfId="1792" xr:uid="{DDA26200-F676-473F-864B-051EB4B89CB2}"/>
    <cellStyle name="Normal 8 2 2 2 3 3" xfId="1376" xr:uid="{529DD215-1D1A-480B-B5D9-AB3895452BA2}"/>
    <cellStyle name="Normal 8 2 2 2 4" xfId="956" xr:uid="{00000000-0005-0000-0000-000065030000}"/>
    <cellStyle name="Normal 8 2 2 2 4 2" xfId="1789" xr:uid="{D7C5F39E-EF8E-4D21-8B09-2B345C2B4D3E}"/>
    <cellStyle name="Normal 8 2 2 2 5" xfId="1373" xr:uid="{2D240414-47A7-4E91-BBBC-CFC264F62EBE}"/>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331DB753-8357-478B-B612-A3A9FE7E32DB}"/>
    <cellStyle name="Normal 8 2 2 3 2 3" xfId="1378" xr:uid="{A69F17C9-68EF-43A5-8DC5-DBACEEDE42AF}"/>
    <cellStyle name="Normal 8 2 2 3 3" xfId="960" xr:uid="{00000000-0005-0000-0000-000069030000}"/>
    <cellStyle name="Normal 8 2 2 3 3 2" xfId="1793" xr:uid="{AD018CA0-9E74-42F2-8DF8-DEF21A33217B}"/>
    <cellStyle name="Normal 8 2 2 3 4" xfId="1377" xr:uid="{7651C28A-9C4F-4B80-8C16-3F0401705135}"/>
    <cellStyle name="Normal 8 2 2 4" xfId="490" xr:uid="{00000000-0005-0000-0000-00006A030000}"/>
    <cellStyle name="Normal 8 2 2 4 2" xfId="962" xr:uid="{00000000-0005-0000-0000-00006B030000}"/>
    <cellStyle name="Normal 8 2 2 4 2 2" xfId="1795" xr:uid="{3C1F3BF3-29AA-4A10-91E8-0E8B9A0467FA}"/>
    <cellStyle name="Normal 8 2 2 4 3" xfId="1379" xr:uid="{7877408C-767D-4768-A173-D5693BE63C69}"/>
    <cellStyle name="Normal 8 2 2 5" xfId="955" xr:uid="{00000000-0005-0000-0000-00006C030000}"/>
    <cellStyle name="Normal 8 2 2 5 2" xfId="1788" xr:uid="{F26AEF8F-0256-40A2-B6B0-68DE7D2D0460}"/>
    <cellStyle name="Normal 8 2 2 6" xfId="1372" xr:uid="{537ADE65-4AC2-470A-AAFC-1E6CA313AF98}"/>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3CFB2EAC-B958-4453-A81D-26CB9BD8DB9E}"/>
    <cellStyle name="Normal 8 2 3 2 2 3" xfId="1382" xr:uid="{CAB325C9-DE2F-4AA7-A0DA-DD340D3B2B19}"/>
    <cellStyle name="Normal 8 2 3 2 3" xfId="964" xr:uid="{00000000-0005-0000-0000-000071030000}"/>
    <cellStyle name="Normal 8 2 3 2 3 2" xfId="1797" xr:uid="{B5F14901-68F0-49D7-AD13-B231B702D6D9}"/>
    <cellStyle name="Normal 8 2 3 2 4" xfId="1381" xr:uid="{8A5DB031-0537-4063-A1CC-06E8D4E1CAE4}"/>
    <cellStyle name="Normal 8 2 3 3" xfId="494" xr:uid="{00000000-0005-0000-0000-000072030000}"/>
    <cellStyle name="Normal 8 2 3 3 2" xfId="966" xr:uid="{00000000-0005-0000-0000-000073030000}"/>
    <cellStyle name="Normal 8 2 3 3 2 2" xfId="1799" xr:uid="{EF293E22-3264-4623-91D3-C51C8EBC55FD}"/>
    <cellStyle name="Normal 8 2 3 3 3" xfId="1383" xr:uid="{1B9EF64B-4F3B-4B17-9E54-D27695443158}"/>
    <cellStyle name="Normal 8 2 3 4" xfId="963" xr:uid="{00000000-0005-0000-0000-000074030000}"/>
    <cellStyle name="Normal 8 2 3 4 2" xfId="1796" xr:uid="{85E082FB-7714-4F03-80DE-3B0E005A7057}"/>
    <cellStyle name="Normal 8 2 3 5" xfId="1380" xr:uid="{E5A16920-835B-466D-A701-42F5684EC583}"/>
    <cellStyle name="Normal 8 2 4" xfId="495" xr:uid="{00000000-0005-0000-0000-000075030000}"/>
    <cellStyle name="Normal 8 2 4 2" xfId="496" xr:uid="{00000000-0005-0000-0000-000076030000}"/>
    <cellStyle name="Normal 8 2 4 2 2" xfId="968" xr:uid="{00000000-0005-0000-0000-000077030000}"/>
    <cellStyle name="Normal 8 2 4 2 2 2" xfId="1801" xr:uid="{D2DC43DE-8C89-4E4B-8141-5B9D659D0AB4}"/>
    <cellStyle name="Normal 8 2 4 2 3" xfId="1385" xr:uid="{361D0E3A-C620-452A-BDB7-AD37C5FFA875}"/>
    <cellStyle name="Normal 8 2 4 3" xfId="967" xr:uid="{00000000-0005-0000-0000-000078030000}"/>
    <cellStyle name="Normal 8 2 4 3 2" xfId="1800" xr:uid="{FADD6682-7C82-495B-8402-19F23922F14F}"/>
    <cellStyle name="Normal 8 2 4 4" xfId="1384" xr:uid="{00B91D0F-A6DF-44D0-9E6E-F3462E015725}"/>
    <cellStyle name="Normal 8 2 5" xfId="497" xr:uid="{00000000-0005-0000-0000-000079030000}"/>
    <cellStyle name="Normal 8 2 5 2" xfId="969" xr:uid="{00000000-0005-0000-0000-00007A030000}"/>
    <cellStyle name="Normal 8 2 5 2 2" xfId="1802" xr:uid="{90B7FF8A-BC20-4D2A-B813-AB9E65B37433}"/>
    <cellStyle name="Normal 8 2 5 3" xfId="1386" xr:uid="{BDDB4A22-A9BE-485D-81B7-3703B265F229}"/>
    <cellStyle name="Normal 8 2 6" xfId="954" xr:uid="{00000000-0005-0000-0000-00007B030000}"/>
    <cellStyle name="Normal 8 2 6 2" xfId="1787" xr:uid="{DF73C3E9-51D0-4708-B5CB-4EB3CEAFB853}"/>
    <cellStyle name="Normal 8 2 7" xfId="1371" xr:uid="{4957C802-9FD5-4E3A-B248-2EDBA31284C6}"/>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902C9AAB-2ACC-4566-8361-52023708FF6D}"/>
    <cellStyle name="Normal 8 3 2 2 2 3" xfId="1390" xr:uid="{9BDD359E-61ED-437B-8E05-E55425B7A89F}"/>
    <cellStyle name="Normal 8 3 2 2 3" xfId="972" xr:uid="{00000000-0005-0000-0000-000081030000}"/>
    <cellStyle name="Normal 8 3 2 2 3 2" xfId="1805" xr:uid="{957C6B91-57FC-4C4A-BBBC-2C2CACA1CE8C}"/>
    <cellStyle name="Normal 8 3 2 2 4" xfId="1389" xr:uid="{A3A26448-2B59-43D7-B293-E1FDCE64A746}"/>
    <cellStyle name="Normal 8 3 2 3" xfId="502" xr:uid="{00000000-0005-0000-0000-000082030000}"/>
    <cellStyle name="Normal 8 3 2 3 2" xfId="974" xr:uid="{00000000-0005-0000-0000-000083030000}"/>
    <cellStyle name="Normal 8 3 2 3 2 2" xfId="1807" xr:uid="{9CD84ADE-B018-469B-BAF2-9510F238763C}"/>
    <cellStyle name="Normal 8 3 2 3 3" xfId="1391" xr:uid="{20F34150-7B68-4243-9548-ECB5D4F61F05}"/>
    <cellStyle name="Normal 8 3 2 4" xfId="971" xr:uid="{00000000-0005-0000-0000-000084030000}"/>
    <cellStyle name="Normal 8 3 2 4 2" xfId="1804" xr:uid="{1776563C-512E-4652-8B23-50A67FE2D100}"/>
    <cellStyle name="Normal 8 3 2 5" xfId="1388" xr:uid="{157695A6-5DC3-4FFD-B075-2360FF0A78DA}"/>
    <cellStyle name="Normal 8 3 3" xfId="503" xr:uid="{00000000-0005-0000-0000-000085030000}"/>
    <cellStyle name="Normal 8 3 3 2" xfId="504" xr:uid="{00000000-0005-0000-0000-000086030000}"/>
    <cellStyle name="Normal 8 3 3 2 2" xfId="976" xr:uid="{00000000-0005-0000-0000-000087030000}"/>
    <cellStyle name="Normal 8 3 3 2 2 2" xfId="1809" xr:uid="{1D0EE175-242C-4603-8879-8C65CC559A92}"/>
    <cellStyle name="Normal 8 3 3 2 3" xfId="1393" xr:uid="{CC177A42-B193-48AE-9D28-FED017760D91}"/>
    <cellStyle name="Normal 8 3 3 3" xfId="975" xr:uid="{00000000-0005-0000-0000-000088030000}"/>
    <cellStyle name="Normal 8 3 3 3 2" xfId="1808" xr:uid="{52D24ECB-3321-42F9-B014-48B669DA349A}"/>
    <cellStyle name="Normal 8 3 3 4" xfId="1392" xr:uid="{ACA6FE3A-3BB1-4DCE-850D-42EF8EA81913}"/>
    <cellStyle name="Normal 8 3 4" xfId="505" xr:uid="{00000000-0005-0000-0000-000089030000}"/>
    <cellStyle name="Normal 8 3 4 2" xfId="977" xr:uid="{00000000-0005-0000-0000-00008A030000}"/>
    <cellStyle name="Normal 8 3 4 2 2" xfId="1810" xr:uid="{26350327-EC5E-4220-98B0-3BA2BF423213}"/>
    <cellStyle name="Normal 8 3 4 3" xfId="1394" xr:uid="{6787CDA3-B895-4965-8F6D-53ECE9C53D93}"/>
    <cellStyle name="Normal 8 3 5" xfId="970" xr:uid="{00000000-0005-0000-0000-00008B030000}"/>
    <cellStyle name="Normal 8 3 5 2" xfId="1803" xr:uid="{8FD45D66-9568-4A64-9DA9-F804843CBA1B}"/>
    <cellStyle name="Normal 8 3 6" xfId="1387" xr:uid="{5DBDC4D7-56F3-4D9B-9504-FD9723AEBA34}"/>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ED4A584A-BD1C-47A5-BD43-B82C66100A81}"/>
    <cellStyle name="Normal 8 4 2 2 3" xfId="1397" xr:uid="{039953ED-70A9-4AEA-9345-6A1C73E1206C}"/>
    <cellStyle name="Normal 8 4 2 3" xfId="979" xr:uid="{00000000-0005-0000-0000-000090030000}"/>
    <cellStyle name="Normal 8 4 2 3 2" xfId="1812" xr:uid="{9754730D-C909-4534-AAE7-95CC2AA141AE}"/>
    <cellStyle name="Normal 8 4 2 4" xfId="1396" xr:uid="{5EE3081D-28B1-4727-B0A0-487764A17DA1}"/>
    <cellStyle name="Normal 8 4 3" xfId="509" xr:uid="{00000000-0005-0000-0000-000091030000}"/>
    <cellStyle name="Normal 8 4 3 2" xfId="981" xr:uid="{00000000-0005-0000-0000-000092030000}"/>
    <cellStyle name="Normal 8 4 3 2 2" xfId="1814" xr:uid="{A31722C9-CFD4-46FC-9683-C60F341D8203}"/>
    <cellStyle name="Normal 8 4 3 3" xfId="1398" xr:uid="{BA560FC7-07C8-46C4-BEB9-BC40E55B60D0}"/>
    <cellStyle name="Normal 8 4 4" xfId="978" xr:uid="{00000000-0005-0000-0000-000093030000}"/>
    <cellStyle name="Normal 8 4 4 2" xfId="1811" xr:uid="{4E79240A-A9A1-4CFB-AA4D-043E57AD3720}"/>
    <cellStyle name="Normal 8 4 5" xfId="1395" xr:uid="{82FFC676-7A04-4ED8-BFCB-CB3B31818078}"/>
    <cellStyle name="Normal 8 5" xfId="510" xr:uid="{00000000-0005-0000-0000-000094030000}"/>
    <cellStyle name="Normal 8 5 2" xfId="511" xr:uid="{00000000-0005-0000-0000-000095030000}"/>
    <cellStyle name="Normal 8 5 2 2" xfId="983" xr:uid="{00000000-0005-0000-0000-000096030000}"/>
    <cellStyle name="Normal 8 5 2 2 2" xfId="1816" xr:uid="{78DA5585-F293-4F13-8641-E6D782125847}"/>
    <cellStyle name="Normal 8 5 2 3" xfId="1400" xr:uid="{64E2C78F-07E4-4785-B140-C30DF472D906}"/>
    <cellStyle name="Normal 8 5 3" xfId="982" xr:uid="{00000000-0005-0000-0000-000097030000}"/>
    <cellStyle name="Normal 8 5 3 2" xfId="1815" xr:uid="{2A0AF7CA-E114-484D-88C4-14D035AC590F}"/>
    <cellStyle name="Normal 8 5 4" xfId="1399" xr:uid="{74D7F60A-560F-425B-9C49-A86A414E19A2}"/>
    <cellStyle name="Normal 8 6" xfId="512" xr:uid="{00000000-0005-0000-0000-000098030000}"/>
    <cellStyle name="Normal 8 6 2" xfId="984" xr:uid="{00000000-0005-0000-0000-000099030000}"/>
    <cellStyle name="Normal 8 6 2 2" xfId="1817" xr:uid="{6DA0C25C-108F-4D22-A5A0-2394D39D0DC8}"/>
    <cellStyle name="Normal 8 6 3" xfId="1401" xr:uid="{C78D0BED-869D-4AF7-8A3E-4C0A7E63E1E2}"/>
    <cellStyle name="Normal 8 7" xfId="953" xr:uid="{00000000-0005-0000-0000-00009A030000}"/>
    <cellStyle name="Normal 8 7 2" xfId="1786" xr:uid="{3D34F9FB-EF6A-4FE1-A0B2-4D7CE0CBC104}"/>
    <cellStyle name="Normal 8 8" xfId="1370" xr:uid="{ADA1E759-6D54-4875-A35A-CB1B9DCA52B3}"/>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1DF194E1-E2A2-4549-B6B4-B4CD86FBE151}"/>
    <cellStyle name="Normal 9 2 2 2 2 2 3" xfId="1406" xr:uid="{E1049EC1-E29F-4302-9EE1-D1CAE4ECD288}"/>
    <cellStyle name="Normal 9 2 2 2 2 3" xfId="989" xr:uid="{00000000-0005-0000-0000-0000A2030000}"/>
    <cellStyle name="Normal 9 2 2 2 2 3 2" xfId="1821" xr:uid="{2B418929-2F50-4E6F-A3A4-693533EE3162}"/>
    <cellStyle name="Normal 9 2 2 2 2 4" xfId="1405" xr:uid="{D9A81718-9320-4C9B-BAA6-CAAE9000BB2B}"/>
    <cellStyle name="Normal 9 2 2 2 3" xfId="519" xr:uid="{00000000-0005-0000-0000-0000A3030000}"/>
    <cellStyle name="Normal 9 2 2 2 3 2" xfId="991" xr:uid="{00000000-0005-0000-0000-0000A4030000}"/>
    <cellStyle name="Normal 9 2 2 2 3 2 2" xfId="1823" xr:uid="{A9E49AB2-C961-4E51-9067-B9337AD6C88F}"/>
    <cellStyle name="Normal 9 2 2 2 3 3" xfId="1407" xr:uid="{56F0AF4D-0FDC-4685-9FDC-436F21CA6D10}"/>
    <cellStyle name="Normal 9 2 2 2 4" xfId="988" xr:uid="{00000000-0005-0000-0000-0000A5030000}"/>
    <cellStyle name="Normal 9 2 2 2 4 2" xfId="1820" xr:uid="{C0E36788-247F-4BDA-90D3-A2591EA29A01}"/>
    <cellStyle name="Normal 9 2 2 2 5" xfId="1404" xr:uid="{FCE69D03-BE2D-4C71-AD17-25FBFA19DF9E}"/>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27366A89-9EE4-4C38-B324-2521737AF583}"/>
    <cellStyle name="Normal 9 2 2 3 2 3" xfId="1409" xr:uid="{524D27DD-8C40-4B2C-BBF0-AFDF0A1B3AA4}"/>
    <cellStyle name="Normal 9 2 2 3 3" xfId="992" xr:uid="{00000000-0005-0000-0000-0000A9030000}"/>
    <cellStyle name="Normal 9 2 2 3 3 2" xfId="1824" xr:uid="{E1F504F9-AD85-429E-AC6E-8B6A24986731}"/>
    <cellStyle name="Normal 9 2 2 3 4" xfId="1408" xr:uid="{43EBF59F-ADC1-406C-B289-B6FAA30CBEE7}"/>
    <cellStyle name="Normal 9 2 2 4" xfId="522" xr:uid="{00000000-0005-0000-0000-0000AA030000}"/>
    <cellStyle name="Normal 9 2 2 4 2" xfId="994" xr:uid="{00000000-0005-0000-0000-0000AB030000}"/>
    <cellStyle name="Normal 9 2 2 4 2 2" xfId="1826" xr:uid="{88F42923-F168-45D2-8D48-8EE925C11F7C}"/>
    <cellStyle name="Normal 9 2 2 4 3" xfId="1410" xr:uid="{2345125C-1462-4204-8151-9762F222FA25}"/>
    <cellStyle name="Normal 9 2 2 5" xfId="987" xr:uid="{00000000-0005-0000-0000-0000AC030000}"/>
    <cellStyle name="Normal 9 2 2 5 2" xfId="1819" xr:uid="{A943E982-0A11-40D5-82F8-C92538CFF2BE}"/>
    <cellStyle name="Normal 9 2 2 6" xfId="1403" xr:uid="{B57F361D-8D8A-4112-85B8-6780A13B0737}"/>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726BC0BD-C52F-4476-A205-841305F62881}"/>
    <cellStyle name="Normal 9 2 3 2 2 3" xfId="1413" xr:uid="{156180D9-B688-440C-8B0C-563DCD402E70}"/>
    <cellStyle name="Normal 9 2 3 2 3" xfId="996" xr:uid="{00000000-0005-0000-0000-0000B1030000}"/>
    <cellStyle name="Normal 9 2 3 2 3 2" xfId="1828" xr:uid="{6C3F3F15-F5BC-4EC1-8FCD-207CE52BDD02}"/>
    <cellStyle name="Normal 9 2 3 2 4" xfId="1412" xr:uid="{492266AD-11B3-45CC-A96C-1347C7FE371C}"/>
    <cellStyle name="Normal 9 2 3 3" xfId="526" xr:uid="{00000000-0005-0000-0000-0000B2030000}"/>
    <cellStyle name="Normal 9 2 3 3 2" xfId="998" xr:uid="{00000000-0005-0000-0000-0000B3030000}"/>
    <cellStyle name="Normal 9 2 3 3 2 2" xfId="1830" xr:uid="{70352AA3-E318-4418-9978-F6A09180936B}"/>
    <cellStyle name="Normal 9 2 3 3 3" xfId="1414" xr:uid="{AEEF9396-8DCC-470E-9B27-E53CA92A0359}"/>
    <cellStyle name="Normal 9 2 3 4" xfId="995" xr:uid="{00000000-0005-0000-0000-0000B4030000}"/>
    <cellStyle name="Normal 9 2 3 4 2" xfId="1827" xr:uid="{F1278490-D966-4B1A-A680-2535AB56244C}"/>
    <cellStyle name="Normal 9 2 3 5" xfId="1411" xr:uid="{C23EB1D1-72E2-4B67-8BEC-9D079F2B7FBF}"/>
    <cellStyle name="Normal 9 2 4" xfId="527" xr:uid="{00000000-0005-0000-0000-0000B5030000}"/>
    <cellStyle name="Normal 9 2 4 2" xfId="528" xr:uid="{00000000-0005-0000-0000-0000B6030000}"/>
    <cellStyle name="Normal 9 2 4 2 2" xfId="1000" xr:uid="{00000000-0005-0000-0000-0000B7030000}"/>
    <cellStyle name="Normal 9 2 4 2 2 2" xfId="1832" xr:uid="{D51D635B-5B95-479F-8F93-98C547CB0251}"/>
    <cellStyle name="Normal 9 2 4 2 3" xfId="1416" xr:uid="{FDFF0A72-3D46-4EEF-93B2-D538CD0198DD}"/>
    <cellStyle name="Normal 9 2 4 3" xfId="999" xr:uid="{00000000-0005-0000-0000-0000B8030000}"/>
    <cellStyle name="Normal 9 2 4 3 2" xfId="1831" xr:uid="{94B52FB6-0889-46A7-8076-3E3D47585711}"/>
    <cellStyle name="Normal 9 2 4 4" xfId="1415" xr:uid="{FF7ABB3B-6738-4180-91AE-B7C9E87A5804}"/>
    <cellStyle name="Normal 9 2 5" xfId="529" xr:uid="{00000000-0005-0000-0000-0000B9030000}"/>
    <cellStyle name="Normal 9 2 5 2" xfId="1001" xr:uid="{00000000-0005-0000-0000-0000BA030000}"/>
    <cellStyle name="Normal 9 2 5 2 2" xfId="1833" xr:uid="{08F557A3-AD89-4E11-8EEC-9E6FB4CAF8EB}"/>
    <cellStyle name="Normal 9 2 5 3" xfId="1417" xr:uid="{A38DFF70-D35F-4D9D-B47B-F70487C9CC92}"/>
    <cellStyle name="Normal 9 2 6" xfId="986" xr:uid="{00000000-0005-0000-0000-0000BB030000}"/>
    <cellStyle name="Normal 9 2 6 2" xfId="1818" xr:uid="{52EFAAC6-BD88-4201-B163-04AC06706259}"/>
    <cellStyle name="Normal 9 2 7" xfId="1402" xr:uid="{2844A001-1760-4B3D-B1FD-C96E51E414C2}"/>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7F3916CA-9405-437D-A79E-FA4C8E59790E}"/>
    <cellStyle name="Normal 9 3 2 2 2 3" xfId="1421" xr:uid="{EA0F69BD-A311-44F1-90D8-304768807F5B}"/>
    <cellStyle name="Normal 9 3 2 2 3" xfId="1004" xr:uid="{00000000-0005-0000-0000-0000C1030000}"/>
    <cellStyle name="Normal 9 3 2 2 3 2" xfId="1836" xr:uid="{A1E86609-BD2D-4447-9222-D52CDA2A218E}"/>
    <cellStyle name="Normal 9 3 2 2 4" xfId="1420" xr:uid="{FC876358-DCF8-49A0-9159-3998ADBEA8AE}"/>
    <cellStyle name="Normal 9 3 2 3" xfId="534" xr:uid="{00000000-0005-0000-0000-0000C2030000}"/>
    <cellStyle name="Normal 9 3 2 3 2" xfId="1006" xr:uid="{00000000-0005-0000-0000-0000C3030000}"/>
    <cellStyle name="Normal 9 3 2 3 2 2" xfId="1838" xr:uid="{92F0A7A5-EB09-4610-A293-8BE1E1B99D69}"/>
    <cellStyle name="Normal 9 3 2 3 3" xfId="1422" xr:uid="{7420504C-06BA-4747-BEE4-A7D61CC5755D}"/>
    <cellStyle name="Normal 9 3 2 4" xfId="1003" xr:uid="{00000000-0005-0000-0000-0000C4030000}"/>
    <cellStyle name="Normal 9 3 2 4 2" xfId="1835" xr:uid="{AED4B914-26F8-480C-9AFB-BEB2667EDB4F}"/>
    <cellStyle name="Normal 9 3 2 5" xfId="1419" xr:uid="{1960E663-74FD-4E6F-A71E-10B31C0E9CA2}"/>
    <cellStyle name="Normal 9 3 3" xfId="535" xr:uid="{00000000-0005-0000-0000-0000C5030000}"/>
    <cellStyle name="Normal 9 3 3 2" xfId="536" xr:uid="{00000000-0005-0000-0000-0000C6030000}"/>
    <cellStyle name="Normal 9 3 3 2 2" xfId="1008" xr:uid="{00000000-0005-0000-0000-0000C7030000}"/>
    <cellStyle name="Normal 9 3 3 2 2 2" xfId="1840" xr:uid="{60F80C2D-0AAC-4A46-B8A0-680EE4895652}"/>
    <cellStyle name="Normal 9 3 3 2 3" xfId="1424" xr:uid="{FBBE12C4-8E49-43C2-BFE0-4288C9CEE717}"/>
    <cellStyle name="Normal 9 3 3 3" xfId="1007" xr:uid="{00000000-0005-0000-0000-0000C8030000}"/>
    <cellStyle name="Normal 9 3 3 3 2" xfId="1839" xr:uid="{C2D4E642-FF46-4107-995A-CDC951438F97}"/>
    <cellStyle name="Normal 9 3 3 4" xfId="1423" xr:uid="{BA46CCDB-7080-48B6-86D3-709ECF46BCA0}"/>
    <cellStyle name="Normal 9 3 4" xfId="537" xr:uid="{00000000-0005-0000-0000-0000C9030000}"/>
    <cellStyle name="Normal 9 3 4 2" xfId="1009" xr:uid="{00000000-0005-0000-0000-0000CA030000}"/>
    <cellStyle name="Normal 9 3 4 2 2" xfId="1841" xr:uid="{9A5F8042-601B-4F38-9F68-10E29EF01E64}"/>
    <cellStyle name="Normal 9 3 4 3" xfId="1425" xr:uid="{296EFF7F-05D4-467F-9ECA-0AD203AAB23B}"/>
    <cellStyle name="Normal 9 3 5" xfId="1002" xr:uid="{00000000-0005-0000-0000-0000CB030000}"/>
    <cellStyle name="Normal 9 3 5 2" xfId="1834" xr:uid="{D3D4A8D8-E617-4164-8404-C923DBE42A1A}"/>
    <cellStyle name="Normal 9 3 6" xfId="1418" xr:uid="{7969D96E-2E9A-4DBA-857E-15FE82300B5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DBB294A4-84D5-4C30-84D3-67AF4C223473}"/>
    <cellStyle name="Normal 9 5 2 3" xfId="1427" xr:uid="{BE370DF7-630E-4C95-804E-F821F6015926}"/>
    <cellStyle name="Normal 9 5 3" xfId="1011" xr:uid="{00000000-0005-0000-0000-0000D1030000}"/>
    <cellStyle name="Normal 9 5 3 2" xfId="1842" xr:uid="{897F68E8-9F9E-40CA-BD94-CF322A7F8758}"/>
    <cellStyle name="Normal 9 5 4" xfId="1426" xr:uid="{2A403392-14EB-4E90-89CA-31C227F33B9A}"/>
    <cellStyle name="Normal 9 6" xfId="541" xr:uid="{00000000-0005-0000-0000-0000D2030000}"/>
    <cellStyle name="Normal 9 6 2" xfId="1013" xr:uid="{00000000-0005-0000-0000-0000D3030000}"/>
    <cellStyle name="Normal 9 6 2 2" xfId="1844" xr:uid="{0A336F15-49AA-46D4-8494-E57FB1699998}"/>
    <cellStyle name="Normal 9 6 3" xfId="1428" xr:uid="{95B6FD06-26D2-499F-933C-D131DE9DEFE3}"/>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22DBF2AD-F22D-4660-99E5-DFB1858FA259}"/>
    <cellStyle name="Note 2 2 2 2 3" xfId="1431" xr:uid="{8F5D7936-F92F-4897-A72F-131FD09097CF}"/>
    <cellStyle name="Note 2 2 2 3" xfId="1015" xr:uid="{00000000-0005-0000-0000-0000E0030000}"/>
    <cellStyle name="Note 2 2 2 3 2" xfId="1846" xr:uid="{77565FDC-BD4D-492C-BE16-05BAAA6AEB97}"/>
    <cellStyle name="Note 2 2 2 4" xfId="1430" xr:uid="{E6905623-0EBB-4073-9FB3-3A3C7A382888}"/>
    <cellStyle name="Note 2 2 3" xfId="552" xr:uid="{00000000-0005-0000-0000-0000E1030000}"/>
    <cellStyle name="Note 2 2 3 2" xfId="1017" xr:uid="{00000000-0005-0000-0000-0000E2030000}"/>
    <cellStyle name="Note 2 2 3 2 2" xfId="1848" xr:uid="{9D7FE74C-693F-4B3E-8391-F9B048009155}"/>
    <cellStyle name="Note 2 2 3 3" xfId="1432" xr:uid="{E629C385-CF5D-45E5-B6A2-1D7CBF7CA55B}"/>
    <cellStyle name="Note 2 2 4" xfId="1014" xr:uid="{00000000-0005-0000-0000-0000E3030000}"/>
    <cellStyle name="Note 2 2 4 2" xfId="1845" xr:uid="{FC2EE3CB-6805-444A-B8D5-00C2285CA3DA}"/>
    <cellStyle name="Note 2 2 5" xfId="1429" xr:uid="{D5FCD04E-1BB8-4640-98FC-83303965A451}"/>
    <cellStyle name="Note 2 3" xfId="553" xr:uid="{00000000-0005-0000-0000-0000E4030000}"/>
    <cellStyle name="Note 2 3 2" xfId="554" xr:uid="{00000000-0005-0000-0000-0000E5030000}"/>
    <cellStyle name="Note 2 3 2 2" xfId="1019" xr:uid="{00000000-0005-0000-0000-0000E6030000}"/>
    <cellStyle name="Note 2 3 2 2 2" xfId="1850" xr:uid="{E840F0D8-3CB4-4961-BC52-1443F3027F2C}"/>
    <cellStyle name="Note 2 3 2 3" xfId="1434" xr:uid="{2941683C-C4C5-46B0-9209-20F527E16DAB}"/>
    <cellStyle name="Note 2 3 3" xfId="1018" xr:uid="{00000000-0005-0000-0000-0000E7030000}"/>
    <cellStyle name="Note 2 3 3 2" xfId="1849" xr:uid="{3C347308-AFC3-495E-BDB5-F17F7936F927}"/>
    <cellStyle name="Note 2 3 4" xfId="1433" xr:uid="{6D3AFE0A-0AF1-435B-B254-2ACD0DFFCD23}"/>
    <cellStyle name="Note 2 4" xfId="555" xr:uid="{00000000-0005-0000-0000-0000E8030000}"/>
    <cellStyle name="Note 2 4 2" xfId="1020" xr:uid="{00000000-0005-0000-0000-0000E9030000}"/>
    <cellStyle name="Note 2 4 2 2" xfId="1851" xr:uid="{3E094BF8-690A-41BD-A3EC-3B4072223E1D}"/>
    <cellStyle name="Note 2 4 3" xfId="1435" xr:uid="{C9FC4703-2E66-4EF7-95FB-65A2CAB0CDC5}"/>
    <cellStyle name="Note 2 5" xfId="556" xr:uid="{00000000-0005-0000-0000-0000EA030000}"/>
    <cellStyle name="Note 2 5 2" xfId="1021" xr:uid="{00000000-0005-0000-0000-0000EB030000}"/>
    <cellStyle name="Note 2 5 2 2" xfId="1852" xr:uid="{E3A3C5BC-0E09-4C33-9648-7E60D89BB31F}"/>
    <cellStyle name="Note 2 5 3" xfId="1436" xr:uid="{1B835923-3A99-4027-9209-94CBC5E6F689}"/>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096A073F-7D2F-489F-89BC-AA05A76B5593}"/>
    <cellStyle name="Note 3 2 2 2 3" xfId="1439" xr:uid="{1DFD5F41-328E-4C92-8485-F0039FE824DB}"/>
    <cellStyle name="Note 3 2 2 3" xfId="1023" xr:uid="{00000000-0005-0000-0000-0000F1030000}"/>
    <cellStyle name="Note 3 2 2 3 2" xfId="1854" xr:uid="{5A5B6633-D0DD-4706-8245-C0A09D6A8406}"/>
    <cellStyle name="Note 3 2 2 4" xfId="1438" xr:uid="{F7D8D021-51A3-4A46-B885-00836A106A47}"/>
    <cellStyle name="Note 3 2 3" xfId="561" xr:uid="{00000000-0005-0000-0000-0000F2030000}"/>
    <cellStyle name="Note 3 2 3 2" xfId="1025" xr:uid="{00000000-0005-0000-0000-0000F3030000}"/>
    <cellStyle name="Note 3 2 3 2 2" xfId="1856" xr:uid="{921D3597-AE42-4F29-92A6-0E50D992F8EC}"/>
    <cellStyle name="Note 3 2 3 3" xfId="1440" xr:uid="{E00D03EF-C2B6-433D-9B2B-225A35AA87BE}"/>
    <cellStyle name="Note 3 2 4" xfId="1022" xr:uid="{00000000-0005-0000-0000-0000F4030000}"/>
    <cellStyle name="Note 3 2 4 2" xfId="1853" xr:uid="{91734DD2-A31B-450A-A7DA-474C7F122410}"/>
    <cellStyle name="Note 3 2 5" xfId="1437" xr:uid="{9E94CEAE-E241-4555-9629-30FC598E7890}"/>
    <cellStyle name="Note 3 3" xfId="562" xr:uid="{00000000-0005-0000-0000-0000F5030000}"/>
    <cellStyle name="Note 3 3 2" xfId="563" xr:uid="{00000000-0005-0000-0000-0000F6030000}"/>
    <cellStyle name="Note 3 3 2 2" xfId="1027" xr:uid="{00000000-0005-0000-0000-0000F7030000}"/>
    <cellStyle name="Note 3 3 2 2 2" xfId="1858" xr:uid="{F6D92CA4-8B9A-4DC1-B6FA-9CAD445DCF0E}"/>
    <cellStyle name="Note 3 3 2 3" xfId="1442" xr:uid="{D88C7CC3-9C0A-40CA-8296-3483C2B7EE7E}"/>
    <cellStyle name="Note 3 3 3" xfId="1026" xr:uid="{00000000-0005-0000-0000-0000F8030000}"/>
    <cellStyle name="Note 3 3 3 2" xfId="1857" xr:uid="{7661A039-4345-403F-B889-97E32D7010FA}"/>
    <cellStyle name="Note 3 3 4" xfId="1441" xr:uid="{2933B9A9-AF53-43FA-BC4C-D2D6578E9C09}"/>
    <cellStyle name="Note 3 4" xfId="564" xr:uid="{00000000-0005-0000-0000-0000F9030000}"/>
    <cellStyle name="Note 3 4 2" xfId="1028" xr:uid="{00000000-0005-0000-0000-0000FA030000}"/>
    <cellStyle name="Note 3 4 2 2" xfId="1859" xr:uid="{00D29967-824F-4388-8538-94823BFE5718}"/>
    <cellStyle name="Note 3 4 3" xfId="1443" xr:uid="{4AE457C2-02E8-4D61-9989-1F0E698D1C88}"/>
    <cellStyle name="Note 3 5" xfId="565" xr:uid="{00000000-0005-0000-0000-0000FB030000}"/>
    <cellStyle name="Note 3 5 2" xfId="1029" xr:uid="{00000000-0005-0000-0000-0000FC030000}"/>
    <cellStyle name="Note 3 5 2 2" xfId="1860" xr:uid="{5EE4DAF1-3B11-406C-B25B-CA6CDA2CDFF1}"/>
    <cellStyle name="Note 3 5 3" xfId="1444" xr:uid="{373BF467-20DC-431B-8A20-1B1BE5AF7BA7}"/>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0BE9A94F-8870-425E-8C2F-A32B3B4B7111}"/>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619000-21619999\21619539\L\L\Parlier%202nd%20Round%202024%206-18-24%20BUILDERS%20PATCH%20(ID%2021619539).xlsm" TargetMode="External"/><Relationship Id="rId1" Type="http://schemas.openxmlformats.org/officeDocument/2006/relationships/externalLinkPath" Target="file:///M:\Danco\ID2\A3108815-C4F0-433C-9B1A-4C97292995EF\0\21619000-21619999\21619539\L\L\Parlier%202nd%20Round%202024%206-18-24%20BUILDERS%20PATCH%20(ID%20216195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BP-data import"/>
      <sheetName val="BP- deal core data"/>
      <sheetName val="BP - development budget v2"/>
      <sheetName val="BP-Rental Income v2"/>
      <sheetName val="BP- Income Opex v2"/>
      <sheetName val="Summary"/>
      <sheetName val="Assumptions"/>
      <sheetName val="Basis and Credits"/>
      <sheetName val="Threshold Basis"/>
      <sheetName val="Threshold Basis Limit Charts"/>
      <sheetName val="Points System"/>
      <sheetName val="50% Test"/>
      <sheetName val="HCD Program Capital Amounts"/>
      <sheetName val="Market Study Info"/>
      <sheetName val="Sources and Uses Budget"/>
      <sheetName val="Unit Spread"/>
      <sheetName val="Trade Item Breakdown - Old DNU"/>
      <sheetName val="ExpensesToDate"/>
      <sheetName val="Draw Schedule"/>
      <sheetName val="Impact Fees"/>
      <sheetName val="Cost of Issuance Breakdown"/>
      <sheetName val="Year 1 Proforma"/>
      <sheetName val="15 Year Proforma"/>
      <sheetName val="P&amp;O Calculator"/>
      <sheetName val="2017 Final Tie Breaker"/>
      <sheetName val="2018 Final Tie Breaker"/>
      <sheetName val="HCD Operating"/>
      <sheetName val="TCAC Operating Expenses"/>
      <sheetName val="COSR Calculation"/>
      <sheetName val="HCD Funding"/>
      <sheetName val="Income Avg"/>
      <sheetName val="Services Budget"/>
      <sheetName val="2024 9% Tie Breaker"/>
      <sheetName val="OLD Dev Fee Calculator - DNU "/>
      <sheetName val="2024 Dev Fee Calc - TCAC"/>
      <sheetName val="Developer Fee Calculator"/>
      <sheetName val="Homekey Summary"/>
      <sheetName val="HOMEKEY Table"/>
      <sheetName val="Draw Sheet"/>
      <sheetName val="Installments"/>
      <sheetName val="TCAC Scoring"/>
      <sheetName val="CDLAC Scoring"/>
      <sheetName val="Trade Item Breakdown"/>
      <sheetName val="Stats"/>
      <sheetName val="CDLAC Scoring NEW"/>
      <sheetName val="Tab 40 CDLAC Points"/>
      <sheetName val="CDLAC Tie Breaker 2023"/>
      <sheetName val="BGCalculations"/>
      <sheetName val="HUD FMRs"/>
      <sheetName val="ZoningGEOIDold"/>
      <sheetName val="Stabilization Analysis"/>
      <sheetName val="Post Completion Sources &amp; Uses"/>
      <sheetName val="Const. Loan Interest Breakdown"/>
      <sheetName val="WebGrab"/>
      <sheetName val="ZoningGEO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5">
          <cell r="B15" t="str">
            <v>PLHA</v>
          </cell>
          <cell r="C15">
            <v>4750000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2315</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2304</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2305</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2316</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2298</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9" t="s">
        <v>2299</v>
      </c>
      <c r="B2" s="1039"/>
      <c r="C2" s="986"/>
      <c r="D2" s="986"/>
      <c r="E2" s="986"/>
      <c r="F2" s="986"/>
      <c r="G2" s="986"/>
      <c r="I2" t="s">
        <v>79</v>
      </c>
    </row>
    <row r="3" spans="1:9" ht="13.2">
      <c r="A3" s="190"/>
      <c r="B3" s="190"/>
      <c r="C3"/>
      <c r="D3"/>
      <c r="E3"/>
      <c r="F3"/>
      <c r="G3"/>
      <c r="I3" s="5" t="s">
        <v>1392</v>
      </c>
    </row>
    <row r="4" spans="1:9" ht="13.2">
      <c r="A4" s="1040" t="s">
        <v>2133</v>
      </c>
      <c r="B4" s="1040"/>
      <c r="C4" s="1041"/>
      <c r="D4" s="1041"/>
      <c r="E4" s="1041"/>
      <c r="F4" s="1041"/>
      <c r="G4" s="1041"/>
      <c r="I4" s="5" t="s">
        <v>1376</v>
      </c>
    </row>
    <row r="5" spans="1:9" ht="13.2">
      <c r="A5" s="1040" t="s">
        <v>1041</v>
      </c>
      <c r="B5" s="1040"/>
      <c r="C5" s="1041"/>
      <c r="D5" s="1041"/>
      <c r="E5" s="1041"/>
      <c r="F5" s="1041"/>
      <c r="G5" s="1041"/>
      <c r="I5" t="s">
        <v>124</v>
      </c>
    </row>
    <row r="6" spans="1:9" ht="13.65" customHeight="1"/>
    <row r="7" spans="1:9" ht="13.2">
      <c r="A7" s="1043" t="s">
        <v>2310</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1544</v>
      </c>
      <c r="B10" s="1029"/>
      <c r="C10" s="1029"/>
      <c r="D10" s="1029"/>
      <c r="E10" s="1029"/>
      <c r="F10" s="1029"/>
      <c r="G10" s="1029"/>
    </row>
    <row r="11" spans="1:9" ht="13.2">
      <c r="A11" s="190"/>
      <c r="B11" s="190"/>
    </row>
    <row r="12" spans="1:9" ht="13.65" customHeight="1">
      <c r="C12" s="190"/>
      <c r="D12" s="1042" t="s">
        <v>1543</v>
      </c>
      <c r="E12" s="1042"/>
      <c r="F12" s="1042"/>
      <c r="G12" s="610"/>
    </row>
    <row r="13" spans="1:9" ht="13.2">
      <c r="C13" s="190"/>
      <c r="D13" s="1042"/>
      <c r="E13" s="1042"/>
      <c r="F13" s="1042"/>
      <c r="G13" s="610"/>
    </row>
    <row r="14" spans="1:9" ht="13.2">
      <c r="A14" s="191"/>
      <c r="B14" s="191"/>
      <c r="C14" s="191"/>
      <c r="D14" s="995" t="s">
        <v>1414</v>
      </c>
      <c r="E14" s="995"/>
      <c r="F14" s="995"/>
    </row>
    <row r="15" spans="1:9" ht="13.2">
      <c r="A15" s="191"/>
      <c r="B15" s="191"/>
      <c r="C15" s="191"/>
    </row>
    <row r="16" spans="1:9" ht="14.4" customHeight="1">
      <c r="A16" s="271"/>
      <c r="B16" s="609" t="s">
        <v>79</v>
      </c>
      <c r="C16" s="191"/>
      <c r="D16" s="968" t="s">
        <v>2062</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2063</v>
      </c>
      <c r="F19" s="24"/>
      <c r="G19" s="354"/>
    </row>
    <row r="20" spans="1:7" ht="13.2">
      <c r="A20" s="191"/>
      <c r="B20" s="191"/>
      <c r="C20" s="191"/>
    </row>
    <row r="21" spans="1:7" ht="14.4">
      <c r="A21" s="271"/>
      <c r="B21" s="609" t="s">
        <v>79</v>
      </c>
      <c r="D21" s="968" t="s">
        <v>2064</v>
      </c>
      <c r="E21" s="975"/>
      <c r="F21" s="975"/>
    </row>
    <row r="22" spans="1:7" ht="13.2">
      <c r="D22" s="975"/>
      <c r="E22" s="975"/>
      <c r="F22" s="975"/>
    </row>
    <row r="23" spans="1:7" ht="13.2">
      <c r="D23" s="102"/>
      <c r="E23" s="104" t="s">
        <v>2065</v>
      </c>
      <c r="F23" s="102"/>
    </row>
    <row r="24" spans="1:7" ht="14.4">
      <c r="A24" s="271"/>
      <c r="B24" s="271"/>
      <c r="D24" s="44"/>
    </row>
    <row r="25" spans="1:7" ht="14.4">
      <c r="A25" s="271"/>
      <c r="B25" s="609" t="s">
        <v>79</v>
      </c>
      <c r="D25" s="975" t="s">
        <v>1408</v>
      </c>
      <c r="E25" s="975"/>
      <c r="F25" s="975"/>
    </row>
    <row r="26" spans="1:7" ht="14.4">
      <c r="A26" s="271"/>
      <c r="B26" s="271"/>
      <c r="D26" s="975"/>
      <c r="E26" s="975"/>
      <c r="F26" s="975"/>
    </row>
    <row r="27" spans="1:7" ht="14.4">
      <c r="A27" s="271"/>
      <c r="B27" s="271"/>
      <c r="D27" s="44"/>
    </row>
    <row r="28" spans="1:7" ht="14.25" customHeight="1">
      <c r="A28" s="271"/>
      <c r="B28" s="609" t="s">
        <v>79</v>
      </c>
      <c r="D28" s="968" t="s">
        <v>2134</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79</v>
      </c>
      <c r="D34" s="975" t="s">
        <v>2135</v>
      </c>
      <c r="E34" s="975"/>
      <c r="F34" s="975"/>
    </row>
    <row r="35" spans="1:6" ht="14.4">
      <c r="A35" s="271"/>
      <c r="B35" s="271"/>
      <c r="D35" s="975"/>
      <c r="E35" s="975"/>
      <c r="F35" s="975"/>
    </row>
    <row r="36" spans="1:6" ht="14.4">
      <c r="A36" s="271"/>
      <c r="B36" s="271"/>
      <c r="D36" s="209"/>
      <c r="E36" s="209"/>
      <c r="F36" s="209"/>
    </row>
    <row r="37" spans="1:6" ht="14.4">
      <c r="A37" s="271"/>
      <c r="B37" s="609" t="s">
        <v>79</v>
      </c>
      <c r="D37" s="968" t="s">
        <v>1753</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79</v>
      </c>
      <c r="D46" s="975" t="s">
        <v>1441</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79</v>
      </c>
      <c r="D52" s="968" t="s">
        <v>1884</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79</v>
      </c>
      <c r="D59" s="968" t="s">
        <v>1926</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79</v>
      </c>
      <c r="D64" s="975" t="s">
        <v>2136</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79</v>
      </c>
      <c r="D68" s="968" t="s">
        <v>2066</v>
      </c>
      <c r="E68" s="975"/>
      <c r="F68" s="975"/>
    </row>
    <row r="69" spans="1:6" ht="13.2">
      <c r="D69" s="975"/>
      <c r="E69" s="975"/>
      <c r="F69" s="975"/>
    </row>
    <row r="70" spans="1:6" ht="13.2">
      <c r="D70" s="975"/>
      <c r="E70" s="975"/>
      <c r="F70" s="975"/>
    </row>
    <row r="71" spans="1:6" ht="14.4">
      <c r="A71" s="271"/>
      <c r="B71" s="271"/>
      <c r="D71" s="209"/>
      <c r="E71" s="128" t="s">
        <v>2063</v>
      </c>
      <c r="F71" s="209"/>
    </row>
    <row r="72" spans="1:6" ht="14.4">
      <c r="A72" s="271"/>
      <c r="B72" s="271"/>
    </row>
    <row r="73" spans="1:6" ht="14.4">
      <c r="A73" s="271"/>
      <c r="B73" s="609" t="s">
        <v>79</v>
      </c>
      <c r="D73" s="975" t="s">
        <v>1542</v>
      </c>
      <c r="E73" s="975"/>
      <c r="F73" s="975"/>
    </row>
    <row r="74" spans="1:6" ht="13.2">
      <c r="D74" s="975"/>
      <c r="E74" s="975"/>
      <c r="F74" s="975"/>
    </row>
    <row r="75" spans="1:6" ht="13.2">
      <c r="D75" s="975"/>
      <c r="E75" s="975"/>
      <c r="F75" s="975"/>
    </row>
    <row r="76" spans="1:6" ht="13.2"/>
    <row r="77" spans="1:6" ht="14.4">
      <c r="A77" s="271" t="s">
        <v>229</v>
      </c>
      <c r="B77" s="609" t="s">
        <v>79</v>
      </c>
      <c r="D77" s="975" t="s">
        <v>1444</v>
      </c>
      <c r="E77" s="975"/>
      <c r="F77" s="975"/>
    </row>
    <row r="78" spans="1:6" ht="13.2">
      <c r="D78" s="975"/>
      <c r="E78" s="975"/>
      <c r="F78" s="975"/>
    </row>
    <row r="79" spans="1:6" ht="13.2"/>
    <row r="80" spans="1:6" ht="14.4">
      <c r="A80" s="271" t="s">
        <v>229</v>
      </c>
      <c r="B80" s="609" t="s">
        <v>79</v>
      </c>
      <c r="D80" s="975" t="s">
        <v>1445</v>
      </c>
      <c r="E80" s="975"/>
      <c r="F80" s="975"/>
    </row>
    <row r="81" spans="1:7" ht="13.2">
      <c r="D81" s="975"/>
      <c r="E81" s="975"/>
      <c r="F81" s="975"/>
    </row>
    <row r="82" spans="1:7" ht="13.2">
      <c r="D82" s="975"/>
      <c r="E82" s="975"/>
      <c r="F82" s="975"/>
    </row>
    <row r="83" spans="1:7" ht="13.2">
      <c r="D83" s="44"/>
    </row>
    <row r="84" spans="1:7" ht="14.4">
      <c r="A84" s="271" t="s">
        <v>229</v>
      </c>
      <c r="B84" s="609" t="s">
        <v>79</v>
      </c>
      <c r="D84" s="975" t="s">
        <v>1446</v>
      </c>
      <c r="E84" s="975"/>
      <c r="F84" s="975"/>
    </row>
    <row r="85" spans="1:7" ht="13.2">
      <c r="D85" s="975"/>
      <c r="E85" s="975"/>
      <c r="F85" s="975"/>
    </row>
    <row r="86" spans="1:7" ht="13.2"/>
    <row r="87" spans="1:7" ht="13.2">
      <c r="A87" s="1029" t="s">
        <v>1380</v>
      </c>
      <c r="B87" s="1029"/>
      <c r="C87" s="1029"/>
      <c r="D87" s="1029"/>
      <c r="E87" s="1029"/>
      <c r="F87" s="1029"/>
      <c r="G87" s="1029"/>
    </row>
    <row r="88" spans="1:7" ht="13.2">
      <c r="E88"/>
      <c r="F88"/>
      <c r="G88"/>
    </row>
    <row r="89" spans="1:7" ht="13.65" customHeight="1">
      <c r="C89" s="590"/>
      <c r="D89" s="1002" t="s">
        <v>1381</v>
      </c>
      <c r="E89" s="1002"/>
      <c r="F89" s="1002"/>
      <c r="G89"/>
    </row>
    <row r="90" spans="1:7" ht="13.65" customHeight="1">
      <c r="A90" s="44"/>
      <c r="B90" s="44"/>
      <c r="D90" s="975" t="s">
        <v>1545</v>
      </c>
      <c r="E90" s="975"/>
      <c r="F90" s="975"/>
      <c r="G90"/>
    </row>
    <row r="91" spans="1:7" ht="13.2">
      <c r="A91" s="44"/>
      <c r="B91" s="44"/>
      <c r="E91"/>
      <c r="F91"/>
      <c r="G91"/>
    </row>
    <row r="92" spans="1:7" ht="14.25" customHeight="1">
      <c r="A92" s="271"/>
      <c r="B92" s="609" t="s">
        <v>79</v>
      </c>
      <c r="D92" s="968" t="s">
        <v>1857</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79</v>
      </c>
      <c r="D101" s="1022" t="s">
        <v>1858</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79</v>
      </c>
      <c r="D114" s="975" t="s">
        <v>1546</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79</v>
      </c>
      <c r="D122" s="975" t="s">
        <v>1547</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79</v>
      </c>
      <c r="D128" s="975" t="s">
        <v>1548</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9" t="s">
        <v>79</v>
      </c>
      <c r="D141" s="968" t="s">
        <v>1730</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1731</v>
      </c>
      <c r="E159" s="1024"/>
      <c r="F159" s="1024"/>
      <c r="G159"/>
    </row>
    <row r="160" spans="1:7" ht="13.95" customHeight="1">
      <c r="A160" s="18"/>
      <c r="B160" s="18"/>
      <c r="D160" s="44"/>
      <c r="G160"/>
    </row>
    <row r="161" spans="1:7" ht="13.95" customHeight="1">
      <c r="A161" s="271"/>
      <c r="B161" s="609" t="s">
        <v>79</v>
      </c>
      <c r="D161" s="1022" t="s">
        <v>2297</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9" t="s">
        <v>79</v>
      </c>
      <c r="D167" s="1023" t="s">
        <v>1549</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9" t="s">
        <v>79</v>
      </c>
      <c r="C172" s="370"/>
      <c r="D172" s="1026" t="s">
        <v>2137</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1383</v>
      </c>
      <c r="B176" s="1029"/>
      <c r="C176" s="1029"/>
      <c r="D176" s="1029"/>
      <c r="E176" s="1029"/>
      <c r="F176" s="1029"/>
      <c r="G176" s="1029"/>
    </row>
    <row r="177" spans="1:6" ht="13.2">
      <c r="D177" s="44"/>
    </row>
    <row r="178" spans="1:6" ht="13.2">
      <c r="C178" s="590"/>
      <c r="D178" s="1025" t="s">
        <v>1382</v>
      </c>
      <c r="E178" s="1025"/>
      <c r="F178" s="1025"/>
    </row>
    <row r="179" spans="1:6" ht="13.2">
      <c r="A179" s="190"/>
      <c r="B179" s="190"/>
      <c r="C179" s="190"/>
      <c r="D179" s="1027" t="s">
        <v>1415</v>
      </c>
      <c r="E179" s="1027"/>
      <c r="F179" s="1027"/>
    </row>
    <row r="180" spans="1:6" ht="13.2">
      <c r="A180" s="191"/>
      <c r="B180" s="191"/>
      <c r="C180" s="191"/>
    </row>
    <row r="181" spans="1:6" ht="14.4">
      <c r="A181" s="271"/>
      <c r="B181" s="609" t="s">
        <v>79</v>
      </c>
      <c r="D181" s="1028" t="s">
        <v>1733</v>
      </c>
      <c r="E181" s="1005"/>
      <c r="F181" s="1005"/>
    </row>
    <row r="182" spans="1:6" ht="14.4">
      <c r="A182" s="271"/>
      <c r="D182" s="312"/>
      <c r="E182" s="102"/>
      <c r="F182" s="102"/>
    </row>
    <row r="183" spans="1:6" ht="14.4">
      <c r="A183" s="271"/>
      <c r="B183" s="609" t="s">
        <v>79</v>
      </c>
      <c r="D183" s="1005" t="s">
        <v>1550</v>
      </c>
      <c r="E183" s="1005"/>
      <c r="F183" s="1005"/>
    </row>
    <row r="184" spans="1:6" ht="14.4">
      <c r="A184" s="271"/>
      <c r="D184" s="102"/>
      <c r="E184" s="102"/>
      <c r="F184" s="102"/>
    </row>
    <row r="185" spans="1:6" ht="14.4">
      <c r="A185" s="271"/>
      <c r="B185" s="609" t="s">
        <v>79</v>
      </c>
      <c r="D185" s="1030" t="s">
        <v>1810</v>
      </c>
      <c r="E185" s="1030"/>
      <c r="F185" s="1030"/>
    </row>
    <row r="186" spans="1:6" ht="13.65" customHeight="1">
      <c r="A186" s="271"/>
      <c r="D186" s="41" t="s">
        <v>900</v>
      </c>
      <c r="E186" s="968" t="s">
        <v>2132</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901</v>
      </c>
      <c r="E190" s="968" t="s">
        <v>1811</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79</v>
      </c>
      <c r="D198" s="968" t="s">
        <v>2300</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2302</v>
      </c>
      <c r="E202" s="1024"/>
      <c r="F202" s="1024"/>
    </row>
    <row r="203" spans="1:7" ht="13.2">
      <c r="D203" s="625"/>
      <c r="E203" s="625"/>
      <c r="F203" s="625"/>
    </row>
    <row r="204" spans="1:7" ht="14.4">
      <c r="A204" s="271"/>
      <c r="B204" s="609" t="s">
        <v>79</v>
      </c>
      <c r="D204" s="997" t="s">
        <v>2303</v>
      </c>
      <c r="E204" s="995"/>
      <c r="F204" s="995"/>
    </row>
    <row r="205" spans="1:7" ht="13.2"/>
    <row r="206" spans="1:7" ht="13.2">
      <c r="A206" s="1029" t="s">
        <v>1385</v>
      </c>
      <c r="B206" s="1029"/>
      <c r="C206" s="1029"/>
      <c r="D206" s="1029"/>
      <c r="E206" s="1029"/>
      <c r="F206" s="1029"/>
      <c r="G206" s="1029"/>
    </row>
    <row r="207" spans="1:7" ht="13.2"/>
    <row r="208" spans="1:7" ht="13.2">
      <c r="C208" s="591"/>
      <c r="D208" s="1025" t="s">
        <v>1384</v>
      </c>
      <c r="E208" s="1025"/>
      <c r="F208" s="1025"/>
    </row>
    <row r="209" spans="1:6" ht="13.2">
      <c r="A209" s="592"/>
      <c r="B209" s="592"/>
      <c r="C209" s="591"/>
      <c r="D209" s="1025" t="s">
        <v>697</v>
      </c>
      <c r="E209" s="1025"/>
      <c r="F209" s="1025"/>
    </row>
    <row r="210" spans="1:6" ht="13.2">
      <c r="A210" s="190"/>
      <c r="B210" s="190"/>
      <c r="C210" s="190"/>
      <c r="D210" s="1005" t="s">
        <v>1416</v>
      </c>
      <c r="E210" s="1005"/>
      <c r="F210" s="1005"/>
    </row>
    <row r="211" spans="1:6" ht="13.2">
      <c r="A211" s="190"/>
      <c r="B211" s="190"/>
      <c r="C211" s="190"/>
    </row>
    <row r="212" spans="1:6" ht="13.2">
      <c r="A212" s="190"/>
      <c r="B212" s="190"/>
      <c r="C212" s="190"/>
      <c r="D212" s="975" t="s">
        <v>1426</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2138</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79</v>
      </c>
      <c r="C224" s="191"/>
      <c r="D224" s="995" t="s">
        <v>292</v>
      </c>
      <c r="E224" s="995"/>
      <c r="F224" s="995"/>
    </row>
    <row r="225" spans="1:6" ht="14.4">
      <c r="A225" s="271"/>
      <c r="C225" s="191"/>
      <c r="D225" s="1005" t="s">
        <v>1111</v>
      </c>
      <c r="E225" s="1005"/>
      <c r="F225" s="1005"/>
    </row>
    <row r="226" spans="1:6" ht="14.4">
      <c r="A226" s="271"/>
      <c r="B226" s="271"/>
      <c r="C226" s="191"/>
      <c r="D226" s="104" t="s">
        <v>1430</v>
      </c>
      <c r="E226" s="1035" t="s">
        <v>2067</v>
      </c>
      <c r="F226" s="1035"/>
    </row>
    <row r="227" spans="1:6" ht="13.2">
      <c r="D227" s="1028" t="s">
        <v>1409</v>
      </c>
      <c r="E227" s="1005"/>
      <c r="F227" s="1005"/>
    </row>
    <row r="228" spans="1:6" ht="13.2"/>
    <row r="229" spans="1:6" ht="14.4">
      <c r="A229" s="271"/>
      <c r="B229" s="609" t="s">
        <v>79</v>
      </c>
      <c r="D229" s="1005" t="s">
        <v>293</v>
      </c>
      <c r="E229" s="1005"/>
      <c r="F229" s="1005"/>
    </row>
    <row r="230" spans="1:6" ht="14.4">
      <c r="A230" s="271"/>
      <c r="D230" s="995" t="s">
        <v>1111</v>
      </c>
      <c r="E230" s="995"/>
      <c r="F230" s="995"/>
    </row>
    <row r="231" spans="1:6" ht="14.4">
      <c r="A231" s="271"/>
      <c r="B231" s="271"/>
      <c r="D231" s="63" t="s">
        <v>1431</v>
      </c>
      <c r="E231" s="1035" t="s">
        <v>2068</v>
      </c>
      <c r="F231" s="1035"/>
    </row>
    <row r="232" spans="1:6" ht="13.2">
      <c r="D232" s="1005" t="s">
        <v>1410</v>
      </c>
      <c r="E232" s="1005"/>
      <c r="F232" s="1005"/>
    </row>
    <row r="233" spans="1:6" ht="13.2"/>
    <row r="234" spans="1:6" ht="14.4">
      <c r="A234" s="271"/>
      <c r="B234" s="609" t="s">
        <v>79</v>
      </c>
      <c r="D234" s="1005" t="s">
        <v>641</v>
      </c>
      <c r="E234" s="1005"/>
      <c r="F234" s="1005"/>
    </row>
    <row r="235" spans="1:6" ht="14.4">
      <c r="A235" s="271"/>
      <c r="D235" s="44" t="s">
        <v>1111</v>
      </c>
    </row>
    <row r="236" spans="1:6" ht="14.4">
      <c r="A236" s="271"/>
      <c r="B236" s="271"/>
      <c r="D236" s="63" t="s">
        <v>1430</v>
      </c>
      <c r="E236" s="1035" t="s">
        <v>2069</v>
      </c>
      <c r="F236" s="1035"/>
    </row>
    <row r="237" spans="1:6" ht="14.4">
      <c r="A237" s="271"/>
      <c r="B237" s="271"/>
      <c r="D237" s="975" t="s">
        <v>1433</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1411</v>
      </c>
      <c r="E242" s="975"/>
      <c r="F242" s="975"/>
    </row>
    <row r="243" spans="1:6" ht="13.2">
      <c r="D243" s="44"/>
    </row>
    <row r="244" spans="1:6" ht="14.4">
      <c r="A244" s="271"/>
      <c r="B244" s="609" t="s">
        <v>79</v>
      </c>
      <c r="D244" s="1005" t="s">
        <v>642</v>
      </c>
      <c r="E244" s="1005"/>
      <c r="F244" s="1005"/>
    </row>
    <row r="245" spans="1:6" ht="14.4">
      <c r="A245" s="271"/>
      <c r="D245" s="1005" t="s">
        <v>1111</v>
      </c>
      <c r="E245" s="1005"/>
      <c r="F245" s="1005"/>
    </row>
    <row r="246" spans="1:6" ht="14.4">
      <c r="A246" s="271"/>
      <c r="B246" s="271"/>
      <c r="D246" s="63" t="s">
        <v>1430</v>
      </c>
      <c r="E246" s="1035" t="s">
        <v>2070</v>
      </c>
      <c r="F246" s="1035"/>
    </row>
    <row r="247" spans="1:6" ht="13.2">
      <c r="D247" s="1028" t="s">
        <v>1930</v>
      </c>
      <c r="E247" s="1005"/>
      <c r="F247" s="1005"/>
    </row>
    <row r="248" spans="1:6" ht="13.2">
      <c r="D248" s="102"/>
      <c r="E248" s="102"/>
      <c r="F248" s="102"/>
    </row>
    <row r="249" spans="1:6" ht="14.4">
      <c r="A249" s="271"/>
      <c r="B249" s="609" t="s">
        <v>79</v>
      </c>
      <c r="D249" s="1028" t="s">
        <v>1929</v>
      </c>
      <c r="E249" s="1005"/>
      <c r="F249" s="1005"/>
    </row>
    <row r="250" spans="1:6" ht="14.4">
      <c r="A250" s="271"/>
      <c r="D250" s="1005" t="s">
        <v>1111</v>
      </c>
      <c r="E250" s="1005"/>
      <c r="F250" s="1005"/>
    </row>
    <row r="251" spans="1:6" ht="14.4">
      <c r="A251" s="271"/>
      <c r="B251" s="271"/>
      <c r="D251" s="63" t="s">
        <v>1430</v>
      </c>
      <c r="E251" s="1035" t="s">
        <v>2071</v>
      </c>
      <c r="F251" s="1035"/>
    </row>
    <row r="252" spans="1:6" ht="13.2">
      <c r="D252" s="1028" t="s">
        <v>1931</v>
      </c>
      <c r="E252" s="1005"/>
      <c r="F252" s="1005"/>
    </row>
    <row r="253" spans="1:6" ht="13.2">
      <c r="D253" s="44"/>
    </row>
    <row r="254" spans="1:6" ht="14.4">
      <c r="A254" s="271"/>
      <c r="B254" s="609" t="s">
        <v>79</v>
      </c>
      <c r="D254" s="102" t="s">
        <v>1453</v>
      </c>
      <c r="E254" s="102"/>
      <c r="F254" s="102"/>
    </row>
    <row r="255" spans="1:6" ht="14.4">
      <c r="A255" s="271"/>
      <c r="B255"/>
      <c r="D255" s="968" t="s">
        <v>1754</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79</v>
      </c>
      <c r="D259" s="1005" t="s">
        <v>1022</v>
      </c>
      <c r="E259" s="1005"/>
      <c r="F259" s="1005"/>
    </row>
    <row r="260" spans="1:7" ht="14.4">
      <c r="A260" s="271"/>
      <c r="D260" s="102"/>
      <c r="E260" s="102"/>
      <c r="F260" s="102"/>
    </row>
    <row r="261" spans="1:7" ht="13.2">
      <c r="A261" s="1029" t="s">
        <v>1387</v>
      </c>
      <c r="B261" s="1029"/>
      <c r="C261" s="1029"/>
      <c r="D261" s="1029"/>
      <c r="E261" s="1029"/>
      <c r="F261" s="1029"/>
      <c r="G261" s="1029"/>
    </row>
    <row r="262" spans="1:7" ht="13.2">
      <c r="D262" s="44"/>
    </row>
    <row r="263" spans="1:7" ht="13.2">
      <c r="C263" s="590"/>
      <c r="D263" s="996" t="s">
        <v>1386</v>
      </c>
      <c r="E263" s="996"/>
      <c r="F263" s="996"/>
    </row>
    <row r="264" spans="1:7" ht="13.2">
      <c r="A264" s="190"/>
      <c r="B264" s="190"/>
      <c r="C264" s="190"/>
      <c r="D264" s="995" t="s">
        <v>1417</v>
      </c>
      <c r="E264" s="995"/>
      <c r="F264" s="995"/>
    </row>
    <row r="265" spans="1:7" ht="13.2">
      <c r="A265" s="18"/>
      <c r="B265" s="18"/>
      <c r="C265" s="18"/>
      <c r="D265" s="3"/>
    </row>
    <row r="266" spans="1:7" ht="13.2">
      <c r="A266" s="18"/>
      <c r="C266" s="18"/>
      <c r="D266" s="996" t="s">
        <v>209</v>
      </c>
      <c r="E266" s="996"/>
      <c r="F266" s="996"/>
      <c r="G266"/>
    </row>
    <row r="267" spans="1:7" ht="14.4" customHeight="1">
      <c r="A267" s="271"/>
      <c r="B267" s="609" t="s">
        <v>79</v>
      </c>
      <c r="C267" s="880"/>
      <c r="D267" s="1016" t="s">
        <v>2007</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79</v>
      </c>
      <c r="C272" s="880"/>
      <c r="D272" s="1016" t="s">
        <v>2008</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1559</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79</v>
      </c>
      <c r="C284" s="798"/>
      <c r="D284" s="1018" t="s">
        <v>1924</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79</v>
      </c>
      <c r="D289" s="995" t="s">
        <v>1112</v>
      </c>
      <c r="E289" s="995"/>
      <c r="F289" s="995"/>
      <c r="G289"/>
    </row>
    <row r="290" spans="1:7" ht="14.4">
      <c r="A290" s="271"/>
      <c r="B290" s="271"/>
      <c r="D290" s="995" t="s">
        <v>1560</v>
      </c>
      <c r="E290" s="995"/>
      <c r="F290" s="995"/>
      <c r="G290"/>
    </row>
    <row r="291" spans="1:7" ht="14.4">
      <c r="A291" s="271"/>
      <c r="B291" s="271"/>
      <c r="D291" s="3" t="s">
        <v>1042</v>
      </c>
      <c r="E291" s="927" t="s">
        <v>2073</v>
      </c>
      <c r="F291" s="3"/>
    </row>
    <row r="292" spans="1:7" ht="13.2">
      <c r="D292" s="28"/>
    </row>
    <row r="293" spans="1:7" ht="14.4">
      <c r="A293" s="271"/>
      <c r="B293" s="609" t="s">
        <v>79</v>
      </c>
      <c r="D293" s="975" t="s">
        <v>1561</v>
      </c>
      <c r="E293" s="975"/>
      <c r="F293" s="975"/>
    </row>
    <row r="294" spans="1:7" ht="14.4">
      <c r="A294" s="271"/>
      <c r="B294" s="271"/>
      <c r="D294" s="975"/>
      <c r="E294" s="975"/>
      <c r="F294" s="975"/>
    </row>
    <row r="295" spans="1:7" ht="13.2">
      <c r="D295" s="28"/>
    </row>
    <row r="296" spans="1:7" ht="13.2">
      <c r="A296" s="1029" t="s">
        <v>1389</v>
      </c>
      <c r="B296" s="1029"/>
      <c r="C296" s="1029"/>
      <c r="D296" s="1029"/>
      <c r="E296" s="1029"/>
      <c r="F296" s="1029"/>
      <c r="G296" s="1029"/>
    </row>
    <row r="297" spans="1:7" ht="13.2">
      <c r="D297" s="28"/>
    </row>
    <row r="298" spans="1:7" ht="13.2">
      <c r="C298" s="590"/>
      <c r="D298" s="996" t="s">
        <v>1388</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9" t="s">
        <v>79</v>
      </c>
      <c r="D301" s="968" t="s">
        <v>1881</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79</v>
      </c>
      <c r="C305" s="798"/>
      <c r="D305" s="1018" t="s">
        <v>1925</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2074</v>
      </c>
      <c r="F308" s="373"/>
      <c r="G308" s="799"/>
    </row>
    <row r="309" spans="1:7" ht="13.2">
      <c r="D309" s="212"/>
    </row>
    <row r="310" spans="1:7" ht="13.2">
      <c r="A310" s="1029" t="s">
        <v>1390</v>
      </c>
      <c r="B310" s="1029"/>
      <c r="C310" s="1029"/>
      <c r="D310" s="1029"/>
      <c r="E310" s="1029"/>
      <c r="F310" s="1029"/>
      <c r="G310" s="1029"/>
    </row>
    <row r="311" spans="1:7" ht="13.2">
      <c r="D311" s="212"/>
    </row>
    <row r="312" spans="1:7" ht="13.2">
      <c r="C312" s="190"/>
      <c r="D312" s="1002" t="s">
        <v>1562</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1563</v>
      </c>
      <c r="E316" s="1020"/>
      <c r="F316" s="1020"/>
    </row>
    <row r="317" spans="1:7" ht="12" customHeight="1"/>
    <row r="318" spans="1:7" ht="14.4" customHeight="1">
      <c r="A318" s="271"/>
      <c r="B318" s="609" t="s">
        <v>79</v>
      </c>
      <c r="D318" s="975" t="s">
        <v>1564</v>
      </c>
      <c r="E318" s="975"/>
      <c r="F318" s="975"/>
    </row>
    <row r="319" spans="1:7" ht="14.4">
      <c r="A319" s="271"/>
      <c r="B319" s="271"/>
      <c r="D319" s="975"/>
      <c r="E319" s="975"/>
      <c r="F319" s="975"/>
    </row>
    <row r="320" spans="1:7" ht="13.2"/>
    <row r="321" spans="1:7" ht="14.4" customHeight="1">
      <c r="A321" s="271"/>
      <c r="B321" s="609" t="s">
        <v>79</v>
      </c>
      <c r="D321" s="975" t="s">
        <v>1565</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79</v>
      </c>
      <c r="D325" s="975" t="s">
        <v>1566</v>
      </c>
      <c r="E325" s="975"/>
      <c r="F325" s="975"/>
    </row>
    <row r="326" spans="1:7" ht="14.4">
      <c r="A326" s="271"/>
      <c r="B326" s="271"/>
      <c r="D326" s="975"/>
      <c r="E326" s="975"/>
      <c r="F326" s="975"/>
    </row>
    <row r="327" spans="1:7" ht="13.2">
      <c r="A327" s="18"/>
      <c r="B327" s="18"/>
      <c r="D327" s="44"/>
    </row>
    <row r="328" spans="1:7" ht="13.2">
      <c r="A328" s="1029" t="s">
        <v>1377</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1418</v>
      </c>
      <c r="E331" s="995"/>
      <c r="F331" s="995"/>
      <c r="G331"/>
    </row>
    <row r="332" spans="1:7" ht="13.2">
      <c r="C332" s="18"/>
      <c r="D332" s="182"/>
      <c r="G332"/>
    </row>
    <row r="333" spans="1:7" ht="13.2">
      <c r="B333" s="609" t="s">
        <v>79</v>
      </c>
      <c r="D333" s="995" t="s">
        <v>1567</v>
      </c>
      <c r="E333" s="995"/>
      <c r="F333" s="995"/>
      <c r="G333"/>
    </row>
    <row r="334" spans="1:7" ht="14.4">
      <c r="A334" s="271"/>
      <c r="B334" s="271"/>
      <c r="D334" s="420"/>
      <c r="G334"/>
    </row>
    <row r="335" spans="1:7" ht="14.4">
      <c r="A335" s="271"/>
      <c r="B335" s="609" t="s">
        <v>79</v>
      </c>
      <c r="D335" s="995" t="s">
        <v>1568</v>
      </c>
      <c r="E335" s="995"/>
      <c r="F335" s="995"/>
      <c r="G335"/>
    </row>
    <row r="336" spans="1:7" ht="13.2">
      <c r="G336"/>
    </row>
    <row r="337" spans="1:7" ht="14.4" customHeight="1">
      <c r="A337" s="271"/>
      <c r="B337" s="609" t="s">
        <v>79</v>
      </c>
      <c r="D337" s="975" t="s">
        <v>1574</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79</v>
      </c>
      <c r="D353" s="975" t="s">
        <v>1569</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79</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44" t="s">
        <v>1266</v>
      </c>
      <c r="E370" s="1044"/>
      <c r="F370" s="1044"/>
    </row>
    <row r="371" spans="1:6" ht="13.8" thickTop="1">
      <c r="D371" s="1045" t="s">
        <v>1570</v>
      </c>
      <c r="E371" s="1045"/>
      <c r="F371" s="1045"/>
    </row>
    <row r="372" spans="1:6" ht="13.2">
      <c r="D372" s="44"/>
    </row>
    <row r="373" spans="1:6" ht="14.4">
      <c r="A373" s="271"/>
      <c r="B373" s="609" t="s">
        <v>79</v>
      </c>
      <c r="C373" s="361"/>
      <c r="D373" s="1012" t="s">
        <v>2139</v>
      </c>
      <c r="E373" s="1012"/>
      <c r="F373" s="1012"/>
    </row>
    <row r="374" spans="1:6" ht="14.4">
      <c r="A374" s="271"/>
      <c r="B374" s="271"/>
      <c r="C374" s="361"/>
      <c r="D374" s="420"/>
    </row>
    <row r="375" spans="1:6" ht="14.4">
      <c r="A375" s="271"/>
      <c r="B375" s="609" t="s">
        <v>79</v>
      </c>
      <c r="C375" s="361"/>
      <c r="D375" s="982" t="s">
        <v>2140</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79</v>
      </c>
      <c r="C386" s="361"/>
      <c r="D386" s="1032" t="s">
        <v>1571</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1572</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1575</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79</v>
      </c>
      <c r="C419" s="361"/>
      <c r="D419" s="1032" t="s">
        <v>1573</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79</v>
      </c>
      <c r="C422" s="361"/>
      <c r="D422" s="1022" t="s">
        <v>1878</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79</v>
      </c>
      <c r="C428" s="361"/>
      <c r="D428" s="1022" t="s">
        <v>1859</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1874</v>
      </c>
      <c r="E432" s="1051"/>
      <c r="F432" s="1051"/>
    </row>
    <row r="433" spans="1:6" ht="13.2">
      <c r="D433" s="44"/>
    </row>
    <row r="434" spans="1:6" ht="14.4" customHeight="1">
      <c r="A434" s="271"/>
      <c r="B434" s="609" t="s">
        <v>79</v>
      </c>
      <c r="C434" s="207"/>
      <c r="D434" s="975" t="s">
        <v>2141</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79</v>
      </c>
      <c r="C466" s="207"/>
      <c r="D466" s="997" t="s">
        <v>2078</v>
      </c>
      <c r="E466" s="995"/>
      <c r="F466" s="995"/>
    </row>
    <row r="467" spans="1:6" ht="13.2">
      <c r="D467"/>
      <c r="E467" s="928" t="s">
        <v>2077</v>
      </c>
      <c r="F467" s="928"/>
    </row>
    <row r="468" spans="1:6" ht="13.65" customHeight="1">
      <c r="D468" s="968" t="s">
        <v>1856</v>
      </c>
      <c r="E468" s="975"/>
      <c r="F468" s="975"/>
    </row>
    <row r="469" spans="1:6" ht="13.65" customHeight="1">
      <c r="D469" s="975"/>
      <c r="E469" s="975"/>
      <c r="F469" s="975"/>
    </row>
    <row r="470" spans="1:6" ht="13.2">
      <c r="D470" s="44"/>
    </row>
    <row r="471" spans="1:6" ht="14.4" customHeight="1">
      <c r="A471" s="271"/>
      <c r="B471" s="609" t="s">
        <v>79</v>
      </c>
      <c r="C471" s="207"/>
      <c r="D471" s="975" t="s">
        <v>1576</v>
      </c>
      <c r="E471" s="975"/>
      <c r="F471" s="975"/>
    </row>
    <row r="472" spans="1:6" ht="13.2">
      <c r="D472" s="975"/>
      <c r="E472" s="975"/>
      <c r="F472" s="975"/>
    </row>
    <row r="473" spans="1:6" ht="13.2">
      <c r="D473" s="975"/>
      <c r="E473" s="975"/>
      <c r="F473" s="975"/>
    </row>
    <row r="474" spans="1:6" ht="13.2">
      <c r="D474" s="24"/>
      <c r="E474" s="24"/>
      <c r="F474" s="24"/>
    </row>
    <row r="475" spans="1:6" ht="14.4">
      <c r="B475" s="609" t="s">
        <v>79</v>
      </c>
      <c r="C475" s="271"/>
      <c r="D475" s="968" t="s">
        <v>1718</v>
      </c>
      <c r="E475" s="975"/>
      <c r="F475" s="975"/>
    </row>
    <row r="476" spans="1:6" ht="13.2">
      <c r="D476" s="975"/>
      <c r="E476" s="975"/>
      <c r="F476" s="975"/>
    </row>
    <row r="477" spans="1:6" ht="13.2">
      <c r="D477" s="44"/>
      <c r="E477" s="44"/>
    </row>
    <row r="478" spans="1:6" ht="14.4">
      <c r="B478" s="609" t="s">
        <v>79</v>
      </c>
      <c r="C478" s="271"/>
      <c r="D478" s="975" t="s">
        <v>1577</v>
      </c>
      <c r="E478" s="975"/>
      <c r="F478" s="975"/>
    </row>
    <row r="479" spans="1:6" ht="13.2">
      <c r="D479" s="975"/>
      <c r="E479" s="975"/>
      <c r="F479" s="975"/>
    </row>
    <row r="480" spans="1:6" ht="13.2">
      <c r="D480" s="975"/>
      <c r="E480" s="975"/>
      <c r="F480" s="975"/>
    </row>
    <row r="481" spans="2:6" ht="13.2">
      <c r="D481" s="975"/>
      <c r="E481" s="975"/>
      <c r="F481" s="975"/>
    </row>
    <row r="482" spans="2:6" ht="13.2">
      <c r="B482" s="609" t="s">
        <v>79</v>
      </c>
      <c r="D482" s="975"/>
      <c r="E482" s="975"/>
      <c r="F482" s="975"/>
    </row>
    <row r="483" spans="2:6" ht="13.2">
      <c r="D483" s="975"/>
      <c r="E483" s="975"/>
      <c r="F483" s="975"/>
    </row>
    <row r="484" spans="2:6" ht="13.2">
      <c r="D484" s="975"/>
      <c r="E484" s="975"/>
      <c r="F484" s="975"/>
    </row>
    <row r="485" spans="2:6" ht="13.2">
      <c r="B485" s="609" t="s">
        <v>79</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79</v>
      </c>
      <c r="D489" s="975"/>
      <c r="E489" s="975"/>
      <c r="F489" s="975"/>
    </row>
    <row r="490" spans="2:6" ht="13.2">
      <c r="D490" s="975"/>
      <c r="E490" s="975"/>
      <c r="F490" s="975"/>
    </row>
    <row r="491" spans="2:6" ht="13.2">
      <c r="B491" s="609" t="s">
        <v>79</v>
      </c>
      <c r="D491" s="975"/>
      <c r="E491" s="975"/>
      <c r="F491" s="975"/>
    </row>
    <row r="492" spans="2:6" ht="13.2">
      <c r="D492" s="975"/>
      <c r="E492" s="975"/>
      <c r="F492" s="975"/>
    </row>
    <row r="493" spans="2:6" ht="13.65" customHeight="1">
      <c r="B493" s="609" t="s">
        <v>79</v>
      </c>
      <c r="D493" s="975" t="s">
        <v>1578</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79</v>
      </c>
      <c r="D499" s="995" t="s">
        <v>1419</v>
      </c>
      <c r="E499" s="995"/>
      <c r="F499" s="995"/>
    </row>
    <row r="500" spans="1:7" ht="13.2">
      <c r="A500" s="44"/>
      <c r="B500" s="44"/>
    </row>
    <row r="501" spans="1:7" ht="13.2">
      <c r="A501" s="1029" t="s">
        <v>1378</v>
      </c>
      <c r="B501" s="1029"/>
      <c r="C501" s="1029"/>
      <c r="D501" s="1029"/>
      <c r="E501" s="1029"/>
      <c r="F501" s="1029"/>
      <c r="G501" s="1029"/>
    </row>
    <row r="502" spans="1:7" ht="13.2">
      <c r="A502" s="44"/>
      <c r="B502" s="44"/>
    </row>
    <row r="503" spans="1:7" ht="13.2">
      <c r="D503" s="1046" t="s">
        <v>1118</v>
      </c>
      <c r="E503" s="1046"/>
      <c r="F503" s="1046"/>
    </row>
    <row r="504" spans="1:7" ht="13.2">
      <c r="D504" s="1012" t="s">
        <v>1412</v>
      </c>
      <c r="E504" s="1012"/>
      <c r="F504" s="1012"/>
    </row>
    <row r="505" spans="1:7" ht="14.4">
      <c r="A505" s="271"/>
      <c r="B505" s="271"/>
      <c r="D505" s="420"/>
    </row>
    <row r="506" spans="1:7" ht="14.4">
      <c r="A506" s="271"/>
      <c r="B506" s="609" t="s">
        <v>79</v>
      </c>
      <c r="D506" s="1032" t="s">
        <v>1579</v>
      </c>
      <c r="E506" s="1032"/>
      <c r="F506" s="1032"/>
    </row>
    <row r="507" spans="1:7" ht="14.4">
      <c r="A507" s="271"/>
      <c r="B507" s="271"/>
      <c r="D507" s="1032"/>
      <c r="E507" s="1032"/>
      <c r="F507" s="1032"/>
    </row>
    <row r="508" spans="1:7" ht="14.4">
      <c r="A508" s="271"/>
      <c r="B508" s="271"/>
      <c r="D508" s="44"/>
    </row>
    <row r="509" spans="1:7" ht="14.4">
      <c r="A509" s="271"/>
      <c r="B509" s="609" t="s">
        <v>79</v>
      </c>
      <c r="D509" s="1047" t="s">
        <v>1875</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79</v>
      </c>
      <c r="D514" s="995" t="s">
        <v>1581</v>
      </c>
      <c r="E514" s="995"/>
      <c r="F514" s="995"/>
      <c r="G514"/>
    </row>
    <row r="515" spans="1:7" ht="13.2">
      <c r="D515" s="44"/>
      <c r="G515"/>
    </row>
    <row r="516" spans="1:7" ht="14.4">
      <c r="A516" s="271"/>
      <c r="B516" s="609" t="s">
        <v>79</v>
      </c>
      <c r="D516" s="975" t="s">
        <v>1582</v>
      </c>
      <c r="E516" s="975"/>
      <c r="F516" s="975"/>
      <c r="G516"/>
    </row>
    <row r="517" spans="1:7" ht="13.2">
      <c r="D517" s="975"/>
      <c r="E517" s="975"/>
      <c r="F517" s="975"/>
      <c r="G517"/>
    </row>
    <row r="518" spans="1:7" ht="13.2">
      <c r="D518" s="420"/>
      <c r="G518"/>
    </row>
    <row r="519" spans="1:7" ht="14.4">
      <c r="A519" s="271"/>
      <c r="B519" s="609" t="s">
        <v>79</v>
      </c>
      <c r="D519" s="995" t="s">
        <v>1580</v>
      </c>
      <c r="E519" s="995"/>
      <c r="F519" s="995"/>
    </row>
    <row r="520" spans="1:7" ht="14.4">
      <c r="A520" s="271"/>
      <c r="B520" s="271"/>
      <c r="D520" s="44"/>
    </row>
    <row r="521" spans="1:7" ht="13.2">
      <c r="A521" s="1029" t="s">
        <v>1379</v>
      </c>
      <c r="B521" s="1029"/>
      <c r="C521" s="1029"/>
      <c r="D521" s="1029"/>
      <c r="E521" s="1029"/>
      <c r="F521" s="1029"/>
      <c r="G521" s="1029"/>
    </row>
    <row r="522" spans="1:7" ht="12" customHeight="1">
      <c r="A522" s="271"/>
      <c r="B522" s="271"/>
      <c r="D522" s="44"/>
    </row>
    <row r="523" spans="1:7" ht="13.2">
      <c r="B523" s="609" t="s">
        <v>79</v>
      </c>
      <c r="C523" s="190"/>
      <c r="D523" s="1003" t="s">
        <v>1525</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79</v>
      </c>
      <c r="C528" s="207"/>
      <c r="D528" s="975" t="s">
        <v>2142</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79</v>
      </c>
      <c r="C531" s="191"/>
      <c r="D531" s="929" t="s">
        <v>2079</v>
      </c>
      <c r="E531" s="930"/>
      <c r="G531"/>
    </row>
    <row r="532" spans="1:7" ht="13.2">
      <c r="A532" s="191"/>
      <c r="B532" s="191"/>
      <c r="C532" s="191"/>
      <c r="D532" s="930"/>
      <c r="E532" s="104" t="s">
        <v>2080</v>
      </c>
      <c r="G532"/>
    </row>
    <row r="533" spans="1:7" ht="14.4">
      <c r="A533" s="271"/>
      <c r="B533"/>
      <c r="D533" s="1032" t="s">
        <v>2143</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1391</v>
      </c>
      <c r="B537" s="1029"/>
      <c r="C537" s="1029"/>
      <c r="D537" s="1029"/>
      <c r="E537" s="1029"/>
      <c r="F537" s="1029"/>
      <c r="G537" s="1029"/>
    </row>
    <row r="538" spans="1:7" ht="12" customHeight="1">
      <c r="A538" s="44"/>
      <c r="B538" s="44"/>
      <c r="C538" s="207"/>
      <c r="E538" s="44"/>
    </row>
    <row r="539" spans="1:7" ht="13.2">
      <c r="C539" s="207"/>
      <c r="D539" s="996" t="s">
        <v>1420</v>
      </c>
      <c r="E539" s="996"/>
      <c r="F539" s="996"/>
    </row>
    <row r="540" spans="1:7" ht="13.2"/>
    <row r="541" spans="1:7" ht="13.2">
      <c r="B541" s="609" t="s">
        <v>79</v>
      </c>
      <c r="D541" s="975" t="s">
        <v>1551</v>
      </c>
      <c r="E541" s="975"/>
      <c r="F541" s="975"/>
    </row>
    <row r="542" spans="1:7" ht="13.2">
      <c r="D542" s="975"/>
      <c r="E542" s="975"/>
      <c r="F542" s="975"/>
    </row>
    <row r="543" spans="1:7" ht="12" customHeight="1">
      <c r="A543" s="207"/>
      <c r="B543" s="207"/>
      <c r="C543" s="207"/>
      <c r="D543" s="44"/>
    </row>
    <row r="544" spans="1:7" ht="14.4">
      <c r="A544" s="271"/>
      <c r="B544" s="609" t="s">
        <v>79</v>
      </c>
      <c r="C544" s="207"/>
      <c r="D544" s="975" t="s">
        <v>1552</v>
      </c>
      <c r="E544" s="975"/>
      <c r="F544" s="975"/>
    </row>
    <row r="545" spans="1:7" ht="13.2">
      <c r="A545" s="207"/>
      <c r="B545" s="207"/>
      <c r="C545" s="207"/>
      <c r="D545" s="975"/>
      <c r="E545" s="975"/>
      <c r="F545" s="975"/>
    </row>
    <row r="546" spans="1:7" ht="12" customHeight="1">
      <c r="A546" s="207"/>
      <c r="B546" s="207"/>
      <c r="C546" s="207"/>
      <c r="D546" s="44"/>
    </row>
    <row r="547" spans="1:7" ht="13.2">
      <c r="A547" s="1007" t="s">
        <v>1427</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1534</v>
      </c>
      <c r="E550" s="995"/>
      <c r="F550" s="995"/>
    </row>
    <row r="551" spans="1:7" ht="13.2">
      <c r="C551" s="207"/>
      <c r="D551" s="44"/>
      <c r="E551" s="44"/>
      <c r="F551" s="44"/>
    </row>
    <row r="552" spans="1:7" ht="14.4">
      <c r="A552" s="271"/>
      <c r="B552" s="609" t="s">
        <v>79</v>
      </c>
      <c r="C552" s="207"/>
      <c r="D552" s="995" t="s">
        <v>1113</v>
      </c>
      <c r="E552" s="995"/>
      <c r="F552" s="995"/>
    </row>
    <row r="553" spans="1:7" ht="12" customHeight="1">
      <c r="A553" s="207"/>
      <c r="B553" s="207"/>
      <c r="C553" s="207"/>
      <c r="D553" s="44"/>
      <c r="E553"/>
      <c r="F553"/>
      <c r="G553"/>
    </row>
    <row r="554" spans="1:7" ht="14.4" customHeight="1">
      <c r="A554" s="271"/>
      <c r="B554" s="609" t="s">
        <v>79</v>
      </c>
      <c r="C554" s="207"/>
      <c r="D554" s="975" t="s">
        <v>1533</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79</v>
      </c>
      <c r="C557" s="207"/>
      <c r="D557" s="975" t="s">
        <v>1535</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79</v>
      </c>
      <c r="C560" s="207"/>
      <c r="D560" s="975" t="s">
        <v>1536</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79</v>
      </c>
      <c r="C563" s="207"/>
      <c r="D563" s="975" t="s">
        <v>1537</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79</v>
      </c>
      <c r="C567" s="207"/>
      <c r="D567" s="968" t="s">
        <v>1631</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79</v>
      </c>
      <c r="C570" s="207"/>
      <c r="D570" s="975" t="s">
        <v>1538</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79</v>
      </c>
      <c r="C573" s="207"/>
      <c r="D573" s="995" t="s">
        <v>1539</v>
      </c>
      <c r="E573" s="995"/>
      <c r="F573" s="995"/>
      <c r="G573"/>
    </row>
    <row r="574" spans="1:7" ht="14.4">
      <c r="A574" s="271"/>
      <c r="B574" s="271"/>
      <c r="C574" s="207"/>
      <c r="D574" s="1036" t="s">
        <v>2081</v>
      </c>
      <c r="E574" s="1036"/>
      <c r="F574" s="1036"/>
      <c r="G574"/>
    </row>
    <row r="575" spans="1:7" ht="13.2">
      <c r="A575" s="18"/>
      <c r="B575" s="18"/>
      <c r="C575" s="207"/>
      <c r="D575" s="931"/>
      <c r="E575" s="104" t="s">
        <v>2082</v>
      </c>
      <c r="F575" s="932"/>
      <c r="G575"/>
    </row>
    <row r="576" spans="1:7" ht="15" customHeight="1">
      <c r="A576" s="18"/>
      <c r="B576" s="18"/>
      <c r="C576" s="207"/>
      <c r="D576" s="968" t="s">
        <v>1752</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79</v>
      </c>
      <c r="C586" s="207"/>
      <c r="D586" s="995" t="s">
        <v>1540</v>
      </c>
      <c r="E586" s="995"/>
      <c r="F586" s="995"/>
      <c r="G586"/>
    </row>
    <row r="587" spans="1:7" ht="13.65" customHeight="1">
      <c r="C587" s="207"/>
      <c r="D587" s="975" t="s">
        <v>1541</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79</v>
      </c>
      <c r="C591" s="207"/>
      <c r="D591" s="975" t="s">
        <v>2144</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79</v>
      </c>
      <c r="C596" s="191"/>
      <c r="D596" s="1028" t="s">
        <v>1813</v>
      </c>
      <c r="E596" s="1005"/>
      <c r="F596" s="1005"/>
    </row>
    <row r="597" spans="1:7" ht="13.2">
      <c r="A597" s="191"/>
      <c r="B597" s="191"/>
      <c r="C597" s="191"/>
    </row>
    <row r="598" spans="1:7" ht="13.2">
      <c r="A598" s="207"/>
      <c r="B598" s="207"/>
      <c r="C598" s="207"/>
      <c r="D598" s="24"/>
      <c r="E598" s="24"/>
      <c r="F598" s="24"/>
    </row>
    <row r="599" spans="1:7" ht="13.2">
      <c r="A599" s="1029" t="s">
        <v>1393</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1442</v>
      </c>
      <c r="E602" s="998"/>
      <c r="F602" s="998"/>
    </row>
    <row r="603" spans="1:7" ht="13.2">
      <c r="C603" s="190"/>
      <c r="D603" s="371"/>
    </row>
    <row r="604" spans="1:7" ht="14.4">
      <c r="A604" s="271"/>
      <c r="B604" s="609" t="s">
        <v>79</v>
      </c>
      <c r="D604" s="998" t="s">
        <v>1114</v>
      </c>
      <c r="E604" s="998"/>
      <c r="F604" s="998"/>
    </row>
    <row r="605" spans="1:7" ht="13.2">
      <c r="A605" s="18"/>
      <c r="B605" s="18"/>
      <c r="D605" s="361"/>
    </row>
    <row r="606" spans="1:7" ht="14.4" customHeight="1">
      <c r="A606" s="271"/>
      <c r="B606" s="609" t="s">
        <v>79</v>
      </c>
      <c r="D606" s="998" t="s">
        <v>2145</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79</v>
      </c>
      <c r="D610" s="998" t="s">
        <v>1443</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79</v>
      </c>
      <c r="D615" s="998" t="s">
        <v>2146</v>
      </c>
      <c r="E615" s="998"/>
      <c r="F615" s="998"/>
    </row>
    <row r="616" spans="1:7" ht="14.4">
      <c r="A616" s="271"/>
      <c r="B616" s="271"/>
      <c r="D616" s="998"/>
      <c r="E616" s="998"/>
      <c r="F616" s="998"/>
    </row>
    <row r="617" spans="1:7" ht="14.4">
      <c r="A617" s="271"/>
      <c r="B617" s="271"/>
      <c r="D617" s="371"/>
    </row>
    <row r="618" spans="1:7" ht="14.4" customHeight="1">
      <c r="A618" s="271"/>
      <c r="B618" s="609" t="s">
        <v>79</v>
      </c>
      <c r="D618" s="998" t="s">
        <v>1447</v>
      </c>
      <c r="E618" s="998"/>
      <c r="F618" s="998"/>
    </row>
    <row r="619" spans="1:7" ht="14.4">
      <c r="A619" s="271"/>
      <c r="B619" s="271"/>
      <c r="D619" s="998"/>
      <c r="E619" s="998"/>
      <c r="F619" s="998"/>
    </row>
    <row r="620" spans="1:7" ht="14.4">
      <c r="A620" s="271"/>
      <c r="B620" s="271"/>
      <c r="D620" s="371"/>
    </row>
    <row r="621" spans="1:7" ht="14.4">
      <c r="A621" s="271"/>
      <c r="B621" s="609" t="s">
        <v>79</v>
      </c>
      <c r="D621" s="998" t="s">
        <v>1115</v>
      </c>
      <c r="E621" s="998"/>
      <c r="F621" s="998"/>
    </row>
    <row r="622" spans="1:7" ht="13.2">
      <c r="A622" s="18"/>
      <c r="B622" s="18"/>
    </row>
    <row r="623" spans="1:7" ht="13.2">
      <c r="A623" s="1029" t="s">
        <v>1395</v>
      </c>
      <c r="B623" s="1029"/>
      <c r="C623" s="1029"/>
      <c r="D623" s="1029"/>
      <c r="E623" s="1029"/>
      <c r="F623" s="1029"/>
      <c r="G623" s="1029"/>
    </row>
    <row r="624" spans="1:7" ht="13.2">
      <c r="A624" s="63"/>
      <c r="B624" s="63"/>
    </row>
    <row r="625" spans="1:7" ht="13.2">
      <c r="C625" s="191"/>
      <c r="D625" s="1025" t="s">
        <v>1394</v>
      </c>
      <c r="E625" s="1025"/>
      <c r="F625" s="1025"/>
    </row>
    <row r="626" spans="1:7" ht="13.2">
      <c r="C626" s="191"/>
      <c r="D626" s="1005" t="s">
        <v>1421</v>
      </c>
      <c r="E626" s="1005"/>
      <c r="F626" s="1005"/>
    </row>
    <row r="627" spans="1:7" ht="13.2">
      <c r="C627" s="191"/>
      <c r="D627" s="102"/>
      <c r="E627" s="102"/>
      <c r="F627" s="102"/>
    </row>
    <row r="628" spans="1:7" ht="14.25" customHeight="1">
      <c r="A628" s="271"/>
      <c r="B628" s="609" t="s">
        <v>79</v>
      </c>
      <c r="D628" s="1048" t="s">
        <v>2084</v>
      </c>
      <c r="E628" s="1049"/>
      <c r="F628" s="1049"/>
    </row>
    <row r="629" spans="1:7" ht="13.2">
      <c r="D629" s="1049"/>
      <c r="E629" s="1049"/>
      <c r="F629" s="1049"/>
    </row>
    <row r="630" spans="1:7" ht="13.2">
      <c r="D630" s="933"/>
      <c r="E630" s="927" t="s">
        <v>2083</v>
      </c>
      <c r="F630" s="933"/>
    </row>
    <row r="631" spans="1:7" ht="13.2">
      <c r="A631" s="63"/>
      <c r="B631" s="63"/>
    </row>
    <row r="632" spans="1:7" ht="12" customHeight="1">
      <c r="A632" s="1029" t="s">
        <v>1397</v>
      </c>
      <c r="B632" s="1029"/>
      <c r="C632" s="1029"/>
      <c r="D632" s="1029"/>
      <c r="E632" s="1029"/>
      <c r="F632" s="1029"/>
      <c r="G632" s="1029"/>
    </row>
    <row r="633" spans="1:7" ht="13.2">
      <c r="A633" s="44"/>
      <c r="B633" s="44"/>
    </row>
    <row r="634" spans="1:7" ht="13.2">
      <c r="C634" s="190"/>
      <c r="D634" s="996" t="s">
        <v>1396</v>
      </c>
      <c r="E634" s="996"/>
      <c r="F634" s="996"/>
    </row>
    <row r="635" spans="1:7" ht="13.2">
      <c r="A635" s="191"/>
      <c r="B635" s="191"/>
      <c r="C635" s="191"/>
      <c r="D635" s="995" t="s">
        <v>1553</v>
      </c>
      <c r="E635" s="995"/>
      <c r="F635" s="995"/>
    </row>
    <row r="636" spans="1:7" ht="13.2">
      <c r="A636" s="191"/>
      <c r="B636" s="191"/>
      <c r="C636" s="191"/>
    </row>
    <row r="637" spans="1:7" ht="14.4">
      <c r="A637" s="271"/>
      <c r="B637" s="271"/>
      <c r="D637" s="1025" t="s">
        <v>870</v>
      </c>
      <c r="E637" s="1025"/>
      <c r="F637" s="1025"/>
    </row>
    <row r="638" spans="1:7" ht="14.4">
      <c r="A638" s="271"/>
      <c r="B638" s="609" t="s">
        <v>79</v>
      </c>
      <c r="D638" s="1005" t="s">
        <v>1554</v>
      </c>
      <c r="E638" s="1005"/>
      <c r="F638" s="1005"/>
    </row>
    <row r="639" spans="1:7" ht="14.4">
      <c r="A639" s="271"/>
      <c r="B639" s="271"/>
      <c r="D639" s="44"/>
    </row>
    <row r="640" spans="1:7" ht="14.4">
      <c r="A640" s="271"/>
      <c r="B640" s="609" t="s">
        <v>79</v>
      </c>
      <c r="D640" s="975" t="s">
        <v>1555</v>
      </c>
      <c r="E640" s="975"/>
      <c r="F640" s="975"/>
    </row>
    <row r="641" spans="1:7" ht="14.4">
      <c r="A641" s="271"/>
      <c r="B641" s="271"/>
      <c r="D641" s="975"/>
      <c r="E641" s="975"/>
      <c r="F641" s="975"/>
    </row>
    <row r="642" spans="1:7" ht="14.4">
      <c r="A642" s="271"/>
      <c r="B642" s="271"/>
      <c r="D642" s="44"/>
    </row>
    <row r="643" spans="1:7" ht="14.4">
      <c r="A643" s="271"/>
      <c r="B643" s="609" t="s">
        <v>79</v>
      </c>
      <c r="D643" s="968" t="s">
        <v>1921</v>
      </c>
      <c r="E643" s="968"/>
      <c r="F643" s="968"/>
    </row>
    <row r="644" spans="1:7" ht="13.65" customHeight="1">
      <c r="D644" s="968"/>
      <c r="E644" s="968"/>
      <c r="F644" s="968"/>
    </row>
    <row r="645" spans="1:7" ht="13.2"/>
    <row r="646" spans="1:7" ht="14.4">
      <c r="A646" s="271"/>
      <c r="B646" s="609" t="s">
        <v>79</v>
      </c>
      <c r="D646" s="1005" t="s">
        <v>1556</v>
      </c>
      <c r="E646" s="1005"/>
      <c r="F646" s="1005"/>
    </row>
    <row r="647" spans="1:7" ht="13.2">
      <c r="A647" s="190"/>
      <c r="B647" s="190"/>
      <c r="C647" s="190"/>
    </row>
    <row r="648" spans="1:7" ht="13.2">
      <c r="A648" s="1029" t="s">
        <v>1398</v>
      </c>
      <c r="B648" s="1029"/>
      <c r="C648" s="1029"/>
      <c r="D648" s="1029"/>
      <c r="E648" s="1029"/>
      <c r="F648" s="1029"/>
      <c r="G648" s="1029"/>
    </row>
    <row r="649" spans="1:7" ht="13.2">
      <c r="A649" s="190"/>
      <c r="B649" s="190"/>
      <c r="C649" s="190"/>
    </row>
    <row r="650" spans="1:7" ht="13.2">
      <c r="C650" s="18"/>
      <c r="D650" s="1013" t="s">
        <v>1422</v>
      </c>
      <c r="E650" s="1013"/>
      <c r="F650" s="1013"/>
    </row>
    <row r="651" spans="1:7" ht="13.2">
      <c r="A651" s="18"/>
      <c r="B651" s="18"/>
      <c r="D651" s="3"/>
    </row>
    <row r="652" spans="1:7" ht="14.25" customHeight="1">
      <c r="A652" s="271"/>
      <c r="B652" s="609" t="s">
        <v>79</v>
      </c>
      <c r="D652" s="1048" t="s">
        <v>2147</v>
      </c>
      <c r="E652" s="1048"/>
      <c r="F652" s="1048"/>
    </row>
    <row r="653" spans="1:7" ht="14.4">
      <c r="A653" s="271"/>
      <c r="B653" s="271"/>
      <c r="D653" s="1048"/>
      <c r="E653" s="1048"/>
      <c r="F653" s="1048"/>
    </row>
    <row r="654" spans="1:7" ht="13.2">
      <c r="D654" s="933"/>
      <c r="E654" s="927" t="s">
        <v>2086</v>
      </c>
      <c r="F654" s="933"/>
    </row>
    <row r="655" spans="1:7" ht="13.2">
      <c r="D655" s="972" t="s">
        <v>2085</v>
      </c>
      <c r="E655" s="972"/>
      <c r="F655" s="972"/>
    </row>
    <row r="656" spans="1:7" ht="12.75" customHeight="1">
      <c r="D656" s="972"/>
      <c r="E656" s="972"/>
      <c r="F656" s="972"/>
    </row>
    <row r="657" spans="1:9" ht="13.2">
      <c r="B657"/>
      <c r="D657" s="972"/>
      <c r="E657" s="972"/>
      <c r="F657" s="972"/>
    </row>
    <row r="658" spans="1:9" ht="13.2"/>
    <row r="659" spans="1:9" ht="14.4">
      <c r="A659" s="303"/>
      <c r="B659" s="609" t="s">
        <v>79</v>
      </c>
      <c r="D659" s="1014" t="s">
        <v>1557</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79</v>
      </c>
      <c r="D662" s="1016" t="s">
        <v>1814</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79</v>
      </c>
      <c r="C665" s="207"/>
      <c r="D665" s="1015" t="s">
        <v>1558</v>
      </c>
      <c r="E665" s="1015"/>
      <c r="F665" s="1015"/>
      <c r="G665" s="44"/>
    </row>
    <row r="666" spans="1:9" ht="13.2">
      <c r="A666" s="44"/>
      <c r="B666" s="44"/>
      <c r="C666" s="207"/>
      <c r="D666" s="44"/>
      <c r="E666" s="44"/>
      <c r="F666" s="44"/>
      <c r="G666" s="44"/>
      <c r="H666" s="267"/>
      <c r="I666" s="267"/>
    </row>
    <row r="667" spans="1:9" ht="13.2">
      <c r="A667" s="1029" t="s">
        <v>1400</v>
      </c>
      <c r="B667" s="1029"/>
      <c r="C667" s="1029"/>
      <c r="D667" s="1029"/>
      <c r="E667" s="1029"/>
      <c r="F667" s="1029"/>
      <c r="G667" s="1029"/>
    </row>
    <row r="668" spans="1:9" ht="13.2">
      <c r="A668" s="44"/>
      <c r="B668" s="44"/>
      <c r="C668" s="207"/>
      <c r="D668" s="44"/>
      <c r="E668" s="44"/>
      <c r="F668" s="44"/>
      <c r="G668" s="44"/>
    </row>
    <row r="669" spans="1:9" ht="13.2">
      <c r="C669" s="190"/>
      <c r="D669" s="996" t="s">
        <v>1399</v>
      </c>
      <c r="E669" s="996"/>
      <c r="F669" s="996"/>
      <c r="G669" s="44"/>
    </row>
    <row r="670" spans="1:9" ht="13.2">
      <c r="A670" s="191"/>
      <c r="B670" s="191"/>
      <c r="C670" s="191"/>
      <c r="D670" s="995" t="s">
        <v>1423</v>
      </c>
      <c r="E670" s="995"/>
      <c r="F670" s="995"/>
      <c r="G670" s="44"/>
    </row>
    <row r="671" spans="1:9" ht="13.2">
      <c r="A671" s="191"/>
      <c r="B671" s="191"/>
      <c r="C671" s="191"/>
      <c r="D671" s="44"/>
      <c r="E671" s="44"/>
      <c r="F671" s="44"/>
      <c r="G671" s="44"/>
    </row>
    <row r="672" spans="1:9" ht="14.4" customHeight="1">
      <c r="A672" s="271"/>
      <c r="B672" s="609" t="s">
        <v>79</v>
      </c>
      <c r="C672" s="207"/>
      <c r="D672" s="968" t="s">
        <v>1877</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1440</v>
      </c>
      <c r="E679" s="999"/>
      <c r="F679" s="999"/>
      <c r="G679" s="44"/>
    </row>
    <row r="680" spans="1:7" ht="14.4" hidden="1">
      <c r="A680" s="271"/>
      <c r="B680" s="271"/>
      <c r="C680" s="207"/>
      <c r="D680" s="993" t="s">
        <v>2148</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1876</v>
      </c>
      <c r="E685" s="1017"/>
      <c r="F685" s="1017"/>
      <c r="G685" s="44"/>
    </row>
    <row r="686" spans="1:7" ht="13.2">
      <c r="A686" s="44"/>
      <c r="B686" s="44"/>
      <c r="C686" s="207"/>
      <c r="D686" s="44"/>
      <c r="E686" s="44"/>
      <c r="F686" s="44"/>
      <c r="G686" s="44"/>
    </row>
    <row r="687" spans="1:7" ht="13.2">
      <c r="A687" s="1029" t="s">
        <v>1401</v>
      </c>
      <c r="B687" s="1029"/>
      <c r="C687" s="1029"/>
      <c r="D687" s="1029"/>
      <c r="E687" s="1029"/>
      <c r="F687" s="1029"/>
      <c r="G687" s="1029"/>
    </row>
    <row r="688" spans="1:7" ht="13.2">
      <c r="A688" s="44"/>
      <c r="B688" s="44"/>
      <c r="C688" s="207"/>
      <c r="D688" s="44"/>
      <c r="E688" s="44"/>
      <c r="F688" s="44"/>
      <c r="G688" s="44"/>
    </row>
    <row r="689" spans="1:7" ht="13.2">
      <c r="C689" s="190"/>
      <c r="D689" s="996" t="s">
        <v>783</v>
      </c>
      <c r="E689" s="996"/>
      <c r="F689" s="996"/>
      <c r="G689" s="44"/>
    </row>
    <row r="690" spans="1:7" ht="13.2">
      <c r="A690" s="190"/>
      <c r="B690" s="190"/>
      <c r="C690" s="190"/>
      <c r="D690" s="996" t="s">
        <v>871</v>
      </c>
      <c r="E690" s="996"/>
      <c r="F690" s="996"/>
      <c r="G690" s="44"/>
    </row>
    <row r="691" spans="1:7" ht="13.2">
      <c r="A691" s="191"/>
      <c r="B691" s="191"/>
      <c r="C691" s="191"/>
      <c r="D691" s="995" t="s">
        <v>1524</v>
      </c>
      <c r="E691" s="995"/>
      <c r="F691" s="995"/>
    </row>
    <row r="692" spans="1:7" ht="14.25" customHeight="1">
      <c r="A692" s="191"/>
      <c r="B692" s="191"/>
      <c r="C692" s="191"/>
    </row>
    <row r="693" spans="1:7" ht="14.4">
      <c r="A693" s="271"/>
      <c r="B693" s="609" t="s">
        <v>79</v>
      </c>
      <c r="C693" s="191"/>
      <c r="D693" s="995" t="s">
        <v>1116</v>
      </c>
      <c r="E693" s="995"/>
      <c r="F693" s="995"/>
    </row>
    <row r="694" spans="1:7" ht="13.2">
      <c r="A694" s="191"/>
      <c r="B694" s="191"/>
      <c r="C694" s="191"/>
      <c r="D694" s="995" t="s">
        <v>1133</v>
      </c>
      <c r="E694" s="995"/>
      <c r="F694" s="995"/>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79</v>
      </c>
      <c r="C698" s="191"/>
      <c r="D698" s="975" t="s">
        <v>2149</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79</v>
      </c>
      <c r="C702" s="191"/>
      <c r="D702" s="995" t="s">
        <v>1174</v>
      </c>
      <c r="E702" s="995"/>
      <c r="F702" s="995"/>
    </row>
    <row r="703" spans="1:7" ht="14.4">
      <c r="A703" s="271"/>
      <c r="B703" s="271"/>
      <c r="C703" s="191"/>
      <c r="D703" s="995" t="s">
        <v>1133</v>
      </c>
      <c r="E703" s="995"/>
      <c r="F703" s="995"/>
    </row>
    <row r="704" spans="1:7" ht="13.2">
      <c r="A704" s="191"/>
      <c r="B704" s="191"/>
      <c r="C704" s="191"/>
      <c r="E704" s="1020" t="s">
        <v>2089</v>
      </c>
      <c r="F704" s="1020"/>
    </row>
    <row r="705" spans="1:6" ht="13.2">
      <c r="A705" s="191"/>
      <c r="B705" s="191"/>
      <c r="C705" s="191"/>
      <c r="D705" s="3"/>
    </row>
    <row r="706" spans="1:6" ht="14.4">
      <c r="A706" s="271"/>
      <c r="B706" s="609" t="s">
        <v>79</v>
      </c>
      <c r="C706" s="191"/>
      <c r="D706" s="975" t="s">
        <v>1526</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79</v>
      </c>
      <c r="C713" s="191"/>
      <c r="D713" s="968" t="s">
        <v>1732</v>
      </c>
      <c r="E713" s="975"/>
      <c r="F713" s="975"/>
    </row>
    <row r="714" spans="1:6" ht="13.2">
      <c r="A714" s="191"/>
      <c r="B714" s="191"/>
      <c r="C714" s="191"/>
      <c r="D714" s="975"/>
      <c r="E714" s="975"/>
      <c r="F714" s="975"/>
    </row>
    <row r="715" spans="1:6" ht="13.2">
      <c r="A715" s="191"/>
      <c r="B715" s="191"/>
      <c r="C715" s="191"/>
    </row>
    <row r="716" spans="1:6" ht="14.4" customHeight="1">
      <c r="A716" s="271"/>
      <c r="B716" s="609" t="s">
        <v>79</v>
      </c>
      <c r="C716" s="191"/>
      <c r="D716" s="975" t="s">
        <v>1527</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79</v>
      </c>
      <c r="C729" s="191"/>
      <c r="D729" s="975" t="s">
        <v>1531</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79</v>
      </c>
      <c r="C732" s="191"/>
      <c r="D732" s="975" t="s">
        <v>1532</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79</v>
      </c>
      <c r="C736" s="191"/>
      <c r="D736" s="968" t="s">
        <v>1922</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79</v>
      </c>
      <c r="C740" s="191"/>
      <c r="D740" s="975" t="s">
        <v>1528</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79</v>
      </c>
      <c r="C744" s="191"/>
      <c r="D744" s="975" t="s">
        <v>1530</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79</v>
      </c>
      <c r="C749" s="191"/>
      <c r="D749" s="968" t="s">
        <v>2215</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1529</v>
      </c>
      <c r="E756" s="1019"/>
      <c r="F756" s="1019"/>
      <c r="H756" s="267"/>
      <c r="I756" s="267"/>
    </row>
    <row r="757" spans="1:9" ht="13.2">
      <c r="A757" s="191"/>
      <c r="B757" s="191"/>
      <c r="C757" s="191"/>
      <c r="D757" s="560"/>
      <c r="H757" s="267"/>
      <c r="I757" s="267"/>
    </row>
    <row r="758" spans="1:9" ht="13.2">
      <c r="A758" s="1007" t="s">
        <v>1428</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1448</v>
      </c>
      <c r="E760" s="1002"/>
      <c r="F760" s="1002"/>
      <c r="H760" s="267"/>
      <c r="I760" s="267"/>
    </row>
    <row r="761" spans="1:9" ht="13.2">
      <c r="A761" s="190"/>
      <c r="B761" s="190"/>
      <c r="C761" s="190"/>
      <c r="D761" s="1005" t="s">
        <v>1451</v>
      </c>
      <c r="E761" s="1005"/>
      <c r="F761" s="1005"/>
      <c r="H761" s="267"/>
      <c r="I761" s="267"/>
    </row>
    <row r="762" spans="1:9" ht="13.2">
      <c r="A762" s="191"/>
      <c r="B762" s="191"/>
      <c r="C762" s="191"/>
      <c r="H762" s="267"/>
      <c r="I762" s="267"/>
    </row>
    <row r="763" spans="1:9" ht="14.25" customHeight="1">
      <c r="A763" s="271"/>
      <c r="B763" s="609" t="s">
        <v>79</v>
      </c>
      <c r="D763" s="975" t="s">
        <v>1449</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79</v>
      </c>
      <c r="D770" s="1016" t="s">
        <v>1863</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79</v>
      </c>
      <c r="C775" s="433"/>
      <c r="D775" s="1018" t="s">
        <v>1864</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79</v>
      </c>
      <c r="D779" s="975" t="s">
        <v>1450</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79</v>
      </c>
      <c r="D782" s="968" t="s">
        <v>1755</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1592</v>
      </c>
      <c r="B786" s="1007"/>
      <c r="C786" s="1007"/>
      <c r="D786" s="1007"/>
      <c r="E786" s="1007"/>
      <c r="F786" s="1007"/>
      <c r="G786" s="1007"/>
      <c r="H786" s="267"/>
      <c r="I786" s="267"/>
    </row>
    <row r="787" spans="1:9" ht="13.2">
      <c r="A787" s="63"/>
      <c r="B787" s="63"/>
      <c r="H787" s="267"/>
      <c r="I787" s="267"/>
    </row>
    <row r="788" spans="1:9" ht="13.65" customHeight="1">
      <c r="A788" s="63"/>
      <c r="B788" s="63"/>
      <c r="D788" s="1011" t="s">
        <v>1593</v>
      </c>
      <c r="E788" s="1011"/>
      <c r="F788" s="1011"/>
      <c r="H788" s="267"/>
      <c r="I788" s="267"/>
    </row>
    <row r="789" spans="1:9" ht="13.2">
      <c r="A789" s="63"/>
      <c r="B789" s="63"/>
      <c r="D789" s="1012" t="s">
        <v>1594</v>
      </c>
      <c r="E789" s="1012"/>
      <c r="F789" s="1012"/>
      <c r="H789" s="267"/>
      <c r="I789" s="267"/>
    </row>
    <row r="790" spans="1:9" ht="13.2">
      <c r="A790" s="63"/>
      <c r="B790" s="63"/>
      <c r="D790" s="420"/>
      <c r="E790" s="420"/>
      <c r="F790" s="420"/>
      <c r="H790" s="267"/>
      <c r="I790" s="267"/>
    </row>
    <row r="791" spans="1:9" ht="13.2">
      <c r="A791" s="63"/>
      <c r="B791" s="609" t="s">
        <v>79</v>
      </c>
      <c r="D791" s="993" t="s">
        <v>1595</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79</v>
      </c>
      <c r="C795" s="190"/>
      <c r="D795" s="1018" t="s">
        <v>2210</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79</v>
      </c>
      <c r="C799" s="207"/>
      <c r="D799" s="1018" t="s">
        <v>1697</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79</v>
      </c>
      <c r="C803" s="207"/>
      <c r="D803" s="993" t="s">
        <v>1596</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2009</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79</v>
      </c>
      <c r="C812" s="207"/>
      <c r="D812" s="993" t="s">
        <v>1598</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79</v>
      </c>
      <c r="C819" s="207"/>
      <c r="D819" s="1018" t="s">
        <v>1865</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79</v>
      </c>
      <c r="C825" s="207"/>
      <c r="D825" s="993" t="s">
        <v>1597</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79</v>
      </c>
      <c r="C830" s="207"/>
      <c r="D830" s="1001" t="s">
        <v>1600</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79</v>
      </c>
      <c r="C837" s="207"/>
      <c r="D837" s="993" t="s">
        <v>1599</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79</v>
      </c>
      <c r="C840" s="207"/>
      <c r="D840" s="1001" t="s">
        <v>1601</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1882</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1517</v>
      </c>
      <c r="E845" s="1002"/>
      <c r="F845" s="1002"/>
      <c r="H845" s="267"/>
      <c r="I845" s="267"/>
    </row>
    <row r="846" spans="1:9" ht="14.4">
      <c r="A846" s="271"/>
      <c r="B846" s="271"/>
      <c r="D846" s="968" t="s">
        <v>1879</v>
      </c>
      <c r="E846" s="968"/>
      <c r="F846" s="968"/>
      <c r="H846" s="267"/>
      <c r="I846" s="267"/>
    </row>
    <row r="847" spans="1:9" ht="14.4">
      <c r="A847" s="271"/>
      <c r="B847" s="271"/>
      <c r="D847" s="24"/>
      <c r="E847" s="210"/>
      <c r="F847" s="210"/>
      <c r="H847" s="267"/>
      <c r="I847" s="267"/>
    </row>
    <row r="848" spans="1:9" ht="13.2">
      <c r="B848" s="609" t="s">
        <v>79</v>
      </c>
      <c r="C848" s="207"/>
      <c r="D848" s="975" t="s">
        <v>1454</v>
      </c>
      <c r="E848" s="975"/>
      <c r="F848" s="975"/>
      <c r="H848" s="267"/>
      <c r="I848" s="267"/>
    </row>
    <row r="849" spans="1:9" ht="13.2">
      <c r="A849" s="18"/>
      <c r="B849" s="18"/>
      <c r="C849" s="207"/>
      <c r="D849" s="3" t="s">
        <v>1431</v>
      </c>
      <c r="E849" s="976" t="s">
        <v>2072</v>
      </c>
      <c r="F849" s="976"/>
      <c r="H849" s="267"/>
      <c r="I849" s="267"/>
    </row>
    <row r="850" spans="1:9" ht="13.2">
      <c r="A850" s="18"/>
      <c r="B850" s="18"/>
      <c r="C850" s="207"/>
      <c r="D850" s="213"/>
      <c r="H850" s="267"/>
      <c r="I850" s="267"/>
    </row>
    <row r="851" spans="1:9" ht="13.2">
      <c r="A851" s="18"/>
      <c r="B851" s="609" t="s">
        <v>79</v>
      </c>
      <c r="C851" s="207"/>
      <c r="D851" s="1021" t="s">
        <v>1678</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79</v>
      </c>
      <c r="C861" s="207"/>
      <c r="D861" s="975" t="s">
        <v>1455</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79</v>
      </c>
      <c r="C865" s="207"/>
      <c r="D865" s="1002" t="s">
        <v>1456</v>
      </c>
      <c r="E865" s="1002"/>
      <c r="F865" s="1002"/>
      <c r="H865" s="267"/>
      <c r="I865" s="267"/>
    </row>
    <row r="866" spans="1:9" ht="13.2">
      <c r="B866" s="419"/>
      <c r="C866" s="207"/>
      <c r="D866" s="1002"/>
      <c r="E866" s="1002"/>
      <c r="F866" s="1002"/>
      <c r="H866" s="267"/>
      <c r="I866" s="267"/>
    </row>
    <row r="867" spans="1:9" ht="14.25" customHeight="1">
      <c r="A867" s="271"/>
      <c r="C867" s="207"/>
      <c r="D867" s="975" t="s">
        <v>2150</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79</v>
      </c>
      <c r="C874" s="207"/>
      <c r="D874" s="975" t="s">
        <v>1175</v>
      </c>
      <c r="E874" s="975"/>
      <c r="F874" s="975"/>
      <c r="H874" s="267"/>
      <c r="I874" s="267"/>
    </row>
    <row r="875" spans="1:9" ht="14.4">
      <c r="A875" s="271"/>
      <c r="B875" s="271"/>
      <c r="C875" s="207"/>
      <c r="D875" s="975" t="s">
        <v>1176</v>
      </c>
      <c r="E875" s="975"/>
      <c r="F875" s="975"/>
      <c r="H875" s="267"/>
      <c r="I875" s="267"/>
    </row>
    <row r="876" spans="1:9" ht="14.4">
      <c r="A876" s="271"/>
      <c r="B876" s="271"/>
      <c r="C876" s="207"/>
      <c r="D876" s="3" t="s">
        <v>1430</v>
      </c>
      <c r="E876" s="976" t="s">
        <v>2074</v>
      </c>
      <c r="F876" s="976"/>
      <c r="H876" s="267"/>
      <c r="I876" s="267"/>
    </row>
    <row r="877" spans="1:9" ht="14.4">
      <c r="A877" s="271"/>
      <c r="B877" s="271"/>
      <c r="C877" s="207"/>
      <c r="D877" s="44"/>
      <c r="H877" s="267"/>
      <c r="I877" s="267"/>
    </row>
    <row r="878" spans="1:9" ht="14.4">
      <c r="A878" s="271"/>
      <c r="B878" s="609" t="s">
        <v>79</v>
      </c>
      <c r="C878" s="207"/>
      <c r="D878" s="975" t="s">
        <v>1457</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6" t="s">
        <v>1516</v>
      </c>
      <c r="E885" s="996"/>
      <c r="F885" s="996"/>
      <c r="G885" s="188"/>
      <c r="H885" s="267"/>
      <c r="I885" s="267"/>
    </row>
    <row r="886" spans="1:9" ht="13.2">
      <c r="C886" s="191"/>
      <c r="D886" s="1009" t="s">
        <v>1880</v>
      </c>
      <c r="E886" s="1010"/>
      <c r="F886" s="1010"/>
      <c r="G886" s="188"/>
      <c r="H886" s="267"/>
      <c r="I886" s="267"/>
    </row>
    <row r="887" spans="1:9" ht="13.2">
      <c r="C887" s="191"/>
      <c r="D887" s="640"/>
      <c r="E887" s="640"/>
      <c r="F887" s="640"/>
      <c r="G887" s="188"/>
      <c r="H887" s="267"/>
      <c r="I887" s="267"/>
    </row>
    <row r="888" spans="1:9" ht="14.4">
      <c r="A888" s="271"/>
      <c r="B888" s="609" t="s">
        <v>79</v>
      </c>
      <c r="D888" s="995" t="s">
        <v>1476</v>
      </c>
      <c r="E888" s="995"/>
      <c r="F888" s="995"/>
      <c r="G888" s="188"/>
      <c r="H888" s="267"/>
      <c r="I888" s="267"/>
    </row>
    <row r="889" spans="1:9" ht="13.2">
      <c r="D889" s="3" t="s">
        <v>1430</v>
      </c>
      <c r="E889" s="1008" t="s">
        <v>2074</v>
      </c>
      <c r="F889" s="1008"/>
      <c r="G889" s="188"/>
    </row>
    <row r="890" spans="1:9" ht="13.2">
      <c r="D890" s="44"/>
      <c r="E890" s="188"/>
      <c r="F890" s="188"/>
      <c r="G890" s="188"/>
      <c r="H890" s="267"/>
      <c r="I890" s="267"/>
    </row>
    <row r="891" spans="1:9" ht="14.4">
      <c r="A891" s="271"/>
      <c r="B891" s="609" t="s">
        <v>79</v>
      </c>
      <c r="D891" s="968" t="s">
        <v>1883</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79</v>
      </c>
      <c r="D894" s="1004" t="s">
        <v>1680</v>
      </c>
      <c r="E894" s="1004"/>
      <c r="F894" s="1004"/>
      <c r="G894" s="188"/>
      <c r="H894" s="267"/>
      <c r="I894" s="267"/>
    </row>
    <row r="895" spans="1:9" ht="29.4" customHeight="1">
      <c r="B895" s="565"/>
      <c r="D895" s="1004"/>
      <c r="E895" s="1004"/>
      <c r="F895" s="1004"/>
      <c r="G895" s="188"/>
      <c r="H895" s="267"/>
      <c r="I895" s="267"/>
    </row>
    <row r="896" spans="1:9" ht="14.4">
      <c r="A896" s="271"/>
      <c r="B896"/>
      <c r="D896" s="975" t="s">
        <v>2150</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79</v>
      </c>
      <c r="D903" s="1005" t="s">
        <v>1175</v>
      </c>
      <c r="E903" s="1005"/>
      <c r="F903" s="1005"/>
      <c r="G903" s="188"/>
      <c r="H903" s="267"/>
      <c r="I903" s="267"/>
    </row>
    <row r="904" spans="1:9" ht="14.4">
      <c r="A904" s="271"/>
      <c r="B904" s="271"/>
      <c r="D904" s="1005" t="s">
        <v>1176</v>
      </c>
      <c r="E904" s="1005"/>
      <c r="F904" s="1005"/>
      <c r="G904" s="188"/>
      <c r="H904" s="267"/>
      <c r="I904" s="267"/>
    </row>
    <row r="905" spans="1:9" ht="14.4">
      <c r="A905" s="271"/>
      <c r="B905" s="271"/>
      <c r="D905" s="3" t="s">
        <v>1477</v>
      </c>
      <c r="E905" s="1006" t="s">
        <v>2074</v>
      </c>
      <c r="F905" s="1006"/>
      <c r="G905" s="188"/>
      <c r="H905" s="267"/>
      <c r="I905" s="267"/>
    </row>
    <row r="906" spans="1:9" ht="14.4">
      <c r="A906" s="271"/>
      <c r="B906" s="271"/>
      <c r="D906" s="44"/>
      <c r="E906" s="188"/>
      <c r="F906" s="188"/>
      <c r="G906" s="188"/>
      <c r="H906" s="267"/>
      <c r="I906" s="267"/>
    </row>
    <row r="907" spans="1:9" ht="14.4">
      <c r="A907" s="271"/>
      <c r="B907" s="609" t="s">
        <v>79</v>
      </c>
      <c r="D907" s="975" t="s">
        <v>1457</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1403</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1634</v>
      </c>
      <c r="E914" s="999"/>
      <c r="F914" s="999"/>
      <c r="G914" s="188"/>
      <c r="H914" s="267"/>
      <c r="I914" s="267"/>
    </row>
    <row r="915" spans="1:9" ht="13.2">
      <c r="A915" s="190"/>
      <c r="B915" s="190"/>
      <c r="C915" s="190"/>
      <c r="D915" s="995" t="s">
        <v>1475</v>
      </c>
      <c r="E915" s="995"/>
      <c r="F915" s="995"/>
      <c r="G915" s="188"/>
      <c r="H915" s="267"/>
      <c r="I915" s="267"/>
    </row>
    <row r="916" spans="1:9" ht="13.2">
      <c r="A916" s="190"/>
      <c r="B916" s="190"/>
      <c r="C916" s="190"/>
      <c r="F916" s="188"/>
      <c r="G916" s="188"/>
      <c r="H916" s="267"/>
      <c r="I916" s="267"/>
    </row>
    <row r="917" spans="1:9" ht="13.65" customHeight="1">
      <c r="A917" s="190"/>
      <c r="B917" s="609" t="s">
        <v>79</v>
      </c>
      <c r="C917" s="190"/>
      <c r="D917" s="1002" t="s">
        <v>1644</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79</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6" t="s">
        <v>1646</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79</v>
      </c>
      <c r="D957" s="975" t="s">
        <v>1648</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79</v>
      </c>
      <c r="C962" s="207"/>
      <c r="D962" s="998" t="s">
        <v>1636</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79</v>
      </c>
      <c r="C969" s="207"/>
      <c r="D969" s="998" t="s">
        <v>1635</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79</v>
      </c>
      <c r="C975" s="207"/>
      <c r="D975" s="998" t="s">
        <v>1638</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79</v>
      </c>
      <c r="C981" s="207"/>
      <c r="D981" s="998" t="s">
        <v>1639</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79</v>
      </c>
      <c r="C985" s="207"/>
      <c r="D985" s="998" t="s">
        <v>1640</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79</v>
      </c>
      <c r="C988" s="207"/>
      <c r="D988" s="975" t="s">
        <v>1641</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79</v>
      </c>
      <c r="C991" s="207"/>
      <c r="D991" s="1000" t="s">
        <v>1770</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79</v>
      </c>
      <c r="C996" s="207"/>
      <c r="D996" s="995" t="s">
        <v>2151</v>
      </c>
      <c r="E996" s="995"/>
      <c r="F996" s="995"/>
      <c r="G996" s="188"/>
      <c r="H996" s="267"/>
      <c r="I996" s="267"/>
    </row>
    <row r="997" spans="1:9" ht="13.2">
      <c r="A997" s="207"/>
      <c r="B997" s="207"/>
      <c r="C997" s="207"/>
      <c r="D997" s="44"/>
      <c r="E997" s="188"/>
      <c r="F997" s="188"/>
      <c r="G997" s="188"/>
      <c r="H997" s="267"/>
      <c r="I997" s="267"/>
    </row>
    <row r="998" spans="1:9" ht="13.2">
      <c r="A998" s="207"/>
      <c r="B998" s="609" t="s">
        <v>79</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1478</v>
      </c>
      <c r="E1000" s="996"/>
      <c r="F1000" s="996"/>
      <c r="G1000" s="188"/>
      <c r="H1000" s="267"/>
      <c r="I1000" s="267"/>
    </row>
    <row r="1001" spans="1:9" ht="13.2">
      <c r="A1001" s="207"/>
      <c r="C1001" s="207"/>
      <c r="D1001" s="192"/>
      <c r="E1001" s="188"/>
      <c r="F1001" s="188"/>
      <c r="G1001" s="188"/>
      <c r="H1001" s="267"/>
      <c r="I1001" s="267"/>
    </row>
    <row r="1002" spans="1:9" ht="14.4">
      <c r="A1002" s="271"/>
      <c r="B1002" s="609" t="s">
        <v>79</v>
      </c>
      <c r="C1002" s="207"/>
      <c r="D1002" s="975" t="s">
        <v>1642</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79</v>
      </c>
      <c r="C1008" s="207"/>
      <c r="D1008" s="975" t="s">
        <v>1643</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1479</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79</v>
      </c>
      <c r="C1016" s="207"/>
      <c r="D1016" s="975" t="s">
        <v>1649</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79</v>
      </c>
      <c r="C1020" s="207"/>
      <c r="D1020" s="975" t="s">
        <v>1650</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1480</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79</v>
      </c>
      <c r="C1026" s="207"/>
      <c r="D1026" s="975" t="s">
        <v>1652</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5" t="s">
        <v>1651</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3" t="s">
        <v>1653</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5" t="s">
        <v>1654</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79</v>
      </c>
      <c r="C1042" s="207"/>
      <c r="D1042" s="975" t="s">
        <v>1655</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79</v>
      </c>
      <c r="C1046" s="207"/>
      <c r="D1046" s="975" t="s">
        <v>1481</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79</v>
      </c>
      <c r="C1050" s="207"/>
      <c r="D1050" s="975" t="s">
        <v>1482</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79</v>
      </c>
      <c r="C1054" s="207"/>
      <c r="D1054" s="1037" t="s">
        <v>1125</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79</v>
      </c>
      <c r="C1068" s="207"/>
      <c r="D1068" s="968" t="s">
        <v>2202</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79</v>
      </c>
      <c r="C1073" s="207"/>
      <c r="D1073" s="968" t="s">
        <v>2203</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79</v>
      </c>
      <c r="C1078" s="207"/>
      <c r="D1078" s="1001" t="s">
        <v>1656</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79</v>
      </c>
      <c r="C1082" s="429"/>
      <c r="D1082" s="1031" t="s">
        <v>2153</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1484</v>
      </c>
      <c r="E1086" s="996"/>
      <c r="F1086" s="996"/>
      <c r="G1086" s="188"/>
    </row>
    <row r="1087" spans="1:9" ht="13.2">
      <c r="C1087" s="207"/>
      <c r="D1087" s="192"/>
      <c r="E1087" s="188"/>
      <c r="F1087" s="188"/>
      <c r="G1087" s="188"/>
    </row>
    <row r="1088" spans="1:9" ht="13.2">
      <c r="A1088" s="207"/>
      <c r="B1088" s="609" t="s">
        <v>79</v>
      </c>
      <c r="C1088" s="207"/>
      <c r="D1088" s="975" t="s">
        <v>1657</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79</v>
      </c>
      <c r="C1092" s="207"/>
      <c r="D1092" s="975" t="s">
        <v>1658</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1117</v>
      </c>
      <c r="E1096" s="996"/>
      <c r="F1096" s="996"/>
      <c r="G1096" s="188"/>
    </row>
    <row r="1097" spans="1:7" ht="13.2">
      <c r="A1097" s="207"/>
      <c r="B1097" s="207"/>
      <c r="C1097" s="207"/>
      <c r="D1097" s="995" t="s">
        <v>1485</v>
      </c>
      <c r="E1097" s="995"/>
      <c r="F1097" s="995"/>
      <c r="G1097" s="188"/>
    </row>
    <row r="1098" spans="1:7" ht="13.2">
      <c r="A1098" s="207"/>
      <c r="B1098" s="207"/>
      <c r="C1098" s="207"/>
      <c r="D1098" s="419"/>
      <c r="E1098" s="188"/>
      <c r="F1098" s="188"/>
      <c r="G1098" s="188"/>
    </row>
    <row r="1099" spans="1:7" ht="14.4">
      <c r="A1099" s="271"/>
      <c r="B1099" s="609" t="s">
        <v>79</v>
      </c>
      <c r="C1099" s="207"/>
      <c r="D1099" s="975" t="s">
        <v>1659</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79</v>
      </c>
      <c r="C1102" s="207"/>
      <c r="D1102" s="975" t="s">
        <v>1660</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1486</v>
      </c>
      <c r="E1105" s="996"/>
      <c r="F1105" s="996"/>
      <c r="G1105" s="188"/>
    </row>
    <row r="1106" spans="1:7" ht="13.2">
      <c r="A1106" s="207"/>
      <c r="B1106" s="207"/>
      <c r="C1106" s="207"/>
      <c r="D1106" s="192"/>
      <c r="E1106" s="188"/>
      <c r="F1106" s="188"/>
      <c r="G1106" s="188"/>
    </row>
    <row r="1107" spans="1:7" ht="14.4">
      <c r="A1107" s="271"/>
      <c r="B1107" s="609" t="s">
        <v>79</v>
      </c>
      <c r="C1107" s="207"/>
      <c r="D1107" s="975" t="s">
        <v>1661</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79</v>
      </c>
      <c r="C1115" s="207"/>
      <c r="D1115" s="975" t="s">
        <v>1662</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9" t="s">
        <v>79</v>
      </c>
      <c r="C1123" s="207"/>
      <c r="D1123" s="1000" t="s">
        <v>1771</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1487</v>
      </c>
      <c r="E1127" s="996"/>
      <c r="F1127" s="996"/>
    </row>
    <row r="1128" spans="1:7" ht="13.2">
      <c r="D1128" s="192"/>
    </row>
    <row r="1129" spans="1:7" ht="14.4">
      <c r="A1129" s="271"/>
      <c r="B1129" s="609" t="s">
        <v>79</v>
      </c>
      <c r="D1129" s="975" t="s">
        <v>1663</v>
      </c>
      <c r="E1129" s="975"/>
      <c r="F1129" s="975"/>
    </row>
    <row r="1130" spans="1:7" ht="13.2">
      <c r="D1130" s="975"/>
      <c r="E1130" s="975"/>
      <c r="F1130" s="975"/>
    </row>
    <row r="1131" spans="1:7" ht="13.2"/>
    <row r="1132" spans="1:7" ht="14.4">
      <c r="A1132" s="271"/>
      <c r="B1132" s="609" t="s">
        <v>79</v>
      </c>
      <c r="D1132" s="975" t="s">
        <v>1664</v>
      </c>
      <c r="E1132" s="975"/>
      <c r="F1132" s="975"/>
    </row>
    <row r="1133" spans="1:7" ht="13.2">
      <c r="D1133" s="975"/>
      <c r="E1133" s="975"/>
      <c r="F1133" s="975"/>
    </row>
    <row r="1134" spans="1:7" ht="13.2"/>
    <row r="1135" spans="1:7" ht="13.2">
      <c r="D1135" s="996" t="s">
        <v>1488</v>
      </c>
      <c r="E1135" s="996"/>
      <c r="F1135" s="996"/>
    </row>
    <row r="1136" spans="1:7" ht="13.2">
      <c r="D1136" s="192"/>
    </row>
    <row r="1137" spans="1:7" ht="14.4">
      <c r="A1137" s="271"/>
      <c r="B1137" s="609" t="s">
        <v>79</v>
      </c>
      <c r="D1137" s="995" t="s">
        <v>1665</v>
      </c>
      <c r="E1137" s="995"/>
      <c r="F1137" s="995"/>
    </row>
    <row r="1138" spans="1:7" ht="13.2"/>
    <row r="1139" spans="1:7" ht="14.4">
      <c r="A1139" s="271"/>
      <c r="B1139" s="609" t="s">
        <v>79</v>
      </c>
      <c r="D1139" s="975" t="s">
        <v>1666</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1676</v>
      </c>
      <c r="E1142" s="996"/>
      <c r="F1142" s="996"/>
      <c r="G1142"/>
    </row>
    <row r="1143" spans="1:7" ht="13.2">
      <c r="D1143" s="192"/>
      <c r="G1143"/>
    </row>
    <row r="1144" spans="1:7" ht="14.4" customHeight="1">
      <c r="A1144" s="271"/>
      <c r="B1144" s="609" t="s">
        <v>79</v>
      </c>
      <c r="D1144" s="968" t="s">
        <v>2204</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1404</v>
      </c>
      <c r="B1159" s="1029"/>
      <c r="C1159" s="1029"/>
      <c r="D1159" s="1029"/>
      <c r="E1159" s="1029"/>
      <c r="F1159" s="1029"/>
      <c r="G1159" s="1029"/>
    </row>
    <row r="1160" spans="1:7" ht="13.2">
      <c r="A1160" s="44"/>
      <c r="B1160" s="44"/>
    </row>
    <row r="1161" spans="1:7" ht="13.2">
      <c r="C1161" s="207"/>
      <c r="D1161" s="996" t="s">
        <v>1667</v>
      </c>
      <c r="E1161" s="996"/>
      <c r="F1161" s="996"/>
    </row>
    <row r="1162" spans="1:7" ht="13.2">
      <c r="A1162" s="190"/>
      <c r="B1162" s="190"/>
      <c r="C1162" s="190"/>
      <c r="D1162" s="997" t="s">
        <v>1492</v>
      </c>
      <c r="E1162" s="995"/>
      <c r="F1162" s="995"/>
    </row>
    <row r="1163" spans="1:7" ht="13.2">
      <c r="A1163" s="190"/>
      <c r="B1163" s="190"/>
      <c r="C1163" s="190"/>
      <c r="F1163" s="188"/>
      <c r="G1163"/>
    </row>
    <row r="1164" spans="1:7" ht="13.65" customHeight="1">
      <c r="B1164" s="609" t="s">
        <v>79</v>
      </c>
      <c r="D1164" s="1050" t="s">
        <v>2091</v>
      </c>
      <c r="E1164" s="1050"/>
      <c r="F1164" s="1050"/>
      <c r="G1164"/>
    </row>
    <row r="1165" spans="1:7" ht="13.2">
      <c r="D1165" s="1050"/>
      <c r="E1165" s="1050"/>
      <c r="F1165" s="1050"/>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79</v>
      </c>
      <c r="C1172" s="191"/>
      <c r="D1172" s="975" t="s">
        <v>1677</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79</v>
      </c>
      <c r="C1177" s="191"/>
      <c r="D1177" s="968" t="s">
        <v>1756</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79</v>
      </c>
      <c r="D1180" s="995" t="s">
        <v>1668</v>
      </c>
      <c r="E1180" s="995"/>
      <c r="F1180" s="995"/>
      <c r="G1180"/>
    </row>
    <row r="1181" spans="1:7" ht="13.2">
      <c r="G1181"/>
    </row>
    <row r="1182" spans="1:7" ht="14.4">
      <c r="A1182" s="271"/>
      <c r="B1182" s="609" t="s">
        <v>79</v>
      </c>
      <c r="D1182" s="995" t="s">
        <v>1669</v>
      </c>
      <c r="E1182" s="995"/>
      <c r="F1182" s="995"/>
      <c r="G1182"/>
    </row>
    <row r="1183" spans="1:7" ht="13.2">
      <c r="D1183" s="44"/>
      <c r="G1183"/>
    </row>
    <row r="1184" spans="1:7" ht="14.4">
      <c r="A1184" s="271"/>
      <c r="B1184" s="609" t="s">
        <v>79</v>
      </c>
      <c r="D1184" s="995" t="s">
        <v>1670</v>
      </c>
      <c r="E1184" s="995"/>
      <c r="F1184" s="995"/>
      <c r="G1184"/>
    </row>
    <row r="1185" spans="1:7" ht="13.2">
      <c r="D1185" s="44"/>
      <c r="G1185"/>
    </row>
    <row r="1186" spans="1:7" ht="14.4">
      <c r="A1186" s="271"/>
      <c r="B1186" s="609" t="s">
        <v>79</v>
      </c>
      <c r="D1186" s="975" t="s">
        <v>1671</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79</v>
      </c>
      <c r="C1189" s="290"/>
      <c r="D1189" s="993" t="s">
        <v>1672</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79</v>
      </c>
      <c r="C1192" s="290"/>
      <c r="D1192" s="994" t="s">
        <v>1673</v>
      </c>
      <c r="E1192" s="994"/>
      <c r="F1192" s="994"/>
      <c r="G1192" s="292"/>
    </row>
    <row r="1193" spans="1:7" s="448" customFormat="1" ht="13.2">
      <c r="A1193" s="290"/>
      <c r="B1193" s="290"/>
      <c r="C1193" s="290"/>
      <c r="D1193" s="291"/>
      <c r="E1193" s="292"/>
      <c r="F1193" s="292"/>
      <c r="G1193" s="292"/>
    </row>
    <row r="1194" spans="1:7" ht="14.4">
      <c r="A1194" s="271"/>
      <c r="B1194" s="609" t="s">
        <v>79</v>
      </c>
      <c r="D1194" s="995" t="s">
        <v>1674</v>
      </c>
      <c r="E1194" s="995"/>
      <c r="F1194" s="995"/>
    </row>
    <row r="1195" spans="1:7" ht="14.4">
      <c r="A1195" s="271"/>
      <c r="B1195" s="271"/>
      <c r="D1195" s="44"/>
    </row>
    <row r="1196" spans="1:7" ht="14.4">
      <c r="A1196" s="271"/>
      <c r="B1196" s="609" t="s">
        <v>79</v>
      </c>
      <c r="D1196" s="975" t="s">
        <v>1675</v>
      </c>
      <c r="E1196" s="975"/>
      <c r="F1196" s="975"/>
    </row>
    <row r="1197" spans="1:7" ht="14.4">
      <c r="A1197" s="271"/>
      <c r="B1197" s="271"/>
      <c r="D1197" s="975"/>
      <c r="E1197" s="975"/>
      <c r="F1197" s="975"/>
    </row>
    <row r="1198" spans="1:7" ht="13.2"/>
    <row r="1199" spans="1:7" ht="13.2">
      <c r="A1199" s="1029" t="s">
        <v>2010</v>
      </c>
      <c r="B1199" s="1029"/>
      <c r="C1199" s="1029"/>
      <c r="D1199" s="1029"/>
      <c r="E1199" s="1029"/>
      <c r="F1199" s="1029"/>
      <c r="G1199" s="1029"/>
    </row>
    <row r="1200" spans="1:7" ht="13.2"/>
    <row r="1201" spans="1:7" ht="13.2">
      <c r="A1201" s="1029" t="s">
        <v>1405</v>
      </c>
      <c r="B1201" s="1029"/>
      <c r="C1201" s="1029"/>
      <c r="D1201" s="1029"/>
      <c r="E1201" s="1029"/>
      <c r="F1201" s="1029"/>
      <c r="G1201" s="1029"/>
    </row>
    <row r="1202" spans="1:7" ht="13.2"/>
    <row r="1203" spans="1:7" ht="13.2">
      <c r="D1203" s="999" t="s">
        <v>1511</v>
      </c>
      <c r="E1203" s="999"/>
      <c r="F1203" s="999"/>
    </row>
    <row r="1204" spans="1:7" ht="13.2">
      <c r="D1204" s="1034" t="s">
        <v>1916</v>
      </c>
      <c r="E1204" s="1034"/>
      <c r="F1204" s="1034"/>
    </row>
    <row r="1205" spans="1:7" ht="13.2">
      <c r="A1205" s="190"/>
      <c r="B1205" s="190"/>
      <c r="C1205" s="190"/>
    </row>
    <row r="1206" spans="1:7" ht="14.4">
      <c r="A1206" s="271"/>
      <c r="B1206" s="271"/>
      <c r="C1206" s="191"/>
      <c r="D1206" s="999" t="s">
        <v>1512</v>
      </c>
      <c r="E1206" s="999"/>
      <c r="F1206" s="999"/>
    </row>
    <row r="1207" spans="1:7" ht="13.2">
      <c r="B1207" s="609" t="s">
        <v>79</v>
      </c>
      <c r="D1207" s="994" t="s">
        <v>1513</v>
      </c>
      <c r="E1207" s="994"/>
      <c r="F1207" s="994"/>
    </row>
    <row r="1208" spans="1:7" ht="13.2">
      <c r="D1208" s="1034" t="s">
        <v>1917</v>
      </c>
      <c r="E1208" s="1034"/>
      <c r="F1208" s="1034"/>
    </row>
    <row r="1209" spans="1:7" ht="13.2">
      <c r="G1209"/>
    </row>
    <row r="1210" spans="1:7" ht="12.75" customHeight="1">
      <c r="B1210" s="609" t="s">
        <v>79</v>
      </c>
      <c r="D1210" s="1018" t="s">
        <v>1834</v>
      </c>
      <c r="E1210" s="1018"/>
      <c r="F1210" s="1018"/>
      <c r="G1210"/>
    </row>
    <row r="1211" spans="1:7" ht="13.2">
      <c r="D1211" s="1018"/>
      <c r="E1211" s="1018"/>
      <c r="F1211" s="1018"/>
      <c r="G1211"/>
    </row>
    <row r="1212" spans="1:7" ht="13.2">
      <c r="G1212"/>
    </row>
    <row r="1213" spans="1:7" ht="12.75" customHeight="1"/>
    <row r="1214" spans="1:7" ht="13.2">
      <c r="A1214" s="1029" t="s">
        <v>1407</v>
      </c>
      <c r="B1214" s="1029"/>
      <c r="C1214" s="1029"/>
      <c r="D1214" s="1029"/>
      <c r="E1214" s="1029"/>
      <c r="F1214" s="1029"/>
      <c r="G1214" s="1029"/>
    </row>
    <row r="1215" spans="1:7" ht="13.2">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4">
      <c r="A1219" s="271"/>
      <c r="B1219" s="609" t="s">
        <v>79</v>
      </c>
      <c r="D1219" s="1005" t="s">
        <v>1013</v>
      </c>
      <c r="E1219" s="1005"/>
      <c r="F1219" s="1005"/>
    </row>
    <row r="1220" spans="1:7" ht="13.2">
      <c r="D1220" s="995" t="s">
        <v>1133</v>
      </c>
      <c r="E1220" s="995"/>
      <c r="F1220" s="995"/>
    </row>
    <row r="1221" spans="1:7" ht="13.2">
      <c r="E1221" s="1020" t="s">
        <v>2093</v>
      </c>
      <c r="F1221" s="1020"/>
    </row>
    <row r="1222" spans="1:7" ht="13.2">
      <c r="D1222" s="3"/>
    </row>
    <row r="1223" spans="1:7" ht="13.2">
      <c r="D1223" s="1033" t="s">
        <v>1273</v>
      </c>
      <c r="E1223" s="1033"/>
      <c r="F1223" s="1033"/>
    </row>
    <row r="1224" spans="1:7" ht="13.2">
      <c r="B1224" s="609" t="s">
        <v>79</v>
      </c>
      <c r="D1224" s="968" t="s">
        <v>2094</v>
      </c>
      <c r="E1224" s="975"/>
      <c r="F1224" s="975"/>
      <c r="G1224"/>
    </row>
    <row r="1225" spans="1:7" ht="13.2">
      <c r="D1225" s="975"/>
      <c r="E1225" s="975"/>
      <c r="F1225" s="975"/>
      <c r="G1225"/>
    </row>
    <row r="1226" spans="1:7" ht="13.2">
      <c r="D1226" s="501" t="s">
        <v>1276</v>
      </c>
      <c r="E1226"/>
      <c r="F1226"/>
      <c r="G1226"/>
    </row>
    <row r="1227" spans="1:7" ht="13.65" customHeight="1">
      <c r="D1227" s="968" t="s">
        <v>2095</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1016</v>
      </c>
      <c r="E1231" s="1020"/>
      <c r="F1231" s="1020"/>
      <c r="G1231"/>
    </row>
    <row r="1232" spans="1:7" ht="13.2">
      <c r="B1232" s="609" t="s">
        <v>79</v>
      </c>
      <c r="D1232" s="1005" t="s">
        <v>1274</v>
      </c>
      <c r="E1232" s="1005"/>
      <c r="F1232" s="1005"/>
      <c r="G1232"/>
    </row>
    <row r="1233" spans="1:7" ht="13.2">
      <c r="E1233"/>
      <c r="F1233"/>
      <c r="G1233"/>
    </row>
    <row r="1234" spans="1:7" ht="13.2">
      <c r="D1234" s="1035" t="s">
        <v>1275</v>
      </c>
      <c r="E1234" s="1035"/>
      <c r="F1234" s="1035"/>
      <c r="G1234"/>
    </row>
    <row r="1235" spans="1:7" ht="13.2">
      <c r="D1235" s="3" t="s">
        <v>1014</v>
      </c>
      <c r="E1235"/>
      <c r="F1235"/>
      <c r="G1235"/>
    </row>
    <row r="1236" spans="1:7" ht="14.4" customHeight="1">
      <c r="A1236" s="271"/>
      <c r="B1236" s="609" t="s">
        <v>79</v>
      </c>
      <c r="D1236" s="975" t="s">
        <v>1514</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1132</v>
      </c>
      <c r="E1240" s="419"/>
      <c r="F1240" s="419"/>
    </row>
    <row r="1241" spans="1:7" ht="14.4">
      <c r="A1241" s="271"/>
      <c r="B1241" s="609" t="s">
        <v>79</v>
      </c>
      <c r="D1241" s="975" t="s">
        <v>1515</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1438</v>
      </c>
      <c r="B1247" s="1029"/>
      <c r="C1247" s="1029"/>
      <c r="D1247" s="1029"/>
      <c r="E1247" s="1029"/>
      <c r="F1247" s="1029"/>
      <c r="G1247" s="1029"/>
    </row>
    <row r="1248" spans="1:7" ht="13.2">
      <c r="A1248" s="44"/>
      <c r="B1248" s="44"/>
    </row>
    <row r="1249" spans="1:7" ht="13.2">
      <c r="A1249" s="44"/>
      <c r="B1249" s="44"/>
      <c r="D1249" s="1025" t="s">
        <v>1439</v>
      </c>
      <c r="E1249" s="1025"/>
      <c r="F1249" s="1025"/>
    </row>
    <row r="1250" spans="1:7" ht="13.2">
      <c r="A1250" s="268"/>
      <c r="B1250" s="268"/>
      <c r="C1250" s="268"/>
      <c r="D1250" s="1005" t="s">
        <v>1452</v>
      </c>
      <c r="E1250" s="1005"/>
      <c r="F1250" s="1005"/>
      <c r="G1250" s="269"/>
    </row>
    <row r="1251" spans="1:7" ht="10.5" customHeight="1"/>
    <row r="1252" spans="1:7" ht="14.4">
      <c r="A1252" s="271"/>
      <c r="B1252" s="609" t="s">
        <v>79</v>
      </c>
      <c r="D1252" s="1005" t="s">
        <v>1134</v>
      </c>
      <c r="E1252" s="1005"/>
      <c r="F1252" s="1005"/>
    </row>
    <row r="1253" spans="1:7" ht="13.2">
      <c r="E1253" s="1020" t="s">
        <v>2096</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608" zoomScaleNormal="100" workbookViewId="0">
      <selection activeCell="O706" sqref="O706:S706"/>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2" t="s">
        <v>792</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9" customFormat="1" ht="12.9" customHeight="1">
      <c r="A10" s="1573" t="s">
        <v>2301</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2.9" customHeight="1">
      <c r="A11" s="1574" t="s">
        <v>2321</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2.9"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6" t="s">
        <v>2322</v>
      </c>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row>
    <row r="16" spans="1:46" ht="12.9" customHeight="1"/>
    <row r="17" spans="1:46" ht="12.9" customHeight="1">
      <c r="A17" s="63" t="s">
        <v>793</v>
      </c>
      <c r="C17" s="5"/>
      <c r="D17" s="5"/>
      <c r="E17" s="5"/>
      <c r="F17" s="5"/>
      <c r="G17" s="5"/>
      <c r="H17" s="1103" t="s">
        <v>2323</v>
      </c>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399" t="s">
        <v>1352</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2251</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2">
        <f>ROUND('Basis &amp; Credits'!AB55,0)</f>
        <v>2370700</v>
      </c>
      <c r="N25" s="1402"/>
      <c r="O25" s="1402"/>
      <c r="P25" s="1402"/>
      <c r="Q25" s="1402"/>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2">
        <f>'Basis &amp; Credits'!AB76</f>
        <v>0</v>
      </c>
      <c r="N27" s="1402"/>
      <c r="O27" s="1402"/>
      <c r="P27" s="1402"/>
      <c r="Q27" s="1402"/>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2252</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2250</v>
      </c>
      <c r="B33"/>
      <c r="C33" s="102"/>
      <c r="D33" s="102"/>
      <c r="E33" s="102"/>
      <c r="F33" s="102"/>
      <c r="G33" s="102"/>
      <c r="H33" s="102"/>
      <c r="I33" s="102"/>
      <c r="J33" s="102"/>
      <c r="K33" s="102"/>
      <c r="L33" s="102"/>
      <c r="M33" s="102"/>
      <c r="N33" s="102"/>
      <c r="O33" s="1098" t="s">
        <v>482</v>
      </c>
      <c r="P33" s="1098"/>
      <c r="Q33" s="1575" t="s">
        <v>2253</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2.9" customHeight="1">
      <c r="A34" s="988" t="s">
        <v>2254</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2255</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2256</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2257</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2259</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2262</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2264</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2265</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2266</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2267</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2268</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2269</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2270</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6" t="s">
        <v>2271</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2.9"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2272</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1">
        <v>1</v>
      </c>
      <c r="H115" s="1101"/>
      <c r="I115" s="41" t="s">
        <v>412</v>
      </c>
      <c r="J115" s="41"/>
      <c r="L115" s="1397" t="s">
        <v>2324</v>
      </c>
      <c r="M115" s="1398"/>
      <c r="N115" s="1398"/>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97" t="s">
        <v>2325</v>
      </c>
      <c r="D117" s="1398"/>
      <c r="E117" s="1398"/>
      <c r="F117" s="1398"/>
      <c r="G117" s="1398"/>
      <c r="H117" s="1398"/>
      <c r="I117" s="1398"/>
      <c r="J117" s="1398"/>
      <c r="K117" s="1398"/>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2326</v>
      </c>
      <c r="Z118" s="1389"/>
      <c r="AA118" s="1389"/>
      <c r="AB118" s="1389"/>
      <c r="AC118" s="1389"/>
      <c r="AD118" s="1389"/>
      <c r="AE118" s="1389"/>
      <c r="AF118" s="1389"/>
      <c r="AG118" s="1389"/>
      <c r="AH118" s="1389"/>
      <c r="AI118" s="1389"/>
      <c r="AJ118" s="1389"/>
      <c r="AK118" s="138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2327</v>
      </c>
      <c r="Z121" s="1389"/>
      <c r="AA121" s="1389"/>
      <c r="AB121" s="1389"/>
      <c r="AC121" s="1389"/>
      <c r="AD121" s="1389"/>
      <c r="AE121" s="1389"/>
      <c r="AF121" s="1389"/>
      <c r="AG121" s="1389"/>
      <c r="AH121" s="1389"/>
      <c r="AI121" s="1389"/>
      <c r="AJ121" s="1389"/>
      <c r="AK121" s="1389"/>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03" t="s">
        <v>2328</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79</v>
      </c>
    </row>
    <row r="157" spans="1:72" ht="12.9" customHeight="1">
      <c r="D157" s="339" t="s">
        <v>543</v>
      </c>
      <c r="O157" s="1471" t="s">
        <v>2329</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 customHeight="1">
      <c r="D158" s="12" t="s">
        <v>544</v>
      </c>
      <c r="F158" s="12"/>
      <c r="G158" s="12"/>
      <c r="H158" s="12"/>
      <c r="I158" s="12"/>
      <c r="J158" s="12"/>
      <c r="K158" s="12"/>
      <c r="L158" s="12"/>
      <c r="M158" s="12"/>
      <c r="N158" s="12"/>
      <c r="O158" s="1472" t="s">
        <v>545</v>
      </c>
      <c r="P158" s="1472"/>
      <c r="Q158" s="1472"/>
      <c r="R158" s="1472"/>
      <c r="S158" s="1472"/>
      <c r="T158" s="1472"/>
      <c r="U158" s="1472"/>
      <c r="V158" s="1472"/>
      <c r="W158" s="1472"/>
      <c r="X158" s="1472"/>
      <c r="Y158" s="1472"/>
      <c r="Z158" s="1472"/>
      <c r="AA158" s="1472"/>
      <c r="AB158" s="1472"/>
      <c r="AC158" s="1472"/>
      <c r="AD158" s="1472"/>
      <c r="AE158" s="1472"/>
      <c r="AF158" s="1472"/>
      <c r="AG158" s="1472"/>
      <c r="AH158" s="1472"/>
      <c r="BN158" s="30" t="s">
        <v>423</v>
      </c>
      <c r="BT158" t="s">
        <v>29</v>
      </c>
    </row>
    <row r="159" spans="1:72" ht="12.9" customHeight="1">
      <c r="D159" t="s">
        <v>647</v>
      </c>
      <c r="O159" s="1107" t="s">
        <v>2330</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 customHeight="1">
      <c r="D160" t="s">
        <v>648</v>
      </c>
      <c r="O160" s="1103" t="s">
        <v>2331</v>
      </c>
      <c r="P160" s="1389"/>
      <c r="Q160" s="1389"/>
      <c r="R160" s="1389"/>
      <c r="S160" s="1389"/>
      <c r="T160" s="1389"/>
      <c r="U160" s="1389"/>
      <c r="V160" s="1389"/>
      <c r="W160" s="1389"/>
      <c r="X160" s="1389"/>
      <c r="Y160" s="12"/>
      <c r="Z160" s="12"/>
      <c r="AA160" s="12"/>
      <c r="AB160" s="12"/>
      <c r="AC160" s="12"/>
      <c r="AD160" s="12"/>
      <c r="AE160" s="12"/>
      <c r="AF160" s="12"/>
      <c r="BN160" s="30" t="s">
        <v>75</v>
      </c>
      <c r="BT160" t="s">
        <v>385</v>
      </c>
    </row>
    <row r="161" spans="1:72" ht="12.9" customHeight="1">
      <c r="D161" t="s">
        <v>649</v>
      </c>
      <c r="O161" s="1475">
        <v>93648</v>
      </c>
      <c r="P161" s="1475"/>
      <c r="Q161" s="1475"/>
      <c r="R161" s="1475"/>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77" t="s">
        <v>2332</v>
      </c>
      <c r="P162" s="1477"/>
      <c r="Q162" s="1477"/>
      <c r="R162" s="1477"/>
      <c r="S162" s="1477"/>
      <c r="T162" s="1477"/>
      <c r="V162" s="179" t="s">
        <v>12</v>
      </c>
      <c r="W162" s="1476"/>
      <c r="X162" s="1476"/>
      <c r="Y162" s="14"/>
      <c r="Z162" s="14"/>
      <c r="AA162" s="14"/>
      <c r="AB162" s="14"/>
      <c r="AC162" s="14"/>
      <c r="AD162" s="14"/>
      <c r="AE162" s="14"/>
      <c r="AF162" s="14"/>
      <c r="BJ162" t="s">
        <v>108</v>
      </c>
      <c r="BN162" s="30" t="s">
        <v>77</v>
      </c>
      <c r="BT162" t="s">
        <v>387</v>
      </c>
    </row>
    <row r="163" spans="1:72" ht="12.9" customHeight="1">
      <c r="D163" t="s">
        <v>651</v>
      </c>
      <c r="O163" s="1477" t="s">
        <v>2333</v>
      </c>
      <c r="P163" s="1477"/>
      <c r="Q163" s="1477"/>
      <c r="R163" s="1477"/>
      <c r="S163" s="1477"/>
      <c r="T163" s="1477"/>
      <c r="U163" s="14"/>
      <c r="V163" s="14"/>
      <c r="W163" s="14"/>
      <c r="X163" s="14"/>
      <c r="Y163" s="14"/>
      <c r="Z163" s="14"/>
      <c r="AA163" s="14"/>
      <c r="AB163" s="14"/>
      <c r="AC163" s="14"/>
      <c r="AD163" s="14"/>
      <c r="AE163" s="14"/>
      <c r="AF163" s="14"/>
      <c r="BN163" s="30" t="s">
        <v>476</v>
      </c>
      <c r="BT163" t="s">
        <v>388</v>
      </c>
    </row>
    <row r="164" spans="1:72" ht="12.9" customHeight="1">
      <c r="D164" t="s">
        <v>652</v>
      </c>
      <c r="O164" s="1469" t="s">
        <v>2334</v>
      </c>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86" t="s">
        <v>2306</v>
      </c>
      <c r="E167" s="1486"/>
      <c r="F167" s="1486"/>
      <c r="G167" s="1486"/>
      <c r="H167" s="1486"/>
      <c r="I167" s="1486"/>
      <c r="J167" s="1486"/>
      <c r="K167" s="1486"/>
      <c r="L167" s="1486"/>
      <c r="M167" s="1486"/>
      <c r="N167" s="1486"/>
      <c r="O167" s="1486"/>
      <c r="P167" s="1486"/>
      <c r="Q167" s="1486"/>
      <c r="R167" s="1486"/>
      <c r="S167" s="1486"/>
      <c r="T167" s="1486"/>
      <c r="U167" s="1486"/>
      <c r="V167" s="1486"/>
      <c r="W167" s="1486"/>
      <c r="X167" s="1486"/>
      <c r="Y167" s="1486"/>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90" t="s">
        <v>505</v>
      </c>
      <c r="K173" s="1390"/>
      <c r="L173" s="1390"/>
      <c r="M173" s="1390"/>
      <c r="N173" s="1390"/>
      <c r="O173" s="1390"/>
      <c r="P173" s="1390"/>
      <c r="Q173" s="1390"/>
      <c r="R173" s="1390"/>
      <c r="S173" s="1390"/>
      <c r="U173" s="32"/>
      <c r="X173" s="32"/>
      <c r="BN173" s="30" t="s">
        <v>491</v>
      </c>
      <c r="BT173" t="s">
        <v>398</v>
      </c>
    </row>
    <row r="174" spans="1:72" ht="12.9" customHeight="1">
      <c r="C174" s="31"/>
      <c r="D174" t="s">
        <v>438</v>
      </c>
      <c r="U174" s="1098" t="s">
        <v>108</v>
      </c>
      <c r="V174" s="1098"/>
      <c r="BN174" s="30" t="s">
        <v>594</v>
      </c>
      <c r="BT174" t="s">
        <v>399</v>
      </c>
    </row>
    <row r="175" spans="1:72" ht="12.9" customHeight="1">
      <c r="C175" s="12"/>
      <c r="D175" s="33"/>
      <c r="E175" t="s">
        <v>230</v>
      </c>
      <c r="O175" s="34"/>
      <c r="P175" t="s">
        <v>2104</v>
      </c>
      <c r="T175" s="34" t="s">
        <v>231</v>
      </c>
      <c r="U175" s="1281">
        <v>24</v>
      </c>
      <c r="V175" s="1281"/>
      <c r="W175" s="1" t="s">
        <v>232</v>
      </c>
      <c r="X175" s="1474">
        <v>61</v>
      </c>
      <c r="Y175" s="1474"/>
      <c r="BN175" s="30" t="s">
        <v>595</v>
      </c>
      <c r="BT175" t="s">
        <v>400</v>
      </c>
    </row>
    <row r="176" spans="1:72" ht="12.9" customHeight="1">
      <c r="C176" s="31"/>
      <c r="D176" t="s">
        <v>279</v>
      </c>
      <c r="U176" s="1098" t="s">
        <v>482</v>
      </c>
      <c r="V176" s="1098"/>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480"/>
      <c r="K178" s="1480"/>
      <c r="L178" s="370" t="s">
        <v>232</v>
      </c>
      <c r="M178" s="1330"/>
      <c r="N178" s="1330"/>
      <c r="O178" s="361"/>
      <c r="P178" s="361"/>
      <c r="Q178" s="361"/>
      <c r="R178" s="361"/>
      <c r="U178" s="361" t="s">
        <v>1233</v>
      </c>
      <c r="V178" s="361"/>
      <c r="W178" s="361"/>
      <c r="X178" s="361"/>
      <c r="Y178" s="361"/>
      <c r="Z178" s="361"/>
      <c r="AA178" s="361"/>
      <c r="AB178" s="361"/>
      <c r="AD178" s="1481"/>
      <c r="AE178" s="1481"/>
      <c r="AF178" s="1481"/>
      <c r="AG178" s="1481"/>
      <c r="AH178" s="1481"/>
      <c r="BN178" s="30" t="s">
        <v>599</v>
      </c>
      <c r="BT178" t="s">
        <v>403</v>
      </c>
    </row>
    <row r="179" spans="1:72" ht="12.9" customHeight="1">
      <c r="C179" s="31"/>
      <c r="BN179" s="30" t="s">
        <v>600</v>
      </c>
      <c r="BT179" t="s">
        <v>404</v>
      </c>
    </row>
    <row r="180" spans="1:72" ht="12.9" customHeight="1">
      <c r="C180" s="12"/>
      <c r="D180" t="s">
        <v>2105</v>
      </c>
      <c r="O180" s="361"/>
      <c r="P180" s="361"/>
      <c r="Q180" s="361"/>
      <c r="R180" s="361"/>
      <c r="Y180" s="1098" t="s">
        <v>482</v>
      </c>
      <c r="Z180" s="1454"/>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0" t="str">
        <f>H17</f>
        <v>Parlier Family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2.9" customHeight="1">
      <c r="C185" s="29"/>
      <c r="D185" t="s">
        <v>429</v>
      </c>
      <c r="I185" s="1258" t="s">
        <v>2335</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2.9" customHeight="1">
      <c r="C186" s="29"/>
      <c r="E186" t="s">
        <v>62</v>
      </c>
      <c r="BN186" s="30" t="s">
        <v>576</v>
      </c>
      <c r="BT186" t="s">
        <v>840</v>
      </c>
    </row>
    <row r="187" spans="1:72" ht="12.9" customHeight="1">
      <c r="C187" s="29"/>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BN187" s="30" t="s">
        <v>577</v>
      </c>
      <c r="BT187" t="s">
        <v>841</v>
      </c>
    </row>
    <row r="188" spans="1:72" ht="12.9" customHeight="1">
      <c r="C188" s="29"/>
      <c r="E188" s="1354"/>
      <c r="F188" s="1354"/>
      <c r="G188" s="1354"/>
      <c r="H188" s="1354"/>
      <c r="I188" s="1354"/>
      <c r="J188" s="1354"/>
      <c r="K188" s="1354"/>
      <c r="L188" s="1354"/>
      <c r="M188" s="1354"/>
      <c r="N188" s="1354"/>
      <c r="O188" s="1354"/>
      <c r="P188" s="1354"/>
      <c r="Q188" s="1354"/>
      <c r="R188" s="1354"/>
      <c r="S188" s="1354"/>
      <c r="T188" s="1354"/>
      <c r="U188" s="1354"/>
      <c r="V188" s="1354"/>
      <c r="W188" s="1354"/>
      <c r="X188" s="1354"/>
      <c r="Y188" s="1354"/>
      <c r="Z188" s="1354"/>
      <c r="AA188" s="1354"/>
      <c r="AB188" s="1354"/>
      <c r="AC188" s="1354"/>
      <c r="AD188" s="1354"/>
      <c r="AE188" s="1354"/>
      <c r="BN188" s="30" t="s">
        <v>579</v>
      </c>
      <c r="BT188" t="s">
        <v>842</v>
      </c>
    </row>
    <row r="189" spans="1:72" ht="12.9" customHeight="1">
      <c r="C189" s="29"/>
      <c r="D189" t="s">
        <v>430</v>
      </c>
      <c r="I189" s="1107" t="s">
        <v>2336</v>
      </c>
      <c r="J189" s="1107"/>
      <c r="K189" s="1107"/>
      <c r="L189" s="1107"/>
      <c r="M189" s="1107"/>
      <c r="N189" s="1107"/>
      <c r="O189" s="1107"/>
      <c r="P189" s="1107"/>
      <c r="Q189" t="s">
        <v>432</v>
      </c>
      <c r="T189" s="1107" t="s">
        <v>391</v>
      </c>
      <c r="U189" s="1107"/>
      <c r="V189" s="1107"/>
      <c r="W189" s="1107"/>
      <c r="X189" s="1107"/>
      <c r="Y189" s="1107"/>
      <c r="Z189" s="1107"/>
      <c r="AA189" s="1107"/>
      <c r="AB189" s="1107"/>
      <c r="AC189" s="1107"/>
      <c r="AD189" s="1107"/>
      <c r="AE189" s="1107"/>
      <c r="BC189" t="s">
        <v>79</v>
      </c>
      <c r="BH189" s="41" t="s">
        <v>124</v>
      </c>
      <c r="BN189" s="30" t="s">
        <v>580</v>
      </c>
      <c r="BT189" t="s">
        <v>109</v>
      </c>
    </row>
    <row r="190" spans="1:72" ht="12.9" customHeight="1">
      <c r="C190" s="29"/>
      <c r="D190" t="s">
        <v>433</v>
      </c>
      <c r="I190" s="1258">
        <v>93648</v>
      </c>
      <c r="J190" s="1258"/>
      <c r="K190" s="1258"/>
      <c r="L190" s="1258"/>
      <c r="M190" s="1258"/>
      <c r="N190" s="1258"/>
      <c r="O190" t="s">
        <v>435</v>
      </c>
      <c r="T190" s="1478">
        <v>85.03</v>
      </c>
      <c r="U190" s="1478"/>
      <c r="V190" s="1478"/>
      <c r="W190" s="1478"/>
      <c r="X190" s="1478"/>
      <c r="Y190" s="1478"/>
      <c r="Z190" s="1478"/>
      <c r="AA190" s="1478"/>
      <c r="AB190" s="1478"/>
      <c r="AC190" s="1478"/>
      <c r="AD190" s="1478"/>
      <c r="AE190" s="1478"/>
      <c r="BC190" t="s">
        <v>663</v>
      </c>
      <c r="BH190" t="s">
        <v>663</v>
      </c>
      <c r="BN190" s="30" t="s">
        <v>421</v>
      </c>
      <c r="BT190" t="s">
        <v>110</v>
      </c>
    </row>
    <row r="191" spans="1:72" ht="12.9" customHeight="1">
      <c r="C191" s="29"/>
      <c r="D191" t="s">
        <v>81</v>
      </c>
      <c r="N191" s="1353" t="s">
        <v>2337</v>
      </c>
      <c r="O191" s="1353"/>
      <c r="P191" s="1353"/>
      <c r="Q191" s="1353"/>
      <c r="R191" s="1353"/>
      <c r="S191" s="1353"/>
      <c r="T191" s="1353"/>
      <c r="U191" s="1353"/>
      <c r="V191" s="1353"/>
      <c r="W191" s="1353"/>
      <c r="X191" s="1353"/>
      <c r="Y191" s="1353"/>
      <c r="Z191" s="1353"/>
      <c r="AA191" s="1353"/>
      <c r="AB191" s="1353"/>
      <c r="AC191" s="1353"/>
      <c r="AD191" s="1353"/>
      <c r="AE191" s="1353"/>
      <c r="BC191" t="s">
        <v>1424</v>
      </c>
      <c r="BH191" t="s">
        <v>1424</v>
      </c>
      <c r="BN191" s="30" t="s">
        <v>582</v>
      </c>
      <c r="BT191" t="s">
        <v>111</v>
      </c>
    </row>
    <row r="192" spans="1:72" ht="12.9" customHeight="1">
      <c r="C192" s="29"/>
      <c r="M192" s="49"/>
      <c r="N192" s="1354"/>
      <c r="O192" s="1354"/>
      <c r="P192" s="1354"/>
      <c r="Q192" s="1354"/>
      <c r="R192" s="1354"/>
      <c r="S192" s="1354"/>
      <c r="T192" s="1354"/>
      <c r="U192" s="1354"/>
      <c r="V192" s="1354"/>
      <c r="W192" s="1354"/>
      <c r="X192" s="1354"/>
      <c r="Y192" s="1354"/>
      <c r="Z192" s="1354"/>
      <c r="AA192" s="1354"/>
      <c r="AB192" s="1354"/>
      <c r="AC192" s="1354"/>
      <c r="AD192" s="1354"/>
      <c r="AE192" s="1354"/>
      <c r="BC192" t="s">
        <v>664</v>
      </c>
      <c r="BH192" t="s">
        <v>615</v>
      </c>
      <c r="BN192" s="30" t="s">
        <v>583</v>
      </c>
      <c r="BT192" t="s">
        <v>112</v>
      </c>
    </row>
    <row r="193" spans="1:73" ht="12.9" customHeight="1">
      <c r="C193" s="29"/>
      <c r="D193" t="s">
        <v>436</v>
      </c>
      <c r="T193" s="1098" t="s">
        <v>482</v>
      </c>
      <c r="U193" s="1098"/>
      <c r="W193" s="41" t="s">
        <v>1886</v>
      </c>
      <c r="AA193" s="1484"/>
      <c r="AB193" s="1484"/>
      <c r="AC193" s="1484"/>
      <c r="BC193" t="s">
        <v>564</v>
      </c>
      <c r="BH193" s="5" t="s">
        <v>1429</v>
      </c>
      <c r="BN193" s="30" t="s">
        <v>584</v>
      </c>
      <c r="BT193" t="s">
        <v>113</v>
      </c>
    </row>
    <row r="194" spans="1:73" ht="12.9" customHeight="1">
      <c r="C194" s="29"/>
      <c r="D194" t="s">
        <v>118</v>
      </c>
      <c r="T194" s="1056" t="s">
        <v>108</v>
      </c>
      <c r="U194" s="1056"/>
      <c r="W194" t="s">
        <v>63</v>
      </c>
      <c r="AI194" s="1098" t="s">
        <v>482</v>
      </c>
      <c r="AJ194" s="1098"/>
      <c r="AX194" s="5" t="s">
        <v>124</v>
      </c>
      <c r="BC194" t="s">
        <v>615</v>
      </c>
      <c r="BN194" s="30" t="s">
        <v>753</v>
      </c>
      <c r="BT194" t="s">
        <v>114</v>
      </c>
    </row>
    <row r="195" spans="1:73" ht="12.9" customHeight="1">
      <c r="C195" s="29"/>
      <c r="D195" s="41" t="s">
        <v>1734</v>
      </c>
      <c r="T195" s="1056" t="s">
        <v>482</v>
      </c>
      <c r="U195" s="1056"/>
      <c r="X195" s="797" t="s">
        <v>2106</v>
      </c>
      <c r="AX195" s="5" t="s">
        <v>1150</v>
      </c>
      <c r="BN195" s="30" t="s">
        <v>754</v>
      </c>
      <c r="BT195" t="s">
        <v>115</v>
      </c>
    </row>
    <row r="196" spans="1:73" ht="12.9" customHeight="1">
      <c r="C196" s="29"/>
      <c r="D196" s="5" t="s">
        <v>1155</v>
      </c>
      <c r="T196" s="1056" t="s">
        <v>482</v>
      </c>
      <c r="U196" s="1056"/>
      <c r="AK196" s="1483"/>
      <c r="AL196" s="1483"/>
      <c r="AX196" s="41" t="s">
        <v>2199</v>
      </c>
      <c r="BN196" s="30" t="s">
        <v>755</v>
      </c>
      <c r="BT196" t="s">
        <v>116</v>
      </c>
    </row>
    <row r="197" spans="1:73" ht="12.9" customHeight="1">
      <c r="C197" s="29"/>
      <c r="D197" s="41" t="s">
        <v>1887</v>
      </c>
      <c r="T197" s="1098" t="s">
        <v>482</v>
      </c>
      <c r="U197" s="1098"/>
      <c r="AX197" s="5" t="s">
        <v>1151</v>
      </c>
      <c r="BC197" t="s">
        <v>79</v>
      </c>
      <c r="BN197" s="30" t="s">
        <v>756</v>
      </c>
      <c r="BT197" t="s">
        <v>117</v>
      </c>
    </row>
    <row r="198" spans="1:73" ht="12.9" customHeight="1">
      <c r="C198" s="29"/>
      <c r="D198" s="41" t="s">
        <v>1915</v>
      </c>
      <c r="W198" s="1393" t="s">
        <v>482</v>
      </c>
      <c r="X198" s="1098"/>
      <c r="AX198" s="5" t="s">
        <v>1152</v>
      </c>
      <c r="BC198" t="s">
        <v>1103</v>
      </c>
      <c r="BN198" s="30" t="s">
        <v>757</v>
      </c>
      <c r="BT198" t="s">
        <v>803</v>
      </c>
    </row>
    <row r="199" spans="1:73" ht="12.9" customHeight="1">
      <c r="C199" s="29"/>
      <c r="L199" s="309"/>
      <c r="M199" s="309"/>
      <c r="N199" s="309"/>
      <c r="O199" s="309"/>
      <c r="P199" s="309"/>
      <c r="Q199" s="922" t="s">
        <v>2107</v>
      </c>
      <c r="R199" s="1103" t="s">
        <v>2021</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60" t="str">
        <f>IF(AND(M25&gt;0,M27&gt;0),"Federal and State","Federal Only")</f>
        <v>Federal Only</v>
      </c>
      <c r="E203" s="1260"/>
      <c r="F203" s="1260"/>
      <c r="G203" s="1260"/>
      <c r="H203" s="1260"/>
      <c r="I203" s="1260"/>
      <c r="J203" s="1260"/>
      <c r="K203" s="1260"/>
      <c r="L203" s="1260"/>
      <c r="M203" s="1260"/>
      <c r="P203" s="1487">
        <f>M25</f>
        <v>2370700</v>
      </c>
      <c r="Q203" s="1487"/>
      <c r="R203" s="1487"/>
      <c r="S203" s="1487"/>
      <c r="T203" s="1487"/>
      <c r="U203" s="1487"/>
      <c r="W203" s="1487">
        <f>M27</f>
        <v>0</v>
      </c>
      <c r="X203" s="1487"/>
      <c r="Y203" s="1487"/>
      <c r="Z203" s="1487"/>
      <c r="AA203" s="1487"/>
      <c r="AB203" s="1487"/>
      <c r="AV203" t="s">
        <v>124</v>
      </c>
      <c r="AX203" s="5" t="s">
        <v>564</v>
      </c>
      <c r="BC203" t="s">
        <v>1434</v>
      </c>
      <c r="BN203" s="30" t="s">
        <v>661</v>
      </c>
      <c r="BT203" s="40" t="s">
        <v>808</v>
      </c>
      <c r="BU203" s="21"/>
    </row>
    <row r="204" spans="1:73" ht="12.9" customHeight="1">
      <c r="C204" s="29"/>
      <c r="P204" s="1404" t="s">
        <v>175</v>
      </c>
      <c r="Q204" s="1404"/>
      <c r="R204" s="1404"/>
      <c r="S204" s="1404"/>
      <c r="T204" s="1404"/>
      <c r="U204" s="1404"/>
      <c r="V204" s="36"/>
      <c r="W204" s="1404" t="s">
        <v>176</v>
      </c>
      <c r="X204" s="1404"/>
      <c r="Y204" s="1404"/>
      <c r="Z204" s="1404"/>
      <c r="AA204" s="1404"/>
      <c r="AB204" s="1404"/>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 customHeight="1">
      <c r="C208" s="29"/>
      <c r="D208" s="1389" t="s">
        <v>2437</v>
      </c>
      <c r="E208" s="1389"/>
      <c r="F208" s="1389"/>
      <c r="G208" s="1389"/>
      <c r="H208" s="1389"/>
      <c r="I208" s="1389"/>
      <c r="J208" s="1389"/>
      <c r="K208" s="1389"/>
      <c r="L208" s="1389"/>
      <c r="M208" s="1389"/>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03" t="s">
        <v>1151</v>
      </c>
      <c r="E211" s="1389"/>
      <c r="F211" s="1389"/>
      <c r="G211" s="1389"/>
      <c r="H211" s="1389"/>
      <c r="I211" s="1389"/>
      <c r="J211" s="1389"/>
      <c r="K211" s="1389"/>
      <c r="L211" s="1389"/>
      <c r="M211" s="1389"/>
      <c r="N211" s="1389"/>
      <c r="O211" s="1389"/>
      <c r="P211" s="1389"/>
      <c r="X211" s="803"/>
      <c r="Y211" s="1479" t="s">
        <v>482</v>
      </c>
      <c r="Z211" s="1479"/>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89" t="s">
        <v>663</v>
      </c>
      <c r="E214" s="1389"/>
      <c r="F214" s="1389"/>
      <c r="G214" s="1389"/>
      <c r="H214" s="1389"/>
      <c r="I214" s="1389"/>
      <c r="J214" s="1389"/>
      <c r="K214" s="1389"/>
      <c r="L214" s="1389"/>
      <c r="M214" s="1389"/>
      <c r="N214" s="1389"/>
      <c r="O214" s="1389"/>
      <c r="P214" s="1389"/>
      <c r="Q214" s="1389"/>
      <c r="R214" s="1389"/>
      <c r="S214" s="1389"/>
      <c r="T214" s="1389"/>
      <c r="U214" s="1389"/>
      <c r="V214" s="1389"/>
      <c r="W214" s="1389"/>
      <c r="X214" s="1389"/>
      <c r="Y214" s="1389"/>
      <c r="Z214" s="1389"/>
      <c r="AX214" t="s">
        <v>2019</v>
      </c>
      <c r="BC214" t="s">
        <v>630</v>
      </c>
      <c r="BN214" s="30" t="s">
        <v>443</v>
      </c>
      <c r="BT214" s="40" t="s">
        <v>817</v>
      </c>
    </row>
    <row r="215" spans="1:72" ht="12.9" customHeight="1">
      <c r="D215" s="35"/>
      <c r="E215" s="41" t="s">
        <v>2102</v>
      </c>
      <c r="AC215" s="1485"/>
      <c r="AD215" s="1485"/>
      <c r="AF215" s="1482">
        <f>IFERROR(AC215/AG433,"")</f>
        <v>0</v>
      </c>
      <c r="AG215" s="1482"/>
      <c r="AX215" t="s">
        <v>2020</v>
      </c>
      <c r="BC215" t="s">
        <v>627</v>
      </c>
    </row>
    <row r="216" spans="1:72" ht="12.9" customHeight="1">
      <c r="D216" s="35"/>
      <c r="E216" s="938" t="s">
        <v>1432</v>
      </c>
      <c r="AX216" t="s">
        <v>2021</v>
      </c>
      <c r="BC216" t="s">
        <v>744</v>
      </c>
    </row>
    <row r="217" spans="1:72" ht="12.9" customHeight="1">
      <c r="E217" s="1401" t="s">
        <v>124</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AX217" s="41" t="s">
        <v>2023</v>
      </c>
      <c r="BC217" t="s">
        <v>628</v>
      </c>
    </row>
    <row r="218" spans="1:72" ht="12.9" customHeight="1">
      <c r="E218" s="41" t="s">
        <v>1959</v>
      </c>
      <c r="AA218" s="49"/>
      <c r="AC218" s="1360"/>
      <c r="AD218" s="1360"/>
      <c r="AE218" s="1360"/>
      <c r="AF218" s="1360"/>
      <c r="AG218" s="1360"/>
      <c r="AH218" s="1360"/>
      <c r="AI218" s="1360"/>
      <c r="AJ218" s="1360"/>
      <c r="AK218" s="1360"/>
      <c r="AL218" s="1360"/>
      <c r="AM218" s="1360"/>
      <c r="BC218" t="s">
        <v>629</v>
      </c>
      <c r="BI218" s="39"/>
    </row>
    <row r="219" spans="1:72" ht="12.9" customHeight="1">
      <c r="E219" s="41" t="s">
        <v>1960</v>
      </c>
      <c r="AA219" s="49"/>
      <c r="AC219" s="1360"/>
      <c r="AD219" s="1360"/>
      <c r="AE219" s="1360"/>
      <c r="AF219" s="1360"/>
      <c r="AG219" s="1360"/>
      <c r="AH219" s="1360"/>
      <c r="AI219" s="1360"/>
      <c r="AJ219" s="1360"/>
      <c r="AK219" s="1360"/>
      <c r="AL219" s="1360"/>
      <c r="AM219" s="1360"/>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3" t="s">
        <v>79</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 customHeight="1">
      <c r="AJ224" s="5"/>
    </row>
    <row r="225" spans="1:59" ht="12.9" customHeight="1">
      <c r="D225" t="s">
        <v>557</v>
      </c>
      <c r="O225" s="1098">
        <v>21</v>
      </c>
      <c r="P225" s="1098"/>
    </row>
    <row r="226" spans="1:59" ht="12.9" customHeight="1">
      <c r="D226" t="s">
        <v>558</v>
      </c>
      <c r="O226" s="1098">
        <v>31</v>
      </c>
      <c r="P226" s="1098"/>
      <c r="BB226" s="5" t="s">
        <v>638</v>
      </c>
      <c r="BG226" s="410">
        <f>IF(AND(AND($M$251="for profit",$M$259="for profit",$M$267="nonprofit")),2,0)</f>
        <v>0</v>
      </c>
    </row>
    <row r="227" spans="1:59" ht="12.9" customHeight="1">
      <c r="D227" t="s">
        <v>559</v>
      </c>
      <c r="O227" s="1098">
        <v>14</v>
      </c>
      <c r="P227" s="1098"/>
      <c r="BB227" s="5" t="s">
        <v>638</v>
      </c>
      <c r="BG227" s="410">
        <f>IF(AND(AND($M$251="for profit",$M$259="nonprofit",$M$267="for profit")),2,0)</f>
        <v>2</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3" t="str">
        <f>H15</f>
        <v>Parlier Tuolumne Street LP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2.9" customHeight="1">
      <c r="D236" s="5" t="s">
        <v>372</v>
      </c>
      <c r="E236" s="5"/>
      <c r="F236" s="5"/>
      <c r="G236" s="5"/>
      <c r="H236" s="5"/>
      <c r="I236" s="5"/>
      <c r="J236" s="5"/>
      <c r="K236" s="5"/>
      <c r="M236" s="1389" t="s">
        <v>2338</v>
      </c>
      <c r="N236" s="1389"/>
      <c r="O236" s="1389"/>
      <c r="P236" s="1389"/>
      <c r="Q236" s="1389"/>
      <c r="R236" s="1389"/>
      <c r="S236" s="1389"/>
      <c r="T236" s="1389"/>
      <c r="U236" s="1389"/>
      <c r="V236" s="1389"/>
      <c r="W236" s="1389"/>
      <c r="X236" s="1389"/>
      <c r="Y236" s="1389"/>
      <c r="Z236" s="1389"/>
      <c r="AA236" s="1389"/>
      <c r="AB236" s="1389"/>
      <c r="AC236" s="1389"/>
      <c r="AD236" s="1389"/>
      <c r="AE236" s="1389"/>
      <c r="AM236" s="41"/>
      <c r="AN236" s="41"/>
      <c r="BB236" t="s">
        <v>637</v>
      </c>
      <c r="BG236" s="410">
        <f>IF(AND(AND($M$251="nonprofit",$M$259="nonprofit",$M$267="nonprofit")),1,0)</f>
        <v>0</v>
      </c>
    </row>
    <row r="237" spans="1:59" ht="12.9" customHeight="1">
      <c r="D237" s="5" t="s">
        <v>430</v>
      </c>
      <c r="E237" s="5"/>
      <c r="M237" s="1103" t="s">
        <v>2325</v>
      </c>
      <c r="N237" s="1389"/>
      <c r="O237" s="1389"/>
      <c r="P237" s="1389"/>
      <c r="Q237" s="1389"/>
      <c r="R237" s="1389"/>
      <c r="S237" s="1389"/>
      <c r="T237" s="1389"/>
      <c r="V237" s="42" t="s">
        <v>373</v>
      </c>
      <c r="W237" s="1471" t="s">
        <v>2339</v>
      </c>
      <c r="X237" s="1259"/>
      <c r="Y237" s="5" t="s">
        <v>433</v>
      </c>
      <c r="AC237" s="1389">
        <v>95521</v>
      </c>
      <c r="AD237" s="1389"/>
      <c r="AE237" s="1389"/>
      <c r="AN237" s="41"/>
      <c r="BB237" t="s">
        <v>637</v>
      </c>
      <c r="BG237" s="410">
        <f>IF(AND(AND($M$251="nonprofit",$M$259="nonprofit",$M$267="(select one)")),1,0)</f>
        <v>0</v>
      </c>
    </row>
    <row r="238" spans="1:59" ht="12.9" customHeight="1">
      <c r="D238" s="5" t="s">
        <v>374</v>
      </c>
      <c r="E238" s="5"/>
      <c r="F238" s="5"/>
      <c r="G238" s="5"/>
      <c r="H238" s="5"/>
      <c r="I238" s="5"/>
      <c r="J238" s="5"/>
      <c r="K238" s="28"/>
      <c r="M238" s="1103" t="s">
        <v>2340</v>
      </c>
      <c r="N238" s="1389"/>
      <c r="O238" s="1389"/>
      <c r="P238" s="1389"/>
      <c r="Q238" s="1389"/>
      <c r="R238" s="1389"/>
      <c r="S238" s="1389"/>
      <c r="T238" s="1389"/>
      <c r="U238" s="1389"/>
      <c r="V238" s="1389"/>
      <c r="W238" s="1389"/>
      <c r="X238" s="1389"/>
      <c r="Y238" s="1389"/>
      <c r="Z238" s="1389"/>
      <c r="AA238" s="1389"/>
      <c r="AB238" s="1389"/>
      <c r="AC238" s="1389"/>
      <c r="AD238" s="1389"/>
      <c r="AE238" s="1389"/>
      <c r="AI238" s="5"/>
      <c r="AJ238" s="5"/>
      <c r="AK238" s="5"/>
      <c r="AL238" s="5"/>
      <c r="AN238" s="41"/>
      <c r="BB238" t="s">
        <v>637</v>
      </c>
      <c r="BG238" s="410">
        <f>IF(AND(AND($M$251="nonprofit",$M$259="(select one)",$M$267="(select one)")),1,0)</f>
        <v>0</v>
      </c>
    </row>
    <row r="239" spans="1:59" ht="12.9" customHeight="1">
      <c r="D239" s="5" t="s">
        <v>375</v>
      </c>
      <c r="E239" s="5"/>
      <c r="F239" s="5"/>
      <c r="M239" s="1473" t="s">
        <v>2341</v>
      </c>
      <c r="N239" s="1264"/>
      <c r="O239" s="1264"/>
      <c r="P239" s="1264"/>
      <c r="Q239" s="1264"/>
      <c r="R239" s="1264"/>
      <c r="S239" s="5" t="s">
        <v>818</v>
      </c>
      <c r="T239" s="5"/>
      <c r="U239" s="1259"/>
      <c r="V239" s="1259"/>
      <c r="W239" s="1259"/>
      <c r="X239" s="5" t="s">
        <v>376</v>
      </c>
      <c r="Z239" s="1264"/>
      <c r="AA239" s="1264"/>
      <c r="AB239" s="1264"/>
      <c r="AC239" s="1264"/>
      <c r="AD239" s="1264"/>
      <c r="AE239" s="1264"/>
      <c r="AM239" s="41"/>
      <c r="AN239" s="41"/>
      <c r="BB239" t="s">
        <v>1009</v>
      </c>
      <c r="BG239" s="410">
        <f>IF(AND(AND($M$251="for profit",$M$259="for profit",$M$267="for profit")),3,0)</f>
        <v>0</v>
      </c>
    </row>
    <row r="240" spans="1:59" ht="12.9" customHeight="1">
      <c r="D240" s="5" t="s">
        <v>377</v>
      </c>
      <c r="E240" s="5"/>
      <c r="F240" s="5"/>
      <c r="M240" s="1469" t="s">
        <v>2342</v>
      </c>
      <c r="N240" s="1469"/>
      <c r="O240" s="1469"/>
      <c r="P240" s="1469"/>
      <c r="Q240" s="1469"/>
      <c r="R240" s="1469"/>
      <c r="S240" s="1469"/>
      <c r="T240" s="1469"/>
      <c r="U240" s="1469"/>
      <c r="V240" s="1469"/>
      <c r="W240" s="1469"/>
      <c r="X240" s="1469"/>
      <c r="Y240" s="1469"/>
      <c r="Z240" s="1469"/>
      <c r="AA240" s="1469"/>
      <c r="AB240" s="1469"/>
      <c r="AC240" s="1469"/>
      <c r="AD240" s="1469"/>
      <c r="AE240" s="1469"/>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258" t="s">
        <v>628</v>
      </c>
      <c r="N241" s="1258"/>
      <c r="O241" s="1258"/>
      <c r="P241" s="1258"/>
      <c r="Q241" s="1258"/>
      <c r="R241" s="1258"/>
      <c r="S241" s="1258"/>
      <c r="T241" s="1258"/>
      <c r="U241" s="5" t="s">
        <v>1144</v>
      </c>
      <c r="AA241" s="1400"/>
      <c r="AB241" s="1400"/>
      <c r="AC241" s="1400"/>
      <c r="AD241" s="1400"/>
      <c r="AE241" s="1400"/>
      <c r="AF241" s="1400"/>
      <c r="AG241" s="1400"/>
      <c r="AH241" s="1400"/>
      <c r="AI241" s="1400"/>
      <c r="AJ241" s="1400"/>
      <c r="AK241" s="1400"/>
      <c r="AL241" s="41"/>
      <c r="AM241" s="5"/>
      <c r="AN241" s="41"/>
      <c r="AO241" s="41"/>
      <c r="BB241" t="s">
        <v>1009</v>
      </c>
      <c r="BG241" s="411">
        <f>IF(AND(AND($M$251="for profit",$M$259="(select one)",$M$267="(select one)")),3,0)</f>
        <v>0</v>
      </c>
    </row>
    <row r="242" spans="1:67" ht="12.9"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96" t="s">
        <v>2343</v>
      </c>
      <c r="N245" s="1396"/>
      <c r="O245" s="1396"/>
      <c r="P245" s="1396"/>
      <c r="Q245" s="1396"/>
      <c r="R245" s="1396"/>
      <c r="S245" s="1396"/>
      <c r="T245" s="1396"/>
      <c r="U245" s="1396"/>
      <c r="V245" s="1396"/>
      <c r="W245" s="1396"/>
      <c r="X245" s="1396"/>
      <c r="Y245" s="1396"/>
      <c r="Z245" s="1396"/>
      <c r="AA245" s="1396"/>
      <c r="AB245" s="1396"/>
      <c r="AC245" s="1396"/>
      <c r="AD245" s="1396"/>
      <c r="AE245" s="1396"/>
      <c r="AF245" s="1468" t="s">
        <v>2344</v>
      </c>
      <c r="AG245" s="1468"/>
      <c r="AH245" s="1468"/>
      <c r="AI245" s="1468"/>
      <c r="AJ245" s="1468"/>
      <c r="AK245" s="1468"/>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103" t="s">
        <v>2338</v>
      </c>
      <c r="N246" s="1389"/>
      <c r="O246" s="1389"/>
      <c r="P246" s="1389"/>
      <c r="Q246" s="1389"/>
      <c r="R246" s="1389"/>
      <c r="S246" s="1389"/>
      <c r="T246" s="1389"/>
      <c r="U246" s="1389"/>
      <c r="V246" s="1389"/>
      <c r="W246" s="1389"/>
      <c r="X246" s="1389"/>
      <c r="Y246" s="1389"/>
      <c r="Z246" s="1389"/>
      <c r="AA246" s="1389"/>
      <c r="AB246" s="1389"/>
      <c r="AC246" s="1389"/>
      <c r="AD246" s="1389"/>
      <c r="AE246" s="1389"/>
      <c r="AL246" s="5"/>
      <c r="AN246" s="41"/>
      <c r="BB246" s="5" t="s">
        <v>454</v>
      </c>
      <c r="BH246">
        <v>3</v>
      </c>
      <c r="BI246" t="s">
        <v>636</v>
      </c>
    </row>
    <row r="247" spans="1:67" ht="12.9" customHeight="1">
      <c r="A247" s="28"/>
      <c r="B247" s="5"/>
      <c r="C247" s="5"/>
      <c r="D247" s="5" t="s">
        <v>430</v>
      </c>
      <c r="E247" s="5"/>
      <c r="M247" s="1103" t="s">
        <v>2325</v>
      </c>
      <c r="N247" s="1389"/>
      <c r="O247" s="1389"/>
      <c r="P247" s="1389"/>
      <c r="Q247" s="1389"/>
      <c r="R247" s="1389"/>
      <c r="S247" s="1389"/>
      <c r="T247" s="1389"/>
      <c r="V247" s="42" t="s">
        <v>373</v>
      </c>
      <c r="W247" s="1471" t="s">
        <v>2339</v>
      </c>
      <c r="X247" s="1259"/>
      <c r="Y247" s="5" t="s">
        <v>433</v>
      </c>
      <c r="AC247" s="1389">
        <v>95521</v>
      </c>
      <c r="AD247" s="1389"/>
      <c r="AE247" s="1389"/>
      <c r="AN247" s="41"/>
    </row>
    <row r="248" spans="1:67" ht="12.9" customHeight="1">
      <c r="A248" s="28"/>
      <c r="B248" s="5"/>
      <c r="C248" s="5"/>
      <c r="D248" s="5" t="s">
        <v>374</v>
      </c>
      <c r="E248" s="5"/>
      <c r="F248" s="5"/>
      <c r="G248" s="5"/>
      <c r="H248" s="5"/>
      <c r="I248" s="5"/>
      <c r="J248" s="5"/>
      <c r="K248" s="5"/>
      <c r="L248" s="28"/>
      <c r="M248" s="1103" t="s">
        <v>2340</v>
      </c>
      <c r="N248" s="1389"/>
      <c r="O248" s="1389"/>
      <c r="P248" s="1389"/>
      <c r="Q248" s="1389"/>
      <c r="R248" s="1389"/>
      <c r="S248" s="1389"/>
      <c r="T248" s="1389"/>
      <c r="U248" s="1389"/>
      <c r="V248" s="1389"/>
      <c r="W248" s="1389"/>
      <c r="X248" s="1389"/>
      <c r="Y248" s="1389"/>
      <c r="Z248" s="1389"/>
      <c r="AA248" s="1389"/>
      <c r="AB248" s="1389"/>
      <c r="AC248" s="1389"/>
      <c r="AD248" s="1389"/>
      <c r="AE248" s="1389"/>
      <c r="AJ248" s="5"/>
      <c r="AK248" s="5"/>
      <c r="AL248" s="5"/>
      <c r="AN248" s="41"/>
    </row>
    <row r="249" spans="1:67" ht="12.9" customHeight="1">
      <c r="A249" s="28"/>
      <c r="B249" s="5"/>
      <c r="C249" s="5"/>
      <c r="D249" s="5" t="s">
        <v>375</v>
      </c>
      <c r="E249" s="5"/>
      <c r="F249" s="5"/>
      <c r="M249" s="1473" t="s">
        <v>2341</v>
      </c>
      <c r="N249" s="1264"/>
      <c r="O249" s="1264"/>
      <c r="P249" s="1264"/>
      <c r="Q249" s="1264"/>
      <c r="R249" s="1264"/>
      <c r="S249" s="5" t="s">
        <v>818</v>
      </c>
      <c r="T249" s="5"/>
      <c r="U249" s="1259"/>
      <c r="V249" s="1259"/>
      <c r="W249" s="1259"/>
      <c r="X249" s="5" t="s">
        <v>376</v>
      </c>
      <c r="Z249" s="1264"/>
      <c r="AA249" s="1264"/>
      <c r="AB249" s="1264"/>
      <c r="AC249" s="1264"/>
      <c r="AD249" s="1264"/>
      <c r="AE249" s="1264"/>
      <c r="AM249" s="5"/>
      <c r="AN249" s="41"/>
    </row>
    <row r="250" spans="1:67" ht="12.9" customHeight="1">
      <c r="A250" s="28"/>
      <c r="B250" s="5"/>
      <c r="C250" s="5"/>
      <c r="D250" s="5" t="s">
        <v>377</v>
      </c>
      <c r="E250" s="5"/>
      <c r="F250" s="5"/>
      <c r="M250" s="1469" t="s">
        <v>2342</v>
      </c>
      <c r="N250" s="1469"/>
      <c r="O250" s="1469"/>
      <c r="P250" s="1469"/>
      <c r="Q250" s="1469"/>
      <c r="R250" s="1469"/>
      <c r="S250" s="1469"/>
      <c r="T250" s="1469"/>
      <c r="U250" s="1469"/>
      <c r="V250" s="1469"/>
      <c r="W250" s="1469"/>
      <c r="X250" s="1469"/>
      <c r="Y250" s="1469"/>
      <c r="Z250" s="1469"/>
      <c r="AA250" s="1469"/>
      <c r="AB250" s="1469"/>
      <c r="AC250" s="1469"/>
      <c r="AD250" s="1469"/>
      <c r="AE250" s="1469"/>
      <c r="AG250" s="5"/>
      <c r="AH250" s="5"/>
      <c r="AI250" s="5"/>
      <c r="AJ250" s="5"/>
      <c r="AK250" s="5"/>
      <c r="AL250" s="5"/>
    </row>
    <row r="251" spans="1:67" ht="12.9" customHeight="1">
      <c r="A251" s="18"/>
      <c r="B251" s="5"/>
      <c r="C251" s="62"/>
      <c r="D251" s="5" t="s">
        <v>635</v>
      </c>
      <c r="E251" s="5"/>
      <c r="F251" s="5"/>
      <c r="G251" s="5"/>
      <c r="H251" s="5"/>
      <c r="I251" s="5"/>
      <c r="J251" s="5"/>
      <c r="K251" s="5"/>
      <c r="L251" s="5"/>
      <c r="M251" s="1258" t="s">
        <v>636</v>
      </c>
      <c r="N251" s="1258"/>
      <c r="O251" s="1258"/>
      <c r="P251" s="1258"/>
      <c r="Q251" s="1258"/>
      <c r="R251" s="1258"/>
      <c r="S251" s="1258"/>
      <c r="T251" s="1258"/>
      <c r="U251" s="5" t="s">
        <v>1144</v>
      </c>
      <c r="AA251" s="1400"/>
      <c r="AB251" s="1400"/>
      <c r="AC251" s="1400"/>
      <c r="AD251" s="1400"/>
      <c r="AE251" s="1400"/>
      <c r="AF251" s="1400"/>
      <c r="AG251" s="1400"/>
      <c r="AH251" s="1400"/>
      <c r="AI251" s="1400"/>
      <c r="AJ251" s="1400"/>
      <c r="AK251" s="140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96" t="s">
        <v>2345</v>
      </c>
      <c r="N253" s="1396"/>
      <c r="O253" s="1396"/>
      <c r="P253" s="1396"/>
      <c r="Q253" s="1396"/>
      <c r="R253" s="1396"/>
      <c r="S253" s="1396"/>
      <c r="T253" s="1396"/>
      <c r="U253" s="1396"/>
      <c r="V253" s="1396"/>
      <c r="W253" s="1396"/>
      <c r="X253" s="1396"/>
      <c r="Y253" s="1396"/>
      <c r="Z253" s="1396"/>
      <c r="AA253" s="1396"/>
      <c r="AB253" s="1396"/>
      <c r="AC253" s="1396"/>
      <c r="AD253" s="1396"/>
      <c r="AE253" s="1396"/>
      <c r="AF253" s="1468" t="s">
        <v>2346</v>
      </c>
      <c r="AG253" s="1468"/>
      <c r="AH253" s="1468"/>
      <c r="AI253" s="1468"/>
      <c r="AJ253" s="1468"/>
      <c r="AK253" s="1468"/>
      <c r="AM253" s="5"/>
    </row>
    <row r="254" spans="1:67" ht="12.9" customHeight="1">
      <c r="A254" s="28"/>
      <c r="B254" s="5"/>
      <c r="C254" s="5"/>
      <c r="D254" s="5" t="s">
        <v>372</v>
      </c>
      <c r="E254" s="5"/>
      <c r="F254" s="5"/>
      <c r="G254" s="5"/>
      <c r="H254" s="5"/>
      <c r="I254" s="5"/>
      <c r="J254" s="5"/>
      <c r="K254" s="5"/>
      <c r="L254" s="5"/>
      <c r="M254" s="1389" t="s">
        <v>2347</v>
      </c>
      <c r="N254" s="1389"/>
      <c r="O254" s="1389"/>
      <c r="P254" s="1389"/>
      <c r="Q254" s="1389"/>
      <c r="R254" s="1389"/>
      <c r="S254" s="1389"/>
      <c r="T254" s="1389"/>
      <c r="U254" s="1389"/>
      <c r="V254" s="1389"/>
      <c r="W254" s="1389"/>
      <c r="X254" s="1389"/>
      <c r="Y254" s="1389"/>
      <c r="Z254" s="1389"/>
      <c r="AA254" s="1389"/>
      <c r="AB254" s="1389"/>
      <c r="AC254" s="1389"/>
      <c r="AD254" s="1389"/>
      <c r="AE254" s="1389"/>
      <c r="AL254" s="5"/>
    </row>
    <row r="255" spans="1:67" ht="12.9" customHeight="1">
      <c r="A255" s="28"/>
      <c r="B255" s="5"/>
      <c r="C255" s="5"/>
      <c r="D255" s="5" t="s">
        <v>430</v>
      </c>
      <c r="E255" s="5"/>
      <c r="M255" s="1103" t="s">
        <v>2348</v>
      </c>
      <c r="N255" s="1389"/>
      <c r="O255" s="1389"/>
      <c r="P255" s="1389"/>
      <c r="Q255" s="1389"/>
      <c r="R255" s="1389"/>
      <c r="S255" s="1389"/>
      <c r="T255" s="1389"/>
      <c r="V255" s="42" t="s">
        <v>373</v>
      </c>
      <c r="W255" s="1471" t="s">
        <v>2339</v>
      </c>
      <c r="X255" s="1259"/>
      <c r="Y255" s="5" t="s">
        <v>433</v>
      </c>
      <c r="AC255" s="1389">
        <v>96001</v>
      </c>
      <c r="AD255" s="1389"/>
      <c r="AE255" s="1389"/>
    </row>
    <row r="256" spans="1:67" ht="12.9" customHeight="1">
      <c r="A256" s="28"/>
      <c r="B256" s="5"/>
      <c r="C256" s="5"/>
      <c r="D256" s="5" t="s">
        <v>374</v>
      </c>
      <c r="E256" s="5"/>
      <c r="F256" s="5"/>
      <c r="G256" s="5"/>
      <c r="H256" s="5"/>
      <c r="I256" s="5"/>
      <c r="J256" s="5"/>
      <c r="K256" s="5"/>
      <c r="L256" s="28"/>
      <c r="M256" s="1103" t="s">
        <v>2349</v>
      </c>
      <c r="N256" s="1389"/>
      <c r="O256" s="1389"/>
      <c r="P256" s="1389"/>
      <c r="Q256" s="1389"/>
      <c r="R256" s="1389"/>
      <c r="S256" s="1389"/>
      <c r="T256" s="1389"/>
      <c r="U256" s="1389"/>
      <c r="V256" s="1389"/>
      <c r="W256" s="1389"/>
      <c r="X256" s="1389"/>
      <c r="Y256" s="1389"/>
      <c r="Z256" s="1389"/>
      <c r="AA256" s="1389"/>
      <c r="AB256" s="1389"/>
      <c r="AC256" s="1389"/>
      <c r="AD256" s="1389"/>
      <c r="AE256" s="1389"/>
      <c r="AJ256" s="5"/>
      <c r="AK256" s="5"/>
      <c r="AL256" s="5"/>
    </row>
    <row r="257" spans="1:53" ht="12.9" customHeight="1">
      <c r="A257" s="28"/>
      <c r="B257" s="5"/>
      <c r="C257" s="5"/>
      <c r="D257" s="5" t="s">
        <v>375</v>
      </c>
      <c r="E257" s="5"/>
      <c r="F257" s="5"/>
      <c r="M257" s="1473" t="s">
        <v>2350</v>
      </c>
      <c r="N257" s="1264"/>
      <c r="O257" s="1264"/>
      <c r="P257" s="1264"/>
      <c r="Q257" s="1264"/>
      <c r="R257" s="1264"/>
      <c r="S257" s="5" t="s">
        <v>818</v>
      </c>
      <c r="T257" s="5"/>
      <c r="U257" s="1259"/>
      <c r="V257" s="1259"/>
      <c r="W257" s="1259"/>
      <c r="X257" s="5" t="s">
        <v>376</v>
      </c>
      <c r="Z257" s="1264" t="s">
        <v>2352</v>
      </c>
      <c r="AA257" s="1264"/>
      <c r="AB257" s="1264"/>
      <c r="AC257" s="1264"/>
      <c r="AD257" s="1264"/>
      <c r="AE257" s="1264"/>
      <c r="BA257" s="43"/>
    </row>
    <row r="258" spans="1:53" ht="12.9" customHeight="1">
      <c r="A258" s="28"/>
      <c r="B258" s="5"/>
      <c r="C258" s="5"/>
      <c r="D258" s="5" t="s">
        <v>377</v>
      </c>
      <c r="E258" s="5"/>
      <c r="F258" s="5"/>
      <c r="M258" s="1469" t="s">
        <v>2351</v>
      </c>
      <c r="N258" s="1469"/>
      <c r="O258" s="1469"/>
      <c r="P258" s="1469"/>
      <c r="Q258" s="1469"/>
      <c r="R258" s="1469"/>
      <c r="S258" s="1469"/>
      <c r="T258" s="1469"/>
      <c r="U258" s="1469"/>
      <c r="V258" s="1469"/>
      <c r="W258" s="1469"/>
      <c r="X258" s="1469"/>
      <c r="Y258" s="1469"/>
      <c r="Z258" s="1469"/>
      <c r="AA258" s="1469"/>
      <c r="AB258" s="1469"/>
      <c r="AC258" s="1469"/>
      <c r="AD258" s="1469"/>
      <c r="AE258" s="1469"/>
      <c r="AG258" s="5"/>
      <c r="AH258" s="5"/>
      <c r="AI258" s="5"/>
      <c r="AJ258" s="5"/>
      <c r="AK258" s="5"/>
      <c r="AL258" s="5"/>
    </row>
    <row r="259" spans="1:53" ht="12.9" customHeight="1">
      <c r="A259" s="18"/>
      <c r="B259" s="5"/>
      <c r="C259" s="62"/>
      <c r="D259" s="5" t="s">
        <v>635</v>
      </c>
      <c r="E259" s="5"/>
      <c r="F259" s="5"/>
      <c r="G259" s="5"/>
      <c r="H259" s="5"/>
      <c r="I259" s="5"/>
      <c r="J259" s="5"/>
      <c r="K259" s="5"/>
      <c r="L259" s="5"/>
      <c r="M259" s="1258" t="s">
        <v>634</v>
      </c>
      <c r="N259" s="1258"/>
      <c r="O259" s="1258"/>
      <c r="P259" s="1258"/>
      <c r="Q259" s="1258"/>
      <c r="R259" s="1258"/>
      <c r="S259" s="1258"/>
      <c r="T259" s="1258"/>
      <c r="U259" s="5" t="s">
        <v>1144</v>
      </c>
      <c r="AA259" s="1400"/>
      <c r="AB259" s="1400"/>
      <c r="AC259" s="1400"/>
      <c r="AD259" s="1400"/>
      <c r="AE259" s="1400"/>
      <c r="AF259" s="1400"/>
      <c r="AG259" s="1400"/>
      <c r="AH259" s="1400"/>
      <c r="AI259" s="1400"/>
      <c r="AJ259" s="1400"/>
      <c r="AK259" s="140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468" t="s">
        <v>2353</v>
      </c>
      <c r="N261" s="1468"/>
      <c r="O261" s="1468"/>
      <c r="P261" s="1468"/>
      <c r="Q261" s="1468"/>
      <c r="R261" s="1468"/>
      <c r="S261" s="1468"/>
      <c r="T261" s="1468"/>
      <c r="U261" s="1468"/>
      <c r="V261" s="1468"/>
      <c r="W261" s="1468"/>
      <c r="X261" s="1468"/>
      <c r="Y261" s="1468"/>
      <c r="Z261" s="1468"/>
      <c r="AA261" s="1468"/>
      <c r="AB261" s="1468"/>
      <c r="AC261" s="1468"/>
      <c r="AD261" s="1468"/>
      <c r="AE261" s="1468"/>
      <c r="AF261" s="1468" t="s">
        <v>2344</v>
      </c>
      <c r="AG261" s="1468"/>
      <c r="AH261" s="1468"/>
      <c r="AI261" s="1468"/>
      <c r="AJ261" s="1468"/>
      <c r="AK261" s="1468"/>
      <c r="AL261" s="41"/>
    </row>
    <row r="262" spans="1:53" ht="12.9" customHeight="1">
      <c r="A262" s="18"/>
      <c r="B262" s="5"/>
      <c r="C262" s="5"/>
      <c r="D262" s="5" t="s">
        <v>372</v>
      </c>
      <c r="E262" s="5"/>
      <c r="F262" s="5"/>
      <c r="G262" s="5"/>
      <c r="H262" s="5"/>
      <c r="I262" s="5"/>
      <c r="J262" s="5"/>
      <c r="K262" s="5"/>
      <c r="L262" s="5"/>
      <c r="M262" s="1389" t="s">
        <v>2338</v>
      </c>
      <c r="N262" s="1389"/>
      <c r="O262" s="1389"/>
      <c r="P262" s="1389"/>
      <c r="Q262" s="1389"/>
      <c r="R262" s="1389"/>
      <c r="S262" s="1389"/>
      <c r="T262" s="1389"/>
      <c r="U262" s="1389"/>
      <c r="V262" s="1389"/>
      <c r="W262" s="1389"/>
      <c r="X262" s="1389"/>
      <c r="Y262" s="1389"/>
      <c r="Z262" s="1389"/>
      <c r="AA262" s="1389"/>
      <c r="AB262" s="1389"/>
      <c r="AC262" s="1389"/>
      <c r="AD262" s="1389"/>
      <c r="AE262" s="1389"/>
      <c r="AL262" s="41"/>
      <c r="BA262" s="43"/>
    </row>
    <row r="263" spans="1:53" ht="12.9" customHeight="1">
      <c r="A263" s="18"/>
      <c r="B263" s="5"/>
      <c r="C263" s="5"/>
      <c r="D263" s="5" t="s">
        <v>430</v>
      </c>
      <c r="E263" s="5"/>
      <c r="M263" s="1103" t="s">
        <v>2325</v>
      </c>
      <c r="N263" s="1389"/>
      <c r="O263" s="1389"/>
      <c r="P263" s="1389"/>
      <c r="Q263" s="1389"/>
      <c r="R263" s="1389"/>
      <c r="S263" s="1389"/>
      <c r="T263" s="1389"/>
      <c r="V263" s="42" t="s">
        <v>373</v>
      </c>
      <c r="W263" s="1471" t="s">
        <v>2339</v>
      </c>
      <c r="X263" s="1259"/>
      <c r="Y263" s="5" t="s">
        <v>433</v>
      </c>
      <c r="AC263" s="1389">
        <v>95521</v>
      </c>
      <c r="AD263" s="1389"/>
      <c r="AE263" s="1389"/>
      <c r="AL263" s="41"/>
      <c r="BA263" s="43"/>
    </row>
    <row r="264" spans="1:53" ht="12.9" customHeight="1">
      <c r="A264" s="18"/>
      <c r="B264" s="5"/>
      <c r="C264" s="5"/>
      <c r="D264" s="5" t="s">
        <v>374</v>
      </c>
      <c r="E264" s="5"/>
      <c r="F264" s="5"/>
      <c r="G264" s="5"/>
      <c r="H264" s="5"/>
      <c r="I264" s="5"/>
      <c r="J264" s="5"/>
      <c r="K264" s="5"/>
      <c r="L264" s="28"/>
      <c r="M264" s="1103" t="s">
        <v>2340</v>
      </c>
      <c r="N264" s="1389"/>
      <c r="O264" s="1389"/>
      <c r="P264" s="1389"/>
      <c r="Q264" s="1389"/>
      <c r="R264" s="1389"/>
      <c r="S264" s="1389"/>
      <c r="T264" s="1389"/>
      <c r="U264" s="1389"/>
      <c r="V264" s="1389"/>
      <c r="W264" s="1389"/>
      <c r="X264" s="1389"/>
      <c r="Y264" s="1389"/>
      <c r="Z264" s="1389"/>
      <c r="AA264" s="1389"/>
      <c r="AB264" s="1389"/>
      <c r="AC264" s="1389"/>
      <c r="AD264" s="1389"/>
      <c r="AE264" s="1389"/>
      <c r="AJ264" s="5"/>
      <c r="AK264" s="5"/>
      <c r="AL264" s="41"/>
      <c r="BA264" s="43"/>
    </row>
    <row r="265" spans="1:53" ht="12.9" customHeight="1">
      <c r="A265" s="18"/>
      <c r="B265" s="5"/>
      <c r="C265" s="5"/>
      <c r="D265" s="5" t="s">
        <v>375</v>
      </c>
      <c r="E265" s="5"/>
      <c r="F265" s="5"/>
      <c r="M265" s="1473" t="s">
        <v>2341</v>
      </c>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2.9" customHeight="1">
      <c r="A266" s="18"/>
      <c r="B266" s="5"/>
      <c r="C266" s="5"/>
      <c r="D266" s="5" t="s">
        <v>377</v>
      </c>
      <c r="E266" s="5"/>
      <c r="F266" s="5"/>
      <c r="M266" s="1469" t="s">
        <v>2342</v>
      </c>
      <c r="N266" s="1469"/>
      <c r="O266" s="1469"/>
      <c r="P266" s="1469"/>
      <c r="Q266" s="1469"/>
      <c r="R266" s="1469"/>
      <c r="S266" s="1469"/>
      <c r="T266" s="1469"/>
      <c r="U266" s="1469"/>
      <c r="V266" s="1469"/>
      <c r="W266" s="1469"/>
      <c r="X266" s="1469"/>
      <c r="Y266" s="1469"/>
      <c r="Z266" s="1469"/>
      <c r="AA266" s="1469"/>
      <c r="AB266" s="1469"/>
      <c r="AC266" s="1469"/>
      <c r="AD266" s="1469"/>
      <c r="AE266" s="1469"/>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58" t="s">
        <v>636</v>
      </c>
      <c r="N267" s="1258"/>
      <c r="O267" s="1258"/>
      <c r="P267" s="1258"/>
      <c r="Q267" s="1258"/>
      <c r="R267" s="1258"/>
      <c r="S267" s="1258"/>
      <c r="T267" s="1258"/>
      <c r="U267" s="5" t="s">
        <v>1144</v>
      </c>
      <c r="AA267" s="1400"/>
      <c r="AB267" s="1400"/>
      <c r="AC267" s="1400"/>
      <c r="AD267" s="1400"/>
      <c r="AE267" s="1400"/>
      <c r="AF267" s="1400"/>
      <c r="AG267" s="1400"/>
      <c r="AH267" s="1400"/>
      <c r="AI267" s="1400"/>
      <c r="AJ267" s="1400"/>
      <c r="AK267" s="140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77" t="str">
        <f>BO245</f>
        <v>Joint Venture</v>
      </c>
      <c r="U269" s="1577"/>
      <c r="V269" s="1577"/>
      <c r="W269" s="1577"/>
      <c r="X269" s="1577"/>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389" t="s">
        <v>892</v>
      </c>
      <c r="E272" s="1389"/>
      <c r="F272" s="1389"/>
      <c r="G272" s="1389"/>
      <c r="H272" s="1389"/>
      <c r="J272" t="s">
        <v>891</v>
      </c>
      <c r="X272" s="1470">
        <v>44467</v>
      </c>
      <c r="Y272" s="1470"/>
      <c r="Z272" s="1470"/>
      <c r="AA272" s="1470"/>
      <c r="AB272" s="1470"/>
      <c r="AC272" s="147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68" t="s">
        <v>2353</v>
      </c>
      <c r="M276" s="1468"/>
      <c r="N276" s="1468"/>
      <c r="O276" s="1468"/>
      <c r="P276" s="1468"/>
      <c r="Q276" s="1468"/>
      <c r="R276" s="1468"/>
      <c r="S276" s="1468"/>
      <c r="T276" s="1468"/>
      <c r="U276" s="1468"/>
      <c r="V276" s="1468"/>
      <c r="W276" s="1468"/>
      <c r="X276" s="1468"/>
      <c r="Y276" s="1468"/>
      <c r="Z276" s="1468"/>
      <c r="AA276" s="1468"/>
      <c r="AB276" s="1468"/>
      <c r="AC276" s="1468"/>
      <c r="AD276" s="1468"/>
      <c r="AE276" s="1468"/>
      <c r="AF276" s="1468"/>
      <c r="AG276" s="1468"/>
      <c r="AH276" s="1468"/>
      <c r="AI276" s="1468"/>
      <c r="AJ276" s="1468"/>
      <c r="AK276" s="41"/>
      <c r="AL276" s="41"/>
      <c r="BA276" s="43"/>
    </row>
    <row r="277" spans="1:53" ht="12.9" customHeight="1">
      <c r="D277" s="5" t="s">
        <v>372</v>
      </c>
      <c r="E277" s="5"/>
      <c r="F277" s="5"/>
      <c r="G277" s="5"/>
      <c r="H277" s="5"/>
      <c r="I277" s="5"/>
      <c r="J277" s="5"/>
      <c r="K277" s="5"/>
      <c r="L277" s="1103" t="s">
        <v>2338</v>
      </c>
      <c r="M277" s="1389"/>
      <c r="N277" s="1389"/>
      <c r="O277" s="1389"/>
      <c r="P277" s="1389"/>
      <c r="Q277" s="1389"/>
      <c r="R277" s="1389"/>
      <c r="S277" s="1389"/>
      <c r="T277" s="1389"/>
      <c r="U277" s="1389"/>
      <c r="V277" s="1389"/>
      <c r="W277" s="1389"/>
      <c r="X277" s="1389"/>
      <c r="Y277" s="1389"/>
      <c r="Z277" s="1389"/>
      <c r="AA277" s="1389"/>
      <c r="AB277" s="1389"/>
      <c r="AC277" s="1389"/>
      <c r="AD277" s="1389"/>
      <c r="AK277" s="41"/>
      <c r="AL277" s="41"/>
      <c r="BA277" s="43"/>
    </row>
    <row r="278" spans="1:53" ht="12.9" customHeight="1">
      <c r="D278" s="5" t="s">
        <v>430</v>
      </c>
      <c r="E278" s="5"/>
      <c r="L278" s="1103" t="s">
        <v>2325</v>
      </c>
      <c r="M278" s="1389"/>
      <c r="N278" s="1389"/>
      <c r="O278" s="1389"/>
      <c r="P278" s="1389"/>
      <c r="Q278" s="1389"/>
      <c r="R278" s="1389"/>
      <c r="S278" s="1389"/>
      <c r="U278" s="42" t="s">
        <v>373</v>
      </c>
      <c r="V278" s="1471" t="s">
        <v>2339</v>
      </c>
      <c r="W278" s="1259"/>
      <c r="X278" s="5" t="s">
        <v>433</v>
      </c>
      <c r="AB278" s="1389">
        <v>95521</v>
      </c>
      <c r="AC278" s="1389"/>
      <c r="AD278" s="1389"/>
      <c r="AK278" s="41"/>
      <c r="AL278" s="41"/>
      <c r="BA278" s="43"/>
    </row>
    <row r="279" spans="1:53" ht="12.9" customHeight="1">
      <c r="D279" s="5" t="s">
        <v>374</v>
      </c>
      <c r="E279" s="5"/>
      <c r="F279" s="5"/>
      <c r="G279" s="5"/>
      <c r="H279" s="5"/>
      <c r="I279" s="5"/>
      <c r="J279" s="5"/>
      <c r="K279" s="28"/>
      <c r="L279" s="1103" t="s">
        <v>2354</v>
      </c>
      <c r="M279" s="1389"/>
      <c r="N279" s="1389"/>
      <c r="O279" s="1389"/>
      <c r="P279" s="1389"/>
      <c r="Q279" s="1389"/>
      <c r="R279" s="1389"/>
      <c r="S279" s="1389"/>
      <c r="T279" s="1389"/>
      <c r="U279" s="1389"/>
      <c r="V279" s="1389"/>
      <c r="W279" s="1389"/>
      <c r="X279" s="1389"/>
      <c r="Y279" s="1389"/>
      <c r="Z279" s="1389"/>
      <c r="AA279" s="1389"/>
      <c r="AB279" s="1389"/>
      <c r="AC279" s="1389"/>
      <c r="AD279" s="1389"/>
      <c r="AI279" s="5"/>
      <c r="AJ279" s="5"/>
      <c r="AK279" s="41"/>
      <c r="AL279" s="41"/>
      <c r="BA279" s="43"/>
    </row>
    <row r="280" spans="1:53" ht="12.9" customHeight="1">
      <c r="D280" s="5" t="s">
        <v>375</v>
      </c>
      <c r="E280" s="5"/>
      <c r="F280" s="5"/>
      <c r="L280" s="1473" t="s">
        <v>2355</v>
      </c>
      <c r="M280" s="1264"/>
      <c r="N280" s="1264"/>
      <c r="O280" s="1264"/>
      <c r="P280" s="1264"/>
      <c r="Q280" s="1264"/>
      <c r="R280" s="5" t="s">
        <v>818</v>
      </c>
      <c r="S280" s="5"/>
      <c r="T280" s="1259"/>
      <c r="U280" s="1259"/>
      <c r="V280" s="1259"/>
      <c r="W280" s="5" t="s">
        <v>376</v>
      </c>
      <c r="Y280" s="1264"/>
      <c r="Z280" s="1264"/>
      <c r="AA280" s="1264"/>
      <c r="AB280" s="1264"/>
      <c r="AC280" s="1264"/>
      <c r="AD280" s="1264"/>
      <c r="BA280" s="43"/>
    </row>
    <row r="281" spans="1:53" ht="12.9" customHeight="1">
      <c r="D281" s="5" t="s">
        <v>377</v>
      </c>
      <c r="E281" s="5"/>
      <c r="F281" s="5"/>
      <c r="L281" s="1469" t="s">
        <v>2356</v>
      </c>
      <c r="M281" s="1469"/>
      <c r="N281" s="1469"/>
      <c r="O281" s="1469"/>
      <c r="P281" s="1469"/>
      <c r="Q281" s="1469"/>
      <c r="R281" s="1469"/>
      <c r="S281" s="1469"/>
      <c r="T281" s="1469"/>
      <c r="U281" s="1469"/>
      <c r="V281" s="1469"/>
      <c r="W281" s="1469"/>
      <c r="X281" s="1469"/>
      <c r="Y281" s="1469"/>
      <c r="Z281" s="1469"/>
      <c r="AA281" s="1469"/>
      <c r="AB281" s="1469"/>
      <c r="AC281" s="1469"/>
      <c r="AD281" s="1469"/>
      <c r="AF281" s="5"/>
      <c r="AG281" s="5"/>
      <c r="AH281" s="5"/>
      <c r="AI281" s="5"/>
      <c r="AJ281" s="5"/>
      <c r="BA281" s="43"/>
    </row>
    <row r="282" spans="1:53" ht="12.9" customHeight="1">
      <c r="D282" s="41" t="s">
        <v>186</v>
      </c>
      <c r="E282" s="41"/>
      <c r="F282" s="41"/>
      <c r="G282" s="41"/>
      <c r="H282" s="41"/>
      <c r="I282" s="41"/>
      <c r="L282" s="1471" t="s">
        <v>2357</v>
      </c>
      <c r="M282" s="1471"/>
      <c r="N282" s="1471"/>
      <c r="O282" s="1471"/>
      <c r="P282" s="1471"/>
      <c r="Q282" s="1471"/>
      <c r="R282" s="1471"/>
      <c r="S282" s="1471"/>
      <c r="T282" s="1471"/>
      <c r="U282" s="1471"/>
      <c r="V282" s="1471"/>
      <c r="W282" s="1471"/>
      <c r="X282" s="1471"/>
      <c r="Y282" s="1471"/>
      <c r="Z282" s="1471"/>
      <c r="AA282" s="1471"/>
      <c r="AB282" s="1471"/>
      <c r="AC282" s="1471"/>
      <c r="AD282" s="1471"/>
      <c r="AK282" s="41"/>
      <c r="AL282" s="41"/>
      <c r="BA282" s="43"/>
    </row>
    <row r="283" spans="1:53" ht="12.9" customHeight="1">
      <c r="L283" s="4" t="s">
        <v>187</v>
      </c>
      <c r="BA283" s="43"/>
    </row>
    <row r="284" spans="1:53" ht="12.9"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7" t="s">
        <v>2353</v>
      </c>
      <c r="I289" s="1107"/>
      <c r="J289" s="1107"/>
      <c r="K289" s="1107"/>
      <c r="L289" s="1107"/>
      <c r="M289" s="1107"/>
      <c r="N289" s="1107"/>
      <c r="O289" s="1107"/>
      <c r="P289" s="1107"/>
      <c r="Q289" s="1107"/>
      <c r="R289" s="1107"/>
      <c r="T289" s="41" t="s">
        <v>745</v>
      </c>
      <c r="V289" s="41"/>
      <c r="W289" s="41"/>
      <c r="X289" s="41"/>
      <c r="Y289" s="41"/>
      <c r="AA289" s="1107" t="s">
        <v>2361</v>
      </c>
      <c r="AB289" s="1107"/>
      <c r="AC289" s="1107"/>
      <c r="AD289" s="1107"/>
      <c r="AE289" s="1107"/>
      <c r="AF289" s="1107"/>
      <c r="AG289" s="1107"/>
      <c r="AH289" s="1107"/>
      <c r="AI289" s="1107"/>
      <c r="AJ289" s="1107"/>
      <c r="AK289" s="1107"/>
      <c r="BA289" s="43"/>
    </row>
    <row r="290" spans="2:53" ht="12.9" customHeight="1">
      <c r="B290" s="41" t="s">
        <v>699</v>
      </c>
      <c r="C290" s="41"/>
      <c r="D290" s="41"/>
      <c r="E290" s="41"/>
      <c r="F290" s="41"/>
      <c r="H290" s="1258" t="s">
        <v>2338</v>
      </c>
      <c r="I290" s="1258"/>
      <c r="J290" s="1258"/>
      <c r="K290" s="1258"/>
      <c r="L290" s="1258"/>
      <c r="M290" s="1258"/>
      <c r="N290" s="1258"/>
      <c r="O290" s="1258"/>
      <c r="P290" s="1258"/>
      <c r="Q290" s="1258"/>
      <c r="R290" s="1258"/>
      <c r="T290" s="41" t="s">
        <v>699</v>
      </c>
      <c r="V290" s="41"/>
      <c r="W290" s="41"/>
      <c r="X290" s="41"/>
      <c r="Y290" s="41"/>
      <c r="AA290" s="1258" t="s">
        <v>2362</v>
      </c>
      <c r="AB290" s="1258"/>
      <c r="AC290" s="1258"/>
      <c r="AD290" s="1258"/>
      <c r="AE290" s="1258"/>
      <c r="AF290" s="1258"/>
      <c r="AG290" s="1258"/>
      <c r="AH290" s="1258"/>
      <c r="AI290" s="1258"/>
      <c r="AJ290" s="1258"/>
      <c r="AK290" s="1258"/>
      <c r="BA290" s="43"/>
    </row>
    <row r="291" spans="2:53" ht="12.9" customHeight="1">
      <c r="B291" s="41" t="s">
        <v>701</v>
      </c>
      <c r="C291" s="41"/>
      <c r="D291" s="41"/>
      <c r="E291" s="41"/>
      <c r="F291" s="41"/>
      <c r="H291" s="1258" t="s">
        <v>2358</v>
      </c>
      <c r="I291" s="1258"/>
      <c r="J291" s="1258"/>
      <c r="K291" s="1258"/>
      <c r="L291" s="1258"/>
      <c r="M291" s="1258"/>
      <c r="N291" s="1258"/>
      <c r="O291" s="1258"/>
      <c r="P291" s="1258"/>
      <c r="Q291" s="1258"/>
      <c r="R291" s="1258"/>
      <c r="T291" s="41" t="s">
        <v>700</v>
      </c>
      <c r="V291" s="41"/>
      <c r="W291" s="41"/>
      <c r="X291" s="41"/>
      <c r="Y291" s="41"/>
      <c r="AA291" s="1258" t="s">
        <v>2363</v>
      </c>
      <c r="AB291" s="1258"/>
      <c r="AC291" s="1258"/>
      <c r="AD291" s="1258"/>
      <c r="AE291" s="1258"/>
      <c r="AF291" s="1258"/>
      <c r="AG291" s="1258"/>
      <c r="AH291" s="1258"/>
      <c r="AI291" s="1258"/>
      <c r="AJ291" s="1258"/>
      <c r="AK291" s="1258"/>
      <c r="BA291" s="43"/>
    </row>
    <row r="292" spans="2:53" ht="12.9" customHeight="1">
      <c r="B292" s="41" t="s">
        <v>374</v>
      </c>
      <c r="C292" s="41"/>
      <c r="D292" s="41"/>
      <c r="E292" s="41"/>
      <c r="F292" s="41"/>
      <c r="H292" s="1258" t="s">
        <v>2340</v>
      </c>
      <c r="I292" s="1258"/>
      <c r="J292" s="1258"/>
      <c r="K292" s="1258"/>
      <c r="L292" s="1258"/>
      <c r="M292" s="1258"/>
      <c r="N292" s="1258"/>
      <c r="O292" s="1258"/>
      <c r="P292" s="1258"/>
      <c r="Q292" s="1258"/>
      <c r="R292" s="1258"/>
      <c r="T292" s="41" t="s">
        <v>374</v>
      </c>
      <c r="V292" s="41"/>
      <c r="W292" s="41"/>
      <c r="X292" s="41"/>
      <c r="Y292" s="41"/>
      <c r="AA292" s="1258"/>
      <c r="AB292" s="1258"/>
      <c r="AC292" s="1258"/>
      <c r="AD292" s="1258"/>
      <c r="AE292" s="1258"/>
      <c r="AF292" s="1258"/>
      <c r="AG292" s="1258"/>
      <c r="AH292" s="1258"/>
      <c r="AI292" s="1258"/>
      <c r="AJ292" s="1258"/>
      <c r="AK292" s="1258"/>
      <c r="BA292" s="43"/>
    </row>
    <row r="293" spans="2:53" ht="12.9" customHeight="1">
      <c r="B293" s="41" t="s">
        <v>375</v>
      </c>
      <c r="C293" s="41"/>
      <c r="D293" s="41"/>
      <c r="E293" s="41"/>
      <c r="F293" s="41"/>
      <c r="G293" s="41"/>
      <c r="H293" s="1400" t="s">
        <v>2359</v>
      </c>
      <c r="I293" s="1400"/>
      <c r="J293" s="1400"/>
      <c r="K293" s="1400"/>
      <c r="L293" s="1400"/>
      <c r="M293" s="1400"/>
      <c r="N293" s="5" t="s">
        <v>818</v>
      </c>
      <c r="O293" s="5"/>
      <c r="P293" s="1389"/>
      <c r="Q293" s="1389"/>
      <c r="R293" s="1389"/>
      <c r="S293" s="41"/>
      <c r="T293" s="41" t="s">
        <v>375</v>
      </c>
      <c r="V293" s="41"/>
      <c r="W293" s="41"/>
      <c r="X293" s="41"/>
      <c r="Y293" s="41"/>
      <c r="AA293" s="1400" t="s">
        <v>2364</v>
      </c>
      <c r="AB293" s="1400"/>
      <c r="AC293" s="1400"/>
      <c r="AD293" s="1400"/>
      <c r="AE293" s="1400"/>
      <c r="AF293" s="1400"/>
      <c r="AG293" s="5" t="s">
        <v>818</v>
      </c>
      <c r="AH293" s="5"/>
      <c r="AI293" s="1389"/>
      <c r="AJ293" s="1389"/>
      <c r="AK293" s="1389"/>
      <c r="BA293" s="43"/>
    </row>
    <row r="294" spans="2:53" ht="12.9" customHeight="1">
      <c r="B294" s="41" t="s">
        <v>376</v>
      </c>
      <c r="C294" s="41"/>
      <c r="D294" s="41"/>
      <c r="E294" s="41"/>
      <c r="F294" s="41"/>
      <c r="G294" s="41"/>
      <c r="H294" s="1264" t="s">
        <v>2360</v>
      </c>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2.9" customHeight="1">
      <c r="B295" s="41" t="s">
        <v>702</v>
      </c>
      <c r="C295" s="41"/>
      <c r="D295" s="41"/>
      <c r="E295" s="41"/>
      <c r="F295" s="41"/>
      <c r="G295" s="41"/>
      <c r="H295" s="1258" t="s">
        <v>2342</v>
      </c>
      <c r="I295" s="1258"/>
      <c r="J295" s="1258"/>
      <c r="K295" s="1258"/>
      <c r="L295" s="1258"/>
      <c r="M295" s="1258"/>
      <c r="N295" s="1107"/>
      <c r="O295" s="1107"/>
      <c r="P295" s="1107"/>
      <c r="Q295" s="1107"/>
      <c r="R295" s="1107"/>
      <c r="S295" s="41"/>
      <c r="T295" s="41" t="s">
        <v>702</v>
      </c>
      <c r="V295" s="41"/>
      <c r="W295" s="41"/>
      <c r="X295" s="41"/>
      <c r="Y295" s="41"/>
      <c r="AA295" s="1258"/>
      <c r="AB295" s="1258"/>
      <c r="AC295" s="1258"/>
      <c r="AD295" s="1258"/>
      <c r="AE295" s="1258"/>
      <c r="AF295" s="1258"/>
      <c r="AG295" s="1107"/>
      <c r="AH295" s="1107"/>
      <c r="AI295" s="1107"/>
      <c r="AJ295" s="1107"/>
      <c r="AK295" s="110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7" t="s">
        <v>2365</v>
      </c>
      <c r="I297" s="1107"/>
      <c r="J297" s="1107"/>
      <c r="K297" s="1107"/>
      <c r="L297" s="1107"/>
      <c r="M297" s="1107"/>
      <c r="N297" s="1107"/>
      <c r="O297" s="1107"/>
      <c r="P297" s="1107"/>
      <c r="Q297" s="1107"/>
      <c r="R297" s="1107"/>
      <c r="T297" s="41" t="s">
        <v>35</v>
      </c>
      <c r="V297" s="41"/>
      <c r="W297" s="41"/>
      <c r="X297" s="41"/>
      <c r="Y297" s="41"/>
      <c r="AA297" s="1107" t="s">
        <v>2371</v>
      </c>
      <c r="AB297" s="1107"/>
      <c r="AC297" s="1107"/>
      <c r="AD297" s="1107"/>
      <c r="AE297" s="1107"/>
      <c r="AF297" s="1107"/>
      <c r="AG297" s="1107"/>
      <c r="AH297" s="1107"/>
      <c r="AI297" s="1107"/>
      <c r="AJ297" s="1107"/>
      <c r="AK297" s="1107"/>
      <c r="BA297" s="43"/>
    </row>
    <row r="298" spans="2:53" ht="12.9" customHeight="1">
      <c r="B298" s="41" t="s">
        <v>699</v>
      </c>
      <c r="C298" s="41"/>
      <c r="D298" s="41"/>
      <c r="E298" s="41"/>
      <c r="F298" s="41"/>
      <c r="H298" s="1258" t="s">
        <v>2366</v>
      </c>
      <c r="I298" s="1258"/>
      <c r="J298" s="1258"/>
      <c r="K298" s="1258"/>
      <c r="L298" s="1258"/>
      <c r="M298" s="1258"/>
      <c r="N298" s="1258"/>
      <c r="O298" s="1258"/>
      <c r="P298" s="1258"/>
      <c r="Q298" s="1258"/>
      <c r="R298" s="1258"/>
      <c r="T298" s="41" t="s">
        <v>699</v>
      </c>
      <c r="V298" s="41"/>
      <c r="W298" s="41"/>
      <c r="X298" s="41"/>
      <c r="Y298" s="41"/>
      <c r="AA298" s="1258" t="s">
        <v>2372</v>
      </c>
      <c r="AB298" s="1258"/>
      <c r="AC298" s="1258"/>
      <c r="AD298" s="1258"/>
      <c r="AE298" s="1258"/>
      <c r="AF298" s="1258"/>
      <c r="AG298" s="1258"/>
      <c r="AH298" s="1258"/>
      <c r="AI298" s="1258"/>
      <c r="AJ298" s="1258"/>
      <c r="AK298" s="1258"/>
      <c r="BA298" s="43"/>
    </row>
    <row r="299" spans="2:53" ht="12.9" customHeight="1">
      <c r="B299" s="41" t="s">
        <v>701</v>
      </c>
      <c r="C299" s="41"/>
      <c r="D299" s="41"/>
      <c r="E299" s="41"/>
      <c r="F299" s="41"/>
      <c r="H299" s="1258" t="s">
        <v>2367</v>
      </c>
      <c r="I299" s="1258"/>
      <c r="J299" s="1258"/>
      <c r="K299" s="1258"/>
      <c r="L299" s="1258"/>
      <c r="M299" s="1258"/>
      <c r="N299" s="1258"/>
      <c r="O299" s="1258"/>
      <c r="P299" s="1258"/>
      <c r="Q299" s="1258"/>
      <c r="R299" s="1258"/>
      <c r="T299" s="41" t="s">
        <v>700</v>
      </c>
      <c r="V299" s="41"/>
      <c r="W299" s="41"/>
      <c r="X299" s="41"/>
      <c r="Y299" s="41"/>
      <c r="AA299" s="1258" t="s">
        <v>2373</v>
      </c>
      <c r="AB299" s="1258"/>
      <c r="AC299" s="1258"/>
      <c r="AD299" s="1258"/>
      <c r="AE299" s="1258"/>
      <c r="AF299" s="1258"/>
      <c r="AG299" s="1258"/>
      <c r="AH299" s="1258"/>
      <c r="AI299" s="1258"/>
      <c r="AJ299" s="1258"/>
      <c r="AK299" s="1258"/>
      <c r="BA299" s="43"/>
    </row>
    <row r="300" spans="2:53" ht="12.9" customHeight="1">
      <c r="B300" s="41" t="s">
        <v>374</v>
      </c>
      <c r="C300" s="41"/>
      <c r="D300" s="41"/>
      <c r="E300" s="41"/>
      <c r="F300" s="41"/>
      <c r="H300" s="1258" t="s">
        <v>2368</v>
      </c>
      <c r="I300" s="1258"/>
      <c r="J300" s="1258"/>
      <c r="K300" s="1258"/>
      <c r="L300" s="1258"/>
      <c r="M300" s="1258"/>
      <c r="N300" s="1258"/>
      <c r="O300" s="1258"/>
      <c r="P300" s="1258"/>
      <c r="Q300" s="1258"/>
      <c r="R300" s="1258"/>
      <c r="T300" s="41" t="s">
        <v>374</v>
      </c>
      <c r="V300" s="41"/>
      <c r="W300" s="41"/>
      <c r="X300" s="41"/>
      <c r="Y300" s="41"/>
      <c r="AA300" s="1258" t="s">
        <v>2340</v>
      </c>
      <c r="AB300" s="1258"/>
      <c r="AC300" s="1258"/>
      <c r="AD300" s="1258"/>
      <c r="AE300" s="1258"/>
      <c r="AF300" s="1258"/>
      <c r="AG300" s="1258"/>
      <c r="AH300" s="1258"/>
      <c r="AI300" s="1258"/>
      <c r="AJ300" s="1258"/>
      <c r="AK300" s="1258"/>
      <c r="BA300" s="43"/>
    </row>
    <row r="301" spans="2:53" ht="12.9" customHeight="1">
      <c r="B301" s="41" t="s">
        <v>375</v>
      </c>
      <c r="C301" s="41"/>
      <c r="D301" s="41"/>
      <c r="E301" s="41"/>
      <c r="F301" s="41"/>
      <c r="G301" s="41"/>
      <c r="H301" s="1400" t="s">
        <v>2369</v>
      </c>
      <c r="I301" s="1400"/>
      <c r="J301" s="1400"/>
      <c r="K301" s="1400"/>
      <c r="L301" s="1400"/>
      <c r="M301" s="1400"/>
      <c r="N301" s="5" t="s">
        <v>818</v>
      </c>
      <c r="O301" s="5"/>
      <c r="P301" s="1389"/>
      <c r="Q301" s="1389"/>
      <c r="R301" s="1389"/>
      <c r="S301" s="41"/>
      <c r="T301" s="41" t="s">
        <v>375</v>
      </c>
      <c r="V301" s="41"/>
      <c r="W301" s="41"/>
      <c r="X301" s="41"/>
      <c r="Y301" s="41"/>
      <c r="AA301" s="1400" t="s">
        <v>2374</v>
      </c>
      <c r="AB301" s="1400"/>
      <c r="AC301" s="1400"/>
      <c r="AD301" s="1400"/>
      <c r="AE301" s="1400"/>
      <c r="AF301" s="1400"/>
      <c r="AG301" s="5" t="s">
        <v>818</v>
      </c>
      <c r="AH301" s="5"/>
      <c r="AI301" s="1389"/>
      <c r="AJ301" s="1389"/>
      <c r="AK301" s="1389"/>
      <c r="BA301" s="43"/>
    </row>
    <row r="302" spans="2:53" ht="12.9" customHeight="1">
      <c r="B302" s="41" t="s">
        <v>376</v>
      </c>
      <c r="C302" s="41"/>
      <c r="D302" s="41"/>
      <c r="E302" s="41"/>
      <c r="F302" s="41"/>
      <c r="G302" s="41"/>
      <c r="H302" s="1264"/>
      <c r="I302" s="1264"/>
      <c r="J302" s="1264"/>
      <c r="K302" s="1264"/>
      <c r="L302" s="1264"/>
      <c r="M302" s="1264"/>
      <c r="N302" s="5"/>
      <c r="O302" s="5"/>
      <c r="P302" s="44"/>
      <c r="Q302" s="44"/>
      <c r="R302" s="44"/>
      <c r="S302" s="41"/>
      <c r="T302" s="41" t="s">
        <v>376</v>
      </c>
      <c r="V302" s="41"/>
      <c r="W302" s="41"/>
      <c r="X302" s="41"/>
      <c r="Y302" s="41"/>
      <c r="AA302" s="1264" t="s">
        <v>2375</v>
      </c>
      <c r="AB302" s="1264"/>
      <c r="AC302" s="1264"/>
      <c r="AD302" s="1264"/>
      <c r="AE302" s="1264"/>
      <c r="AF302" s="1264"/>
      <c r="AG302" s="5"/>
      <c r="AH302" s="5"/>
      <c r="AI302" s="44"/>
      <c r="AJ302" s="44"/>
      <c r="AK302" s="44"/>
      <c r="BA302" s="43"/>
    </row>
    <row r="303" spans="2:53" ht="12.9" customHeight="1">
      <c r="B303" s="41" t="s">
        <v>702</v>
      </c>
      <c r="C303" s="41"/>
      <c r="D303" s="41"/>
      <c r="E303" s="41"/>
      <c r="F303" s="41"/>
      <c r="G303" s="41"/>
      <c r="H303" s="1258" t="s">
        <v>2370</v>
      </c>
      <c r="I303" s="1258"/>
      <c r="J303" s="1258"/>
      <c r="K303" s="1258"/>
      <c r="L303" s="1258"/>
      <c r="M303" s="1258"/>
      <c r="N303" s="1107"/>
      <c r="O303" s="1107"/>
      <c r="P303" s="1107"/>
      <c r="Q303" s="1107"/>
      <c r="R303" s="1107"/>
      <c r="S303" s="41"/>
      <c r="T303" s="41" t="s">
        <v>702</v>
      </c>
      <c r="V303" s="41"/>
      <c r="W303" s="41"/>
      <c r="X303" s="41"/>
      <c r="Y303" s="41"/>
      <c r="AA303" s="1258" t="s">
        <v>2342</v>
      </c>
      <c r="AB303" s="1258"/>
      <c r="AC303" s="1258"/>
      <c r="AD303" s="1258"/>
      <c r="AE303" s="1258"/>
      <c r="AF303" s="1258"/>
      <c r="AG303" s="1107"/>
      <c r="AH303" s="1107"/>
      <c r="AI303" s="1107"/>
      <c r="AJ303" s="1107"/>
      <c r="AK303" s="1107"/>
      <c r="BA303" s="43"/>
    </row>
    <row r="304" spans="2:53" ht="12.9" customHeight="1">
      <c r="BA304" s="43"/>
    </row>
    <row r="305" spans="2:53" ht="12.9" customHeight="1">
      <c r="B305" s="41" t="s">
        <v>703</v>
      </c>
      <c r="C305" s="41"/>
      <c r="D305" s="41"/>
      <c r="E305" s="41"/>
      <c r="F305" s="41"/>
      <c r="H305" s="1107" t="s">
        <v>2376</v>
      </c>
      <c r="I305" s="1107"/>
      <c r="J305" s="1107"/>
      <c r="K305" s="1107"/>
      <c r="L305" s="1107"/>
      <c r="M305" s="1107"/>
      <c r="N305" s="1107"/>
      <c r="O305" s="1107"/>
      <c r="P305" s="1107"/>
      <c r="Q305" s="1107"/>
      <c r="R305" s="1107"/>
      <c r="T305" s="5" t="s">
        <v>1105</v>
      </c>
      <c r="V305" s="41"/>
      <c r="W305" s="41"/>
      <c r="X305" s="41"/>
      <c r="Y305" s="41"/>
      <c r="AA305" s="1107" t="s">
        <v>2382</v>
      </c>
      <c r="AB305" s="1107"/>
      <c r="AC305" s="1107"/>
      <c r="AD305" s="1107"/>
      <c r="AE305" s="1107"/>
      <c r="AF305" s="1107"/>
      <c r="AG305" s="1107"/>
      <c r="AH305" s="1107"/>
      <c r="AI305" s="1107"/>
      <c r="AJ305" s="1107"/>
      <c r="AK305" s="1107"/>
      <c r="BA305" s="43"/>
    </row>
    <row r="306" spans="2:53" ht="12.9" customHeight="1">
      <c r="B306" s="41" t="s">
        <v>699</v>
      </c>
      <c r="C306" s="41"/>
      <c r="D306" s="41"/>
      <c r="E306" s="41"/>
      <c r="F306" s="41"/>
      <c r="H306" s="1258" t="s">
        <v>2377</v>
      </c>
      <c r="I306" s="1258"/>
      <c r="J306" s="1258"/>
      <c r="K306" s="1258"/>
      <c r="L306" s="1258"/>
      <c r="M306" s="1258"/>
      <c r="N306" s="1258"/>
      <c r="O306" s="1258"/>
      <c r="P306" s="1258"/>
      <c r="Q306" s="1258"/>
      <c r="R306" s="1258"/>
      <c r="T306" s="41" t="s">
        <v>699</v>
      </c>
      <c r="V306" s="41"/>
      <c r="W306" s="41"/>
      <c r="X306" s="41"/>
      <c r="Y306" s="41"/>
      <c r="AA306" s="1258" t="s">
        <v>2383</v>
      </c>
      <c r="AB306" s="1258"/>
      <c r="AC306" s="1258"/>
      <c r="AD306" s="1258"/>
      <c r="AE306" s="1258"/>
      <c r="AF306" s="1258"/>
      <c r="AG306" s="1258"/>
      <c r="AH306" s="1258"/>
      <c r="AI306" s="1258"/>
      <c r="AJ306" s="1258"/>
      <c r="AK306" s="1258"/>
      <c r="BA306" s="43"/>
    </row>
    <row r="307" spans="2:53" ht="12.9" customHeight="1">
      <c r="B307" s="41" t="s">
        <v>701</v>
      </c>
      <c r="C307" s="41"/>
      <c r="D307" s="41"/>
      <c r="E307" s="41"/>
      <c r="F307" s="41"/>
      <c r="H307" s="1258" t="s">
        <v>2378</v>
      </c>
      <c r="I307" s="1258"/>
      <c r="J307" s="1258"/>
      <c r="K307" s="1258"/>
      <c r="L307" s="1258"/>
      <c r="M307" s="1258"/>
      <c r="N307" s="1258"/>
      <c r="O307" s="1258"/>
      <c r="P307" s="1258"/>
      <c r="Q307" s="1258"/>
      <c r="R307" s="1258"/>
      <c r="T307" s="41" t="s">
        <v>700</v>
      </c>
      <c r="V307" s="41"/>
      <c r="W307" s="41"/>
      <c r="X307" s="41"/>
      <c r="Y307" s="41"/>
      <c r="AA307" s="1258" t="s">
        <v>2373</v>
      </c>
      <c r="AB307" s="1258"/>
      <c r="AC307" s="1258"/>
      <c r="AD307" s="1258"/>
      <c r="AE307" s="1258"/>
      <c r="AF307" s="1258"/>
      <c r="AG307" s="1258"/>
      <c r="AH307" s="1258"/>
      <c r="AI307" s="1258"/>
      <c r="AJ307" s="1258"/>
      <c r="AK307" s="1258"/>
      <c r="BA307" s="43"/>
    </row>
    <row r="308" spans="2:53" ht="12.9" customHeight="1">
      <c r="B308" s="41" t="s">
        <v>374</v>
      </c>
      <c r="C308" s="41"/>
      <c r="D308" s="41"/>
      <c r="E308" s="41"/>
      <c r="F308" s="41"/>
      <c r="H308" s="1258" t="s">
        <v>2379</v>
      </c>
      <c r="I308" s="1258"/>
      <c r="J308" s="1258"/>
      <c r="K308" s="1258"/>
      <c r="L308" s="1258"/>
      <c r="M308" s="1258"/>
      <c r="N308" s="1258"/>
      <c r="O308" s="1258"/>
      <c r="P308" s="1258"/>
      <c r="Q308" s="1258"/>
      <c r="R308" s="1258"/>
      <c r="T308" s="41" t="s">
        <v>374</v>
      </c>
      <c r="V308" s="41"/>
      <c r="W308" s="41"/>
      <c r="X308" s="41"/>
      <c r="Y308" s="41"/>
      <c r="AA308" s="1258" t="s">
        <v>2384</v>
      </c>
      <c r="AB308" s="1258"/>
      <c r="AC308" s="1258"/>
      <c r="AD308" s="1258"/>
      <c r="AE308" s="1258"/>
      <c r="AF308" s="1258"/>
      <c r="AG308" s="1258"/>
      <c r="AH308" s="1258"/>
      <c r="AI308" s="1258"/>
      <c r="AJ308" s="1258"/>
      <c r="AK308" s="1258"/>
      <c r="BA308" s="43"/>
    </row>
    <row r="309" spans="2:53" ht="12.9" customHeight="1">
      <c r="B309" s="41" t="s">
        <v>375</v>
      </c>
      <c r="C309" s="41"/>
      <c r="D309" s="41"/>
      <c r="E309" s="41"/>
      <c r="F309" s="41"/>
      <c r="G309" s="41"/>
      <c r="H309" s="1400" t="s">
        <v>2380</v>
      </c>
      <c r="I309" s="1400"/>
      <c r="J309" s="1400"/>
      <c r="K309" s="1400"/>
      <c r="L309" s="1400"/>
      <c r="M309" s="1400"/>
      <c r="N309" s="5" t="s">
        <v>818</v>
      </c>
      <c r="O309" s="5"/>
      <c r="P309" s="1389"/>
      <c r="Q309" s="1389"/>
      <c r="R309" s="1389"/>
      <c r="S309" s="41"/>
      <c r="T309" s="41" t="s">
        <v>375</v>
      </c>
      <c r="V309" s="41"/>
      <c r="W309" s="41"/>
      <c r="X309" s="41"/>
      <c r="Y309" s="41"/>
      <c r="AA309" s="1400" t="s">
        <v>2385</v>
      </c>
      <c r="AB309" s="1400"/>
      <c r="AC309" s="1400"/>
      <c r="AD309" s="1400"/>
      <c r="AE309" s="1400"/>
      <c r="AF309" s="1400"/>
      <c r="AG309" s="5" t="s">
        <v>818</v>
      </c>
      <c r="AH309" s="5"/>
      <c r="AI309" s="1389"/>
      <c r="AJ309" s="1389"/>
      <c r="AK309" s="1389"/>
      <c r="BA309" s="43"/>
    </row>
    <row r="310" spans="2:53" ht="12.9" customHeight="1">
      <c r="B310" s="41" t="s">
        <v>376</v>
      </c>
      <c r="C310" s="41"/>
      <c r="D310" s="41"/>
      <c r="E310" s="41"/>
      <c r="F310" s="41"/>
      <c r="G310" s="41"/>
      <c r="H310" s="1264"/>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2.9" customHeight="1">
      <c r="B311" s="41" t="s">
        <v>702</v>
      </c>
      <c r="C311" s="41"/>
      <c r="D311" s="41"/>
      <c r="E311" s="41"/>
      <c r="F311" s="41"/>
      <c r="G311" s="41"/>
      <c r="H311" s="1258" t="s">
        <v>2381</v>
      </c>
      <c r="I311" s="1258"/>
      <c r="J311" s="1258"/>
      <c r="K311" s="1258"/>
      <c r="L311" s="1258"/>
      <c r="M311" s="1258"/>
      <c r="N311" s="1107"/>
      <c r="O311" s="1107"/>
      <c r="P311" s="1107"/>
      <c r="Q311" s="1107"/>
      <c r="R311" s="1107"/>
      <c r="S311" s="41"/>
      <c r="T311" s="41" t="s">
        <v>702</v>
      </c>
      <c r="V311" s="41"/>
      <c r="W311" s="41"/>
      <c r="X311" s="41"/>
      <c r="Y311" s="41"/>
      <c r="AA311" s="1258" t="s">
        <v>2386</v>
      </c>
      <c r="AB311" s="1258"/>
      <c r="AC311" s="1258"/>
      <c r="AD311" s="1258"/>
      <c r="AE311" s="1258"/>
      <c r="AF311" s="1258"/>
      <c r="AG311" s="1107"/>
      <c r="AH311" s="1107"/>
      <c r="AI311" s="1107"/>
      <c r="AJ311" s="1107"/>
      <c r="AK311" s="1107"/>
      <c r="BA311" s="43"/>
    </row>
    <row r="312" spans="2:53" ht="12.9" customHeight="1">
      <c r="BA312" s="43"/>
    </row>
    <row r="313" spans="2:53" ht="12.9" customHeight="1">
      <c r="B313" s="5" t="s">
        <v>1146</v>
      </c>
      <c r="C313" s="41"/>
      <c r="D313" s="41"/>
      <c r="E313" s="41"/>
      <c r="F313" s="41"/>
      <c r="H313" s="1107"/>
      <c r="I313" s="1107"/>
      <c r="J313" s="1107"/>
      <c r="K313" s="1107"/>
      <c r="L313" s="1107"/>
      <c r="M313" s="1107"/>
      <c r="N313" s="1107"/>
      <c r="O313" s="1107"/>
      <c r="P313" s="1107"/>
      <c r="Q313" s="1107"/>
      <c r="R313" s="1107"/>
      <c r="T313" s="41" t="s">
        <v>36</v>
      </c>
      <c r="V313" s="41"/>
      <c r="W313" s="41"/>
      <c r="X313" s="41"/>
      <c r="Y313" s="41"/>
      <c r="AA313" s="1107" t="s">
        <v>2387</v>
      </c>
      <c r="AB313" s="1107"/>
      <c r="AC313" s="1107"/>
      <c r="AD313" s="1107"/>
      <c r="AE313" s="1107"/>
      <c r="AF313" s="1107"/>
      <c r="AG313" s="1107"/>
      <c r="AH313" s="1107"/>
      <c r="AI313" s="1107"/>
      <c r="AJ313" s="1107"/>
      <c r="AK313" s="1107"/>
      <c r="BA313" s="43"/>
    </row>
    <row r="314" spans="2:53" ht="12.9" customHeight="1">
      <c r="B314" s="41" t="s">
        <v>699</v>
      </c>
      <c r="C314" s="41"/>
      <c r="D314" s="41"/>
      <c r="E314" s="41"/>
      <c r="F314" s="41"/>
      <c r="H314" s="1258"/>
      <c r="I314" s="1258"/>
      <c r="J314" s="1258"/>
      <c r="K314" s="1258"/>
      <c r="L314" s="1258"/>
      <c r="M314" s="1258"/>
      <c r="N314" s="1258"/>
      <c r="O314" s="1258"/>
      <c r="P314" s="1258"/>
      <c r="Q314" s="1258"/>
      <c r="R314" s="1258"/>
      <c r="T314" s="41" t="s">
        <v>699</v>
      </c>
      <c r="V314" s="41"/>
      <c r="W314" s="41"/>
      <c r="X314" s="41"/>
      <c r="Y314" s="41"/>
      <c r="AA314" s="1258" t="s">
        <v>2388</v>
      </c>
      <c r="AB314" s="1258"/>
      <c r="AC314" s="1258"/>
      <c r="AD314" s="1258"/>
      <c r="AE314" s="1258"/>
      <c r="AF314" s="1258"/>
      <c r="AG314" s="1258"/>
      <c r="AH314" s="1258"/>
      <c r="AI314" s="1258"/>
      <c r="AJ314" s="1258"/>
      <c r="AK314" s="1258"/>
      <c r="BA314" s="43"/>
    </row>
    <row r="315" spans="2:53" ht="12.9" customHeight="1">
      <c r="B315" s="41" t="s">
        <v>701</v>
      </c>
      <c r="C315" s="41"/>
      <c r="D315" s="41"/>
      <c r="E315" s="41"/>
      <c r="F315" s="41"/>
      <c r="H315" s="1258"/>
      <c r="I315" s="1258"/>
      <c r="J315" s="1258"/>
      <c r="K315" s="1258"/>
      <c r="L315" s="1258"/>
      <c r="M315" s="1258"/>
      <c r="N315" s="1258"/>
      <c r="O315" s="1258"/>
      <c r="P315" s="1258"/>
      <c r="Q315" s="1258"/>
      <c r="R315" s="1258"/>
      <c r="T315" s="41" t="s">
        <v>700</v>
      </c>
      <c r="V315" s="41"/>
      <c r="W315" s="41"/>
      <c r="X315" s="41"/>
      <c r="Y315" s="41"/>
      <c r="AA315" s="1258" t="s">
        <v>2389</v>
      </c>
      <c r="AB315" s="1258"/>
      <c r="AC315" s="1258"/>
      <c r="AD315" s="1258"/>
      <c r="AE315" s="1258"/>
      <c r="AF315" s="1258"/>
      <c r="AG315" s="1258"/>
      <c r="AH315" s="1258"/>
      <c r="AI315" s="1258"/>
      <c r="AJ315" s="1258"/>
      <c r="AK315" s="1258"/>
      <c r="BA315" s="43"/>
    </row>
    <row r="316" spans="2:53" ht="12.9" customHeight="1">
      <c r="B316" s="41" t="s">
        <v>374</v>
      </c>
      <c r="C316" s="41"/>
      <c r="D316" s="41"/>
      <c r="E316" s="41"/>
      <c r="F316" s="41"/>
      <c r="H316" s="1258"/>
      <c r="I316" s="1258"/>
      <c r="J316" s="1258"/>
      <c r="K316" s="1258"/>
      <c r="L316" s="1258"/>
      <c r="M316" s="1258"/>
      <c r="N316" s="1258"/>
      <c r="O316" s="1258"/>
      <c r="P316" s="1258"/>
      <c r="Q316" s="1258"/>
      <c r="R316" s="1258"/>
      <c r="T316" s="41" t="s">
        <v>374</v>
      </c>
      <c r="V316" s="41"/>
      <c r="W316" s="41"/>
      <c r="X316" s="41"/>
      <c r="Y316" s="41"/>
      <c r="AA316" s="1258" t="s">
        <v>2390</v>
      </c>
      <c r="AB316" s="1258"/>
      <c r="AC316" s="1258"/>
      <c r="AD316" s="1258"/>
      <c r="AE316" s="1258"/>
      <c r="AF316" s="1258"/>
      <c r="AG316" s="1258"/>
      <c r="AH316" s="1258"/>
      <c r="AI316" s="1258"/>
      <c r="AJ316" s="1258"/>
      <c r="AK316" s="1258"/>
      <c r="BA316" s="43"/>
    </row>
    <row r="317" spans="2:53" ht="12.9" customHeight="1">
      <c r="B317" s="41" t="s">
        <v>375</v>
      </c>
      <c r="C317" s="41"/>
      <c r="D317" s="41"/>
      <c r="E317" s="41"/>
      <c r="F317" s="41"/>
      <c r="G317" s="41"/>
      <c r="H317" s="1400"/>
      <c r="I317" s="1400"/>
      <c r="J317" s="1400"/>
      <c r="K317" s="1400"/>
      <c r="L317" s="1400"/>
      <c r="M317" s="1400"/>
      <c r="N317" s="5" t="s">
        <v>818</v>
      </c>
      <c r="O317" s="5"/>
      <c r="P317" s="1389"/>
      <c r="Q317" s="1389"/>
      <c r="R317" s="1389"/>
      <c r="S317" s="41"/>
      <c r="T317" s="41" t="s">
        <v>375</v>
      </c>
      <c r="V317" s="41"/>
      <c r="W317" s="41"/>
      <c r="X317" s="41"/>
      <c r="Y317" s="41"/>
      <c r="AA317" s="1400" t="s">
        <v>2391</v>
      </c>
      <c r="AB317" s="1400"/>
      <c r="AC317" s="1400"/>
      <c r="AD317" s="1400"/>
      <c r="AE317" s="1400"/>
      <c r="AF317" s="1400"/>
      <c r="AG317" s="5" t="s">
        <v>818</v>
      </c>
      <c r="AH317" s="5"/>
      <c r="AI317" s="1389"/>
      <c r="AJ317" s="1389"/>
      <c r="AK317" s="1389"/>
      <c r="BA317" s="43"/>
    </row>
    <row r="318" spans="2:53" ht="12.9" customHeight="1">
      <c r="B318" s="41" t="s">
        <v>376</v>
      </c>
      <c r="C318" s="41"/>
      <c r="D318" s="41"/>
      <c r="E318" s="41"/>
      <c r="F318" s="41"/>
      <c r="G318" s="41"/>
      <c r="H318" s="1264"/>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 customHeight="1">
      <c r="B319" s="41" t="s">
        <v>702</v>
      </c>
      <c r="C319" s="41"/>
      <c r="D319" s="41"/>
      <c r="E319" s="41"/>
      <c r="F319" s="41"/>
      <c r="G319" s="41"/>
      <c r="H319" s="1258"/>
      <c r="I319" s="1258"/>
      <c r="J319" s="1258"/>
      <c r="K319" s="1258"/>
      <c r="L319" s="1258"/>
      <c r="M319" s="1258"/>
      <c r="N319" s="1107"/>
      <c r="O319" s="1107"/>
      <c r="P319" s="1107"/>
      <c r="Q319" s="1107"/>
      <c r="R319" s="1107"/>
      <c r="S319" s="41"/>
      <c r="T319" s="41" t="s">
        <v>702</v>
      </c>
      <c r="V319" s="41"/>
      <c r="W319" s="41"/>
      <c r="X319" s="41"/>
      <c r="Y319" s="41"/>
      <c r="AA319" s="1258" t="s">
        <v>2392</v>
      </c>
      <c r="AB319" s="1258"/>
      <c r="AC319" s="1258"/>
      <c r="AD319" s="1258"/>
      <c r="AE319" s="1258"/>
      <c r="AF319" s="1258"/>
      <c r="AG319" s="1107"/>
      <c r="AH319" s="1107"/>
      <c r="AI319" s="1107"/>
      <c r="AJ319" s="1107"/>
      <c r="AK319" s="110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07"/>
      <c r="I321" s="1107"/>
      <c r="J321" s="1107"/>
      <c r="K321" s="1107"/>
      <c r="L321" s="1107"/>
      <c r="M321" s="1107"/>
      <c r="N321" s="1107"/>
      <c r="O321" s="1107"/>
      <c r="P321" s="1107"/>
      <c r="Q321" s="1107"/>
      <c r="R321" s="1107"/>
      <c r="T321" s="41" t="s">
        <v>37</v>
      </c>
      <c r="V321" s="41"/>
      <c r="W321" s="41"/>
      <c r="X321" s="41"/>
      <c r="Y321" s="41"/>
      <c r="AA321" s="1107" t="s">
        <v>2393</v>
      </c>
      <c r="AB321" s="1107"/>
      <c r="AC321" s="1107"/>
      <c r="AD321" s="1107"/>
      <c r="AE321" s="1107"/>
      <c r="AF321" s="1107"/>
      <c r="AG321" s="1107"/>
      <c r="AH321" s="1107"/>
      <c r="AI321" s="1107"/>
      <c r="AJ321" s="1107"/>
      <c r="AK321" s="1107"/>
      <c r="BA321" s="43"/>
    </row>
    <row r="322" spans="2:53" ht="12.9" customHeight="1">
      <c r="B322" s="41" t="s">
        <v>699</v>
      </c>
      <c r="C322" s="41"/>
      <c r="D322" s="41"/>
      <c r="E322" s="41"/>
      <c r="F322" s="41"/>
      <c r="H322" s="1258"/>
      <c r="I322" s="1258"/>
      <c r="J322" s="1258"/>
      <c r="K322" s="1258"/>
      <c r="L322" s="1258"/>
      <c r="M322" s="1258"/>
      <c r="N322" s="1258"/>
      <c r="O322" s="1258"/>
      <c r="P322" s="1258"/>
      <c r="Q322" s="1258"/>
      <c r="R322" s="1258"/>
      <c r="T322" s="41" t="s">
        <v>699</v>
      </c>
      <c r="V322" s="41"/>
      <c r="W322" s="41"/>
      <c r="X322" s="41"/>
      <c r="Y322" s="41"/>
      <c r="AA322" s="1258" t="s">
        <v>2394</v>
      </c>
      <c r="AB322" s="1258"/>
      <c r="AC322" s="1258"/>
      <c r="AD322" s="1258"/>
      <c r="AE322" s="1258"/>
      <c r="AF322" s="1258"/>
      <c r="AG322" s="1258"/>
      <c r="AH322" s="1258"/>
      <c r="AI322" s="1258"/>
      <c r="AJ322" s="1258"/>
      <c r="AK322" s="1258"/>
      <c r="BA322" s="43"/>
    </row>
    <row r="323" spans="2:53" ht="12.9" customHeight="1">
      <c r="B323" s="41" t="s">
        <v>701</v>
      </c>
      <c r="C323" s="41"/>
      <c r="D323" s="41"/>
      <c r="E323" s="41"/>
      <c r="F323" s="41"/>
      <c r="H323" s="1258"/>
      <c r="I323" s="1258"/>
      <c r="J323" s="1258"/>
      <c r="K323" s="1258"/>
      <c r="L323" s="1258"/>
      <c r="M323" s="1258"/>
      <c r="N323" s="1258"/>
      <c r="O323" s="1258"/>
      <c r="P323" s="1258"/>
      <c r="Q323" s="1258"/>
      <c r="R323" s="1258"/>
      <c r="T323" s="41" t="s">
        <v>700</v>
      </c>
      <c r="V323" s="41"/>
      <c r="W323" s="41"/>
      <c r="X323" s="41"/>
      <c r="Y323" s="41"/>
      <c r="AA323" s="1258" t="s">
        <v>2395</v>
      </c>
      <c r="AB323" s="1258"/>
      <c r="AC323" s="1258"/>
      <c r="AD323" s="1258"/>
      <c r="AE323" s="1258"/>
      <c r="AF323" s="1258"/>
      <c r="AG323" s="1258"/>
      <c r="AH323" s="1258"/>
      <c r="AI323" s="1258"/>
      <c r="AJ323" s="1258"/>
      <c r="AK323" s="1258"/>
      <c r="BA323" s="43"/>
    </row>
    <row r="324" spans="2:53" ht="12.9" customHeight="1">
      <c r="B324" s="41" t="s">
        <v>374</v>
      </c>
      <c r="C324" s="41"/>
      <c r="D324" s="41"/>
      <c r="E324" s="41"/>
      <c r="F324" s="41"/>
      <c r="H324" s="1258"/>
      <c r="I324" s="1258"/>
      <c r="J324" s="1258"/>
      <c r="K324" s="1258"/>
      <c r="L324" s="1258"/>
      <c r="M324" s="1258"/>
      <c r="N324" s="1258"/>
      <c r="O324" s="1258"/>
      <c r="P324" s="1258"/>
      <c r="Q324" s="1258"/>
      <c r="R324" s="1258"/>
      <c r="T324" s="41" t="s">
        <v>374</v>
      </c>
      <c r="V324" s="41"/>
      <c r="W324" s="41"/>
      <c r="X324" s="41"/>
      <c r="Y324" s="41"/>
      <c r="AA324" s="1258" t="s">
        <v>2396</v>
      </c>
      <c r="AB324" s="1258"/>
      <c r="AC324" s="1258"/>
      <c r="AD324" s="1258"/>
      <c r="AE324" s="1258"/>
      <c r="AF324" s="1258"/>
      <c r="AG324" s="1258"/>
      <c r="AH324" s="1258"/>
      <c r="AI324" s="1258"/>
      <c r="AJ324" s="1258"/>
      <c r="AK324" s="1258"/>
      <c r="BA324" s="43"/>
    </row>
    <row r="325" spans="2:53" ht="12.9" customHeight="1">
      <c r="B325" s="41" t="s">
        <v>375</v>
      </c>
      <c r="C325" s="41"/>
      <c r="D325" s="41"/>
      <c r="E325" s="41"/>
      <c r="F325" s="41"/>
      <c r="G325" s="41"/>
      <c r="H325" s="1400"/>
      <c r="I325" s="1400"/>
      <c r="J325" s="1400"/>
      <c r="K325" s="1400"/>
      <c r="L325" s="1400"/>
      <c r="M325" s="1400"/>
      <c r="N325" s="5" t="s">
        <v>818</v>
      </c>
      <c r="O325" s="5"/>
      <c r="P325" s="1389"/>
      <c r="Q325" s="1389"/>
      <c r="R325" s="1389"/>
      <c r="S325" s="41"/>
      <c r="T325" s="41" t="s">
        <v>375</v>
      </c>
      <c r="V325" s="41"/>
      <c r="W325" s="41"/>
      <c r="X325" s="41"/>
      <c r="Y325" s="41"/>
      <c r="AA325" s="1400" t="s">
        <v>2397</v>
      </c>
      <c r="AB325" s="1400"/>
      <c r="AC325" s="1400"/>
      <c r="AD325" s="1400"/>
      <c r="AE325" s="1400"/>
      <c r="AF325" s="1400"/>
      <c r="AG325" s="5" t="s">
        <v>818</v>
      </c>
      <c r="AH325" s="5"/>
      <c r="AI325" s="1389"/>
      <c r="AJ325" s="1389"/>
      <c r="AK325" s="1389"/>
      <c r="BA325" s="43"/>
    </row>
    <row r="326" spans="2:53" ht="12.9"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4" t="s">
        <v>2398</v>
      </c>
      <c r="AB326" s="1264"/>
      <c r="AC326" s="1264"/>
      <c r="AD326" s="1264"/>
      <c r="AE326" s="1264"/>
      <c r="AF326" s="1264"/>
      <c r="AG326" s="5"/>
      <c r="AH326" s="5"/>
      <c r="AI326" s="44"/>
      <c r="AJ326" s="44"/>
      <c r="AK326" s="44"/>
      <c r="BA326" s="43"/>
    </row>
    <row r="327" spans="2:53" ht="12.9" customHeight="1">
      <c r="B327" s="41" t="s">
        <v>702</v>
      </c>
      <c r="C327" s="41"/>
      <c r="D327" s="41"/>
      <c r="E327" s="41"/>
      <c r="F327" s="41"/>
      <c r="G327" s="41"/>
      <c r="H327" s="1258"/>
      <c r="I327" s="1258"/>
      <c r="J327" s="1258"/>
      <c r="K327" s="1258"/>
      <c r="L327" s="1258"/>
      <c r="M327" s="1258"/>
      <c r="N327" s="1107"/>
      <c r="O327" s="1107"/>
      <c r="P327" s="1107"/>
      <c r="Q327" s="1107"/>
      <c r="R327" s="1107"/>
      <c r="S327" s="41"/>
      <c r="T327" s="41" t="s">
        <v>702</v>
      </c>
      <c r="V327" s="41"/>
      <c r="W327" s="41"/>
      <c r="X327" s="41"/>
      <c r="Y327" s="41"/>
      <c r="AA327" s="1258" t="s">
        <v>2399</v>
      </c>
      <c r="AB327" s="1258"/>
      <c r="AC327" s="1258"/>
      <c r="AD327" s="1258"/>
      <c r="AE327" s="1258"/>
      <c r="AF327" s="1258"/>
      <c r="AG327" s="1107"/>
      <c r="AH327" s="1107"/>
      <c r="AI327" s="1107"/>
      <c r="AJ327" s="1107"/>
      <c r="AK327" s="110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c r="I329" s="1107"/>
      <c r="J329" s="1107"/>
      <c r="K329" s="1107"/>
      <c r="L329" s="1107"/>
      <c r="M329" s="1107"/>
      <c r="N329" s="1107"/>
      <c r="O329" s="1107"/>
      <c r="P329" s="1107"/>
      <c r="Q329" s="1107"/>
      <c r="R329" s="1107"/>
      <c r="T329" s="5" t="s">
        <v>1106</v>
      </c>
      <c r="V329" s="41"/>
      <c r="W329" s="41"/>
      <c r="X329" s="41"/>
      <c r="Y329" s="41"/>
      <c r="AA329" s="1107" t="s">
        <v>2400</v>
      </c>
      <c r="AB329" s="1107"/>
      <c r="AC329" s="1107"/>
      <c r="AD329" s="1107"/>
      <c r="AE329" s="1107"/>
      <c r="AF329" s="1107"/>
      <c r="AG329" s="1107"/>
      <c r="AH329" s="1107"/>
      <c r="AI329" s="1107"/>
      <c r="AJ329" s="1107"/>
      <c r="AK329" s="1107"/>
      <c r="BA329" s="43"/>
    </row>
    <row r="330" spans="2:53" ht="12.9" customHeight="1">
      <c r="B330" s="41" t="s">
        <v>699</v>
      </c>
      <c r="C330" s="41"/>
      <c r="D330" s="41"/>
      <c r="E330" s="41"/>
      <c r="F330" s="41"/>
      <c r="H330" s="1258"/>
      <c r="I330" s="1258"/>
      <c r="J330" s="1258"/>
      <c r="K330" s="1258"/>
      <c r="L330" s="1258"/>
      <c r="M330" s="1258"/>
      <c r="N330" s="1258"/>
      <c r="O330" s="1258"/>
      <c r="P330" s="1258"/>
      <c r="Q330" s="1258"/>
      <c r="R330" s="1258"/>
      <c r="T330" s="41" t="s">
        <v>699</v>
      </c>
      <c r="V330" s="41"/>
      <c r="W330" s="41"/>
      <c r="X330" s="41"/>
      <c r="Y330" s="41"/>
      <c r="AA330" s="1258" t="s">
        <v>2338</v>
      </c>
      <c r="AB330" s="1258"/>
      <c r="AC330" s="1258"/>
      <c r="AD330" s="1258"/>
      <c r="AE330" s="1258"/>
      <c r="AF330" s="1258"/>
      <c r="AG330" s="1258"/>
      <c r="AH330" s="1258"/>
      <c r="AI330" s="1258"/>
      <c r="AJ330" s="1258"/>
      <c r="AK330" s="1258"/>
      <c r="BA330" s="43"/>
    </row>
    <row r="331" spans="2:53" ht="12.9" customHeight="1">
      <c r="B331" s="41" t="s">
        <v>701</v>
      </c>
      <c r="C331" s="41"/>
      <c r="D331" s="41"/>
      <c r="E331" s="41"/>
      <c r="F331" s="41"/>
      <c r="G331" s="41"/>
      <c r="H331" s="1258"/>
      <c r="I331" s="1258"/>
      <c r="J331" s="1258"/>
      <c r="K331" s="1258"/>
      <c r="L331" s="1258"/>
      <c r="M331" s="1258"/>
      <c r="N331" s="1258"/>
      <c r="O331" s="1258"/>
      <c r="P331" s="1258"/>
      <c r="Q331" s="1258"/>
      <c r="R331" s="1258"/>
      <c r="T331" s="41" t="s">
        <v>700</v>
      </c>
      <c r="V331" s="41"/>
      <c r="W331" s="41"/>
      <c r="X331" s="41"/>
      <c r="Y331" s="41"/>
      <c r="AA331" s="1258" t="s">
        <v>2373</v>
      </c>
      <c r="AB331" s="1258"/>
      <c r="AC331" s="1258"/>
      <c r="AD331" s="1258"/>
      <c r="AE331" s="1258"/>
      <c r="AF331" s="1258"/>
      <c r="AG331" s="1258"/>
      <c r="AH331" s="1258"/>
      <c r="AI331" s="1258"/>
      <c r="AJ331" s="1258"/>
      <c r="AK331" s="1258"/>
      <c r="BA331" s="43"/>
    </row>
    <row r="332" spans="2:53" ht="12.9" customHeight="1">
      <c r="B332" s="41" t="s">
        <v>374</v>
      </c>
      <c r="C332" s="41"/>
      <c r="D332" s="41"/>
      <c r="E332" s="41"/>
      <c r="F332" s="41"/>
      <c r="H332" s="1258"/>
      <c r="I332" s="1258"/>
      <c r="J332" s="1258"/>
      <c r="K332" s="1258"/>
      <c r="L332" s="1258"/>
      <c r="M332" s="1258"/>
      <c r="N332" s="1258"/>
      <c r="O332" s="1258"/>
      <c r="P332" s="1258"/>
      <c r="Q332" s="1258"/>
      <c r="R332" s="1258"/>
      <c r="T332" s="41" t="s">
        <v>374</v>
      </c>
      <c r="V332" s="41"/>
      <c r="W332" s="41"/>
      <c r="X332" s="41"/>
      <c r="Y332" s="41"/>
      <c r="AA332" s="1258" t="s">
        <v>2401</v>
      </c>
      <c r="AB332" s="1258"/>
      <c r="AC332" s="1258"/>
      <c r="AD332" s="1258"/>
      <c r="AE332" s="1258"/>
      <c r="AF332" s="1258"/>
      <c r="AG332" s="1258"/>
      <c r="AH332" s="1258"/>
      <c r="AI332" s="1258"/>
      <c r="AJ332" s="1258"/>
      <c r="AK332" s="1258"/>
      <c r="BA332" s="43"/>
    </row>
    <row r="333" spans="2:53" ht="12.9" customHeight="1">
      <c r="B333" s="41" t="s">
        <v>375</v>
      </c>
      <c r="C333" s="41"/>
      <c r="D333" s="41"/>
      <c r="E333" s="41"/>
      <c r="F333" s="41"/>
      <c r="G333" s="41"/>
      <c r="H333" s="1400"/>
      <c r="I333" s="1400"/>
      <c r="J333" s="1400"/>
      <c r="K333" s="1400"/>
      <c r="L333" s="1400"/>
      <c r="M333" s="1400"/>
      <c r="N333" s="5" t="s">
        <v>818</v>
      </c>
      <c r="O333" s="5"/>
      <c r="P333" s="1389"/>
      <c r="Q333" s="1389"/>
      <c r="R333" s="1389"/>
      <c r="T333" s="41" t="s">
        <v>375</v>
      </c>
      <c r="V333" s="41"/>
      <c r="W333" s="41"/>
      <c r="X333" s="41"/>
      <c r="Y333" s="41"/>
      <c r="AA333" s="1400" t="s">
        <v>2402</v>
      </c>
      <c r="AB333" s="1400"/>
      <c r="AC333" s="1400"/>
      <c r="AD333" s="1400"/>
      <c r="AE333" s="1400"/>
      <c r="AF333" s="1400"/>
      <c r="AG333" s="5" t="s">
        <v>818</v>
      </c>
      <c r="AH333" s="5"/>
      <c r="AI333" s="1389"/>
      <c r="AJ333" s="1389"/>
      <c r="AK333" s="1389"/>
      <c r="BA333" s="43"/>
    </row>
    <row r="334" spans="2:53" ht="12.9"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t="s">
        <v>2360</v>
      </c>
      <c r="AB334" s="1264"/>
      <c r="AC334" s="1264"/>
      <c r="AD334" s="1264"/>
      <c r="AE334" s="1264"/>
      <c r="AF334" s="1264"/>
      <c r="AG334" s="5"/>
      <c r="AH334" s="5"/>
      <c r="AI334" s="44"/>
      <c r="AJ334" s="44"/>
      <c r="AK334" s="44"/>
      <c r="BA334" s="43"/>
    </row>
    <row r="335" spans="2:53" ht="12.9" customHeight="1">
      <c r="B335" s="41" t="s">
        <v>702</v>
      </c>
      <c r="C335" s="41"/>
      <c r="D335" s="41"/>
      <c r="E335" s="41"/>
      <c r="F335" s="41"/>
      <c r="G335" s="41"/>
      <c r="H335" s="1258"/>
      <c r="I335" s="1258"/>
      <c r="J335" s="1258"/>
      <c r="K335" s="1258"/>
      <c r="L335" s="1258"/>
      <c r="M335" s="1258"/>
      <c r="N335" s="1107"/>
      <c r="O335" s="1107"/>
      <c r="P335" s="1107"/>
      <c r="Q335" s="1107"/>
      <c r="R335" s="1107"/>
      <c r="T335" s="41" t="s">
        <v>702</v>
      </c>
      <c r="V335" s="41"/>
      <c r="W335" s="41"/>
      <c r="X335" s="41"/>
      <c r="Y335" s="41"/>
      <c r="AA335" s="1258" t="s">
        <v>2403</v>
      </c>
      <c r="AB335" s="1258"/>
      <c r="AC335" s="1258"/>
      <c r="AD335" s="1258"/>
      <c r="AE335" s="1258"/>
      <c r="AF335" s="1258"/>
      <c r="AG335" s="1107"/>
      <c r="AH335" s="1107"/>
      <c r="AI335" s="1107"/>
      <c r="AJ335" s="1107"/>
      <c r="AK335" s="110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7"/>
      <c r="I337" s="1107"/>
      <c r="J337" s="1107"/>
      <c r="K337" s="1107"/>
      <c r="L337" s="1107"/>
      <c r="M337" s="1107"/>
      <c r="N337" s="1107"/>
      <c r="O337" s="1107"/>
      <c r="P337" s="1107"/>
      <c r="Q337" s="1107"/>
      <c r="R337" s="1107"/>
      <c r="T337" s="361" t="s">
        <v>1145</v>
      </c>
      <c r="AA337" s="1107"/>
      <c r="AB337" s="1107"/>
      <c r="AC337" s="1107"/>
      <c r="AD337" s="1107"/>
      <c r="AE337" s="1107"/>
      <c r="AF337" s="1107"/>
      <c r="AG337" s="1107"/>
      <c r="AH337" s="1107"/>
      <c r="AI337" s="1107"/>
      <c r="AJ337" s="1107"/>
      <c r="AK337" s="1107"/>
      <c r="BA337" s="43"/>
    </row>
    <row r="338" spans="1:53" ht="12.9"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 customHeight="1">
      <c r="B341" s="361" t="s">
        <v>375</v>
      </c>
      <c r="C341" s="361"/>
      <c r="D341" s="361"/>
      <c r="E341" s="361"/>
      <c r="F341" s="361"/>
      <c r="G341" s="361"/>
      <c r="H341" s="1400"/>
      <c r="I341" s="1400"/>
      <c r="J341" s="1400"/>
      <c r="K341" s="1400"/>
      <c r="L341" s="1400"/>
      <c r="M341" s="1400"/>
      <c r="N341" s="5" t="s">
        <v>818</v>
      </c>
      <c r="O341" s="5"/>
      <c r="P341" s="1389"/>
      <c r="Q341" s="1389"/>
      <c r="R341" s="1389"/>
      <c r="T341" s="41" t="s">
        <v>375</v>
      </c>
      <c r="AA341" s="1400"/>
      <c r="AB341" s="1400"/>
      <c r="AC341" s="1400"/>
      <c r="AD341" s="1400"/>
      <c r="AE341" s="1400"/>
      <c r="AF341" s="1400"/>
      <c r="AG341" s="5" t="s">
        <v>818</v>
      </c>
      <c r="AH341" s="5"/>
      <c r="AI341" s="1389"/>
      <c r="AJ341" s="1389"/>
      <c r="AK341" s="1389"/>
    </row>
    <row r="342" spans="1:53" ht="12.9"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098" t="s">
        <v>108</v>
      </c>
      <c r="N349" s="1098"/>
      <c r="P349" t="s">
        <v>1961</v>
      </c>
      <c r="AJ349" s="1098" t="s">
        <v>482</v>
      </c>
      <c r="AK349" s="1098"/>
    </row>
    <row r="350" spans="1:53" ht="12.9" customHeight="1">
      <c r="D350" s="41" t="s">
        <v>1888</v>
      </c>
      <c r="M350" s="1098" t="s">
        <v>124</v>
      </c>
      <c r="N350" s="1098"/>
      <c r="P350" s="41" t="s">
        <v>1962</v>
      </c>
      <c r="AJ350" s="1327"/>
      <c r="AK350" s="1327"/>
    </row>
    <row r="351" spans="1:53" ht="12.9" customHeight="1">
      <c r="D351" t="s">
        <v>313</v>
      </c>
      <c r="M351" s="1098" t="s">
        <v>124</v>
      </c>
      <c r="N351" s="1098"/>
      <c r="P351" t="s">
        <v>1963</v>
      </c>
      <c r="AJ351" s="1098" t="s">
        <v>482</v>
      </c>
      <c r="AK351" s="1098"/>
    </row>
    <row r="352" spans="1:53" ht="12.9" customHeight="1">
      <c r="D352" t="s">
        <v>314</v>
      </c>
      <c r="M352" s="1098" t="s">
        <v>124</v>
      </c>
      <c r="N352" s="1098"/>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 customHeight="1">
      <c r="E358" t="s">
        <v>733</v>
      </c>
      <c r="Y358" s="1098" t="s">
        <v>124</v>
      </c>
      <c r="Z358" s="1098"/>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2.9"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 customHeight="1">
      <c r="E366" s="5" t="s">
        <v>65</v>
      </c>
      <c r="F366" s="5"/>
      <c r="G366" s="5"/>
      <c r="H366" s="5"/>
      <c r="I366" s="5"/>
      <c r="J366" s="5"/>
      <c r="K366" s="5"/>
      <c r="L366" s="5"/>
      <c r="N366" s="1466"/>
      <c r="O366" s="1466"/>
      <c r="P366" s="1466"/>
      <c r="Q366" s="1466"/>
      <c r="R366" s="1466"/>
      <c r="S366" s="1466"/>
      <c r="T366" s="1466"/>
      <c r="U366" s="1466"/>
      <c r="V366" s="1466"/>
      <c r="W366" s="1466"/>
      <c r="X366" s="1466"/>
      <c r="Y366" s="1466"/>
      <c r="Z366" s="1466"/>
      <c r="AA366" s="1466"/>
      <c r="AB366" s="1466"/>
      <c r="AC366" s="1466"/>
      <c r="AD366" s="1466"/>
      <c r="AE366" s="1466"/>
      <c r="AF366" s="1466"/>
    </row>
    <row r="367" spans="1:57" ht="12.9" customHeight="1">
      <c r="E367" s="5"/>
      <c r="F367" s="5"/>
      <c r="G367" s="5"/>
      <c r="H367" s="5"/>
      <c r="I367" s="5"/>
      <c r="J367" s="5"/>
      <c r="K367" s="5"/>
      <c r="L367" s="5"/>
      <c r="N367" s="1467"/>
      <c r="O367" s="1467"/>
      <c r="P367" s="1467"/>
      <c r="Q367" s="1467"/>
      <c r="R367" s="1467"/>
      <c r="S367" s="1467"/>
      <c r="T367" s="1467"/>
      <c r="U367" s="1467"/>
      <c r="V367" s="1467"/>
      <c r="W367" s="1467"/>
      <c r="X367" s="1467"/>
      <c r="Y367" s="1467"/>
      <c r="Z367" s="1467"/>
      <c r="AA367" s="1467"/>
      <c r="AB367" s="1467"/>
      <c r="AC367" s="1467"/>
      <c r="AD367" s="1467"/>
      <c r="AE367" s="1467"/>
      <c r="AF367" s="1467"/>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06"/>
      <c r="T370" s="1306"/>
      <c r="U370" s="370" t="s">
        <v>232</v>
      </c>
      <c r="V370" s="1306"/>
      <c r="W370" s="1306"/>
      <c r="X370" s="361"/>
      <c r="Z370" s="361"/>
      <c r="AA370" s="940" t="s">
        <v>2104</v>
      </c>
      <c r="AB370" s="361" t="s">
        <v>231</v>
      </c>
      <c r="AC370" s="361"/>
      <c r="AD370" s="1306"/>
      <c r="AE370" s="1306"/>
      <c r="AF370" s="370" t="s">
        <v>232</v>
      </c>
      <c r="AG370" s="1306"/>
      <c r="AH370" s="1306"/>
    </row>
    <row r="371" spans="1:36" ht="12.9" customHeight="1">
      <c r="D371" s="361"/>
      <c r="E371" s="361" t="s">
        <v>1235</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330" t="s">
        <v>124</v>
      </c>
      <c r="W374" s="1330"/>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7" t="s">
        <v>2438</v>
      </c>
      <c r="K378" s="1107"/>
      <c r="L378" s="1107"/>
      <c r="M378" s="1107"/>
      <c r="N378" s="1107"/>
      <c r="O378" s="1107"/>
      <c r="P378" s="1107"/>
      <c r="Q378" s="1107"/>
      <c r="R378" s="1107"/>
      <c r="S378" s="1107"/>
      <c r="T378" s="1107"/>
      <c r="U378" s="1107"/>
      <c r="V378" s="12" t="s">
        <v>710</v>
      </c>
      <c r="W378" s="12"/>
      <c r="X378" s="12"/>
      <c r="Y378" s="12"/>
      <c r="Z378" s="12"/>
      <c r="AA378" s="12"/>
      <c r="AB378" s="12"/>
      <c r="AC378" s="1107" t="s">
        <v>2438</v>
      </c>
      <c r="AD378" s="1107"/>
      <c r="AE378" s="1107"/>
      <c r="AF378" s="1107"/>
      <c r="AG378" s="1107"/>
      <c r="AH378" s="1107"/>
      <c r="AI378" s="1107"/>
      <c r="AJ378" s="1107"/>
    </row>
    <row r="379" spans="1:36" ht="12.9" customHeight="1">
      <c r="D379" s="41" t="s">
        <v>1964</v>
      </c>
      <c r="J379" s="1258" t="s">
        <v>2438</v>
      </c>
      <c r="K379" s="1258"/>
      <c r="L379" s="1258"/>
      <c r="M379" s="1258"/>
      <c r="N379" s="1258"/>
      <c r="O379" s="1258"/>
      <c r="P379" s="1258"/>
      <c r="Q379" s="1258"/>
      <c r="R379" s="1258"/>
      <c r="S379" s="1258"/>
      <c r="T379" s="1258"/>
      <c r="U379" s="1258"/>
      <c r="V379" s="41" t="s">
        <v>1964</v>
      </c>
      <c r="W379" s="12"/>
      <c r="X379" s="12"/>
      <c r="Y379" s="12"/>
      <c r="Z379" s="12"/>
      <c r="AA379" s="12"/>
      <c r="AB379" s="12"/>
      <c r="AC379" s="1107"/>
      <c r="AD379" s="1107"/>
      <c r="AE379" s="1107"/>
      <c r="AF379" s="1107"/>
      <c r="AG379" s="1107"/>
      <c r="AH379" s="1107"/>
      <c r="AI379" s="1107"/>
      <c r="AJ379" s="1107"/>
    </row>
    <row r="380" spans="1:36" ht="12.9" customHeight="1">
      <c r="D380" s="41" t="s">
        <v>544</v>
      </c>
      <c r="J380" s="1258" t="s">
        <v>2439</v>
      </c>
      <c r="K380" s="1258"/>
      <c r="L380" s="1258"/>
      <c r="M380" s="1258"/>
      <c r="N380" s="1258"/>
      <c r="O380" s="1258"/>
      <c r="P380" s="1258"/>
      <c r="Q380" s="1258"/>
      <c r="R380" s="1258"/>
      <c r="S380" s="1258"/>
      <c r="T380" s="1258"/>
      <c r="U380" s="1258"/>
      <c r="V380" s="41" t="s">
        <v>544</v>
      </c>
      <c r="W380" s="12"/>
      <c r="X380" s="12"/>
      <c r="Y380" s="12"/>
      <c r="Z380" s="12"/>
      <c r="AA380" s="12"/>
      <c r="AB380" s="12"/>
      <c r="AC380" s="1107"/>
      <c r="AD380" s="1107"/>
      <c r="AE380" s="1107"/>
      <c r="AF380" s="1107"/>
      <c r="AG380" s="1107"/>
      <c r="AH380" s="1107"/>
      <c r="AI380" s="1107"/>
      <c r="AJ380" s="1107"/>
    </row>
    <row r="381" spans="1:36" ht="12.9" customHeight="1">
      <c r="D381" t="s">
        <v>1965</v>
      </c>
      <c r="J381" s="1056"/>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 customHeight="1">
      <c r="D382" t="s">
        <v>554</v>
      </c>
      <c r="Q382" s="1362">
        <v>44354</v>
      </c>
      <c r="R382" s="1362"/>
      <c r="S382" s="1362"/>
      <c r="T382" s="1362"/>
      <c r="U382" s="1362"/>
      <c r="V382" t="s">
        <v>168</v>
      </c>
      <c r="AI382" s="1098" t="s">
        <v>482</v>
      </c>
      <c r="AJ382" s="1098"/>
    </row>
    <row r="383" spans="1:36" ht="12.9" customHeight="1">
      <c r="D383" t="s">
        <v>555</v>
      </c>
      <c r="Q383" s="1375">
        <v>45657</v>
      </c>
      <c r="R383" s="1186"/>
      <c r="S383" s="1186"/>
      <c r="T383" s="1186"/>
      <c r="U383" s="1186"/>
      <c r="W383" s="29" t="s">
        <v>20</v>
      </c>
      <c r="AG383" s="1352"/>
      <c r="AH383" s="1352"/>
      <c r="AI383" s="1352"/>
      <c r="AJ383" s="1352"/>
    </row>
    <row r="384" spans="1:36" ht="12.9" customHeight="1">
      <c r="D384" t="s">
        <v>274</v>
      </c>
      <c r="Q384" s="1445">
        <v>5000000</v>
      </c>
      <c r="R384" s="1445"/>
      <c r="S384" s="1445"/>
      <c r="T384" s="1445"/>
      <c r="U384" s="1445"/>
      <c r="V384" s="41" t="s">
        <v>1966</v>
      </c>
      <c r="AG384" s="1503">
        <v>45657</v>
      </c>
      <c r="AH384" s="1503"/>
      <c r="AI384" s="1503"/>
      <c r="AJ384" s="1503"/>
    </row>
    <row r="385" spans="4:36" ht="12.9" customHeight="1">
      <c r="D385" t="s">
        <v>375</v>
      </c>
      <c r="I385" s="1557"/>
      <c r="J385" s="1557"/>
      <c r="K385" s="1557"/>
      <c r="L385" s="1557"/>
      <c r="M385" s="1557"/>
      <c r="N385" s="1557"/>
      <c r="Q385" s="41" t="s">
        <v>818</v>
      </c>
      <c r="S385" s="1524"/>
      <c r="T385" s="1524"/>
      <c r="U385" s="1524"/>
      <c r="V385" t="s">
        <v>19</v>
      </c>
      <c r="AI385" s="1098" t="s">
        <v>482</v>
      </c>
      <c r="AJ385" s="1098"/>
    </row>
    <row r="386" spans="4:36" ht="12.9" customHeight="1">
      <c r="D386" t="s">
        <v>169</v>
      </c>
      <c r="Q386" s="1059"/>
      <c r="R386" s="1059"/>
      <c r="S386" s="1059"/>
      <c r="T386" s="1059"/>
      <c r="U386" s="1059"/>
      <c r="V386" t="s">
        <v>170</v>
      </c>
      <c r="AG386" s="1352"/>
      <c r="AH386" s="1352"/>
      <c r="AI386" s="1352"/>
      <c r="AJ386" s="1352"/>
    </row>
    <row r="387" spans="4:36" ht="12.9" customHeight="1">
      <c r="D387" t="s">
        <v>25</v>
      </c>
      <c r="Q387" s="1406"/>
      <c r="R387" s="1406"/>
      <c r="S387" s="1406"/>
      <c r="T387" s="1406"/>
      <c r="U387" s="1406"/>
      <c r="V387" t="s">
        <v>1682</v>
      </c>
      <c r="AG387" s="1352"/>
      <c r="AH387" s="1352"/>
      <c r="AI387" s="1352"/>
      <c r="AJ387" s="1352"/>
    </row>
    <row r="388" spans="4:36" ht="12.9" customHeight="1">
      <c r="D388" t="s">
        <v>1967</v>
      </c>
      <c r="AG388" s="1352"/>
      <c r="AH388" s="1352"/>
      <c r="AI388" s="1352"/>
      <c r="AJ388" s="1352"/>
    </row>
    <row r="389" spans="4:36" ht="12.9" customHeight="1">
      <c r="AG389" s="832"/>
      <c r="AH389" s="832"/>
      <c r="AI389" s="832"/>
      <c r="AJ389" s="832"/>
    </row>
    <row r="390" spans="4:36" ht="12.9" customHeight="1">
      <c r="D390" s="41" t="s">
        <v>2206</v>
      </c>
      <c r="AG390" s="832"/>
      <c r="AH390" s="832"/>
      <c r="AI390" s="1098" t="s">
        <v>482</v>
      </c>
      <c r="AJ390" s="1098"/>
    </row>
    <row r="391" spans="4:36" ht="12.9" customHeight="1">
      <c r="D391" s="41" t="s">
        <v>1968</v>
      </c>
      <c r="T391" s="1294"/>
      <c r="U391" s="1294"/>
      <c r="V391" s="1294"/>
      <c r="W391" s="1294"/>
      <c r="X391" s="1294"/>
      <c r="Y391" s="1294"/>
      <c r="Z391" s="1294"/>
      <c r="AA391" s="1294"/>
      <c r="AB391" s="1294"/>
      <c r="AC391" s="1294"/>
      <c r="AD391" s="1294"/>
      <c r="AE391" s="1294"/>
      <c r="AF391" s="1294"/>
      <c r="AG391" s="1294"/>
      <c r="AH391" s="1294"/>
      <c r="AI391" s="1294"/>
      <c r="AJ391" s="1294"/>
    </row>
    <row r="392" spans="4:36" ht="12.9" customHeight="1">
      <c r="D392" s="41" t="s">
        <v>1969</v>
      </c>
      <c r="T392" s="1294"/>
      <c r="U392" s="1294"/>
      <c r="V392" s="1294"/>
      <c r="W392" s="1294"/>
      <c r="X392" s="1294"/>
      <c r="Y392" s="1294"/>
      <c r="Z392" s="1294"/>
      <c r="AA392" s="1294"/>
      <c r="AB392" s="1294"/>
      <c r="AC392" s="1294"/>
      <c r="AD392" s="1294"/>
      <c r="AE392" s="1294"/>
      <c r="AF392" s="1294"/>
      <c r="AG392" s="1294"/>
      <c r="AH392" s="1294"/>
      <c r="AI392" s="1294"/>
      <c r="AJ392" s="1294"/>
    </row>
    <row r="393" spans="4:36" ht="12.9" customHeight="1">
      <c r="AG393" s="832"/>
      <c r="AH393" s="832"/>
      <c r="AI393" s="832"/>
      <c r="AJ393" s="832"/>
    </row>
    <row r="394" spans="4:36" ht="12.9" customHeight="1">
      <c r="D394" s="41" t="s">
        <v>1970</v>
      </c>
      <c r="S394" s="1294" t="s">
        <v>482</v>
      </c>
      <c r="T394" s="1294"/>
      <c r="U394" s="1294"/>
      <c r="V394" t="s">
        <v>1971</v>
      </c>
      <c r="AG394" s="1361"/>
      <c r="AH394" s="1361"/>
      <c r="AI394" s="1361"/>
      <c r="AJ394" s="1361"/>
    </row>
    <row r="395" spans="4:36" ht="12.9" customHeight="1">
      <c r="D395" s="41" t="s">
        <v>1972</v>
      </c>
      <c r="S395" s="1294" t="s">
        <v>124</v>
      </c>
      <c r="T395" s="1294"/>
      <c r="U395" s="1294"/>
      <c r="V395" t="s">
        <v>1973</v>
      </c>
      <c r="AE395" s="1564"/>
      <c r="AF395" s="1564"/>
      <c r="AG395" s="1564"/>
      <c r="AH395" s="1564"/>
      <c r="AI395" s="1564"/>
      <c r="AJ395" s="1564"/>
    </row>
    <row r="396" spans="4:36" ht="12.9" customHeight="1">
      <c r="D396" s="41" t="s">
        <v>1974</v>
      </c>
      <c r="K396" s="1360"/>
      <c r="L396" s="1360"/>
      <c r="M396" s="1360"/>
      <c r="N396" s="1360"/>
      <c r="O396" s="1360"/>
      <c r="P396" s="1360"/>
      <c r="Q396" s="1360"/>
      <c r="R396" s="1360"/>
      <c r="S396" s="1360"/>
      <c r="T396" s="1360"/>
      <c r="U396" s="1360"/>
      <c r="V396" s="1360"/>
      <c r="W396" s="1360"/>
      <c r="X396" s="1360"/>
      <c r="Y396" s="1360"/>
      <c r="Z396" s="1360"/>
      <c r="AA396" s="1360"/>
      <c r="AB396" s="1360"/>
      <c r="AC396" s="1360"/>
      <c r="AD396" s="1360"/>
      <c r="AE396" s="1360"/>
      <c r="AF396" s="1360"/>
      <c r="AG396" s="1360"/>
      <c r="AH396" s="1360"/>
      <c r="AI396" s="1360"/>
      <c r="AJ396" s="1360"/>
    </row>
    <row r="397" spans="4:36" ht="12.9" customHeight="1">
      <c r="D397" s="41" t="s">
        <v>1975</v>
      </c>
      <c r="K397" s="1360"/>
      <c r="L397" s="1360"/>
      <c r="M397" s="1360"/>
      <c r="N397" s="1360"/>
      <c r="O397" s="1360"/>
      <c r="P397" s="1360"/>
      <c r="Q397" s="1360"/>
      <c r="R397" s="1360"/>
      <c r="S397" s="1360"/>
      <c r="T397" s="1360"/>
      <c r="U397" s="1360"/>
      <c r="V397" s="1360"/>
      <c r="W397" s="1360"/>
      <c r="X397" s="1360"/>
      <c r="Y397" s="1360"/>
      <c r="Z397" s="1360"/>
      <c r="AA397" s="1360"/>
      <c r="AB397" s="1360"/>
      <c r="AC397" s="1360"/>
      <c r="AD397" s="1360"/>
      <c r="AE397" s="1360"/>
      <c r="AF397" s="1360"/>
      <c r="AG397" s="1360"/>
      <c r="AH397" s="1360"/>
      <c r="AI397" s="1360"/>
      <c r="AJ397" s="1360"/>
    </row>
    <row r="398" spans="4:36" ht="12.9" customHeight="1">
      <c r="D398" s="41" t="s">
        <v>1976</v>
      </c>
      <c r="E398" s="813"/>
      <c r="F398" s="813"/>
      <c r="G398" s="813"/>
      <c r="H398" s="813"/>
      <c r="I398" s="813"/>
      <c r="J398" s="813"/>
      <c r="K398" s="813"/>
      <c r="L398" s="813"/>
      <c r="M398" s="813"/>
      <c r="N398" s="813"/>
      <c r="O398" s="813"/>
      <c r="P398" s="813"/>
      <c r="Q398" s="813"/>
      <c r="R398" s="813"/>
      <c r="S398" s="1363" t="s">
        <v>1977</v>
      </c>
      <c r="T398" s="1363"/>
      <c r="U398" s="1363"/>
      <c r="V398" s="1363"/>
      <c r="W398" s="1363"/>
      <c r="X398" s="1363"/>
      <c r="Y398" s="1363"/>
      <c r="Z398" s="1363"/>
      <c r="AA398" s="1363"/>
      <c r="AB398" s="1363"/>
      <c r="AC398" s="1363"/>
      <c r="AD398" s="1363"/>
      <c r="AE398" s="1363"/>
      <c r="AF398" s="1363"/>
      <c r="AG398" s="1363"/>
      <c r="AH398" s="1363"/>
      <c r="AI398" s="1363"/>
      <c r="AJ398" s="1363"/>
    </row>
    <row r="399" spans="4:36" ht="12.9"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122</v>
      </c>
      <c r="B402" s="3"/>
      <c r="C402" s="3" t="s">
        <v>899</v>
      </c>
    </row>
    <row r="403" spans="1:36" ht="12.9" customHeight="1">
      <c r="D403" s="3" t="s">
        <v>1735</v>
      </c>
      <c r="I403" s="1103" t="s">
        <v>2440</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 customHeight="1">
      <c r="E404" t="s">
        <v>855</v>
      </c>
      <c r="R404" s="1098" t="s">
        <v>124</v>
      </c>
      <c r="S404" s="1098"/>
      <c r="T404" t="s">
        <v>291</v>
      </c>
      <c r="AD404" s="1101">
        <v>0</v>
      </c>
      <c r="AE404" s="1101"/>
    </row>
    <row r="405" spans="1:36" ht="12.9" customHeight="1">
      <c r="E405" t="s">
        <v>856</v>
      </c>
      <c r="R405" s="1098" t="s">
        <v>108</v>
      </c>
      <c r="S405" s="1098"/>
      <c r="T405" t="s">
        <v>291</v>
      </c>
      <c r="AD405" s="1101">
        <v>2</v>
      </c>
      <c r="AE405" s="1101"/>
    </row>
    <row r="406" spans="1:36" ht="12.9" customHeight="1">
      <c r="E406" t="s">
        <v>857</v>
      </c>
      <c r="S406" s="1098" t="s">
        <v>124</v>
      </c>
      <c r="T406" s="1098"/>
    </row>
    <row r="407" spans="1:36" ht="12.9" customHeight="1">
      <c r="E407" t="s">
        <v>283</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 customHeight="1"/>
    <row r="410" spans="1:36" ht="12.9" customHeight="1">
      <c r="A410" s="3" t="s">
        <v>123</v>
      </c>
      <c r="B410" s="3"/>
      <c r="C410" s="3"/>
      <c r="D410" s="3" t="s">
        <v>902</v>
      </c>
      <c r="AE410" s="5"/>
      <c r="AF410" s="3" t="s">
        <v>1214</v>
      </c>
    </row>
    <row r="411" spans="1:36" ht="12.9" customHeight="1">
      <c r="E411" s="1309"/>
      <c r="F411" s="1309"/>
      <c r="G411" s="1309"/>
      <c r="H411" s="18" t="s">
        <v>903</v>
      </c>
      <c r="I411" s="1309"/>
      <c r="J411" s="1309"/>
      <c r="K411" s="1309"/>
      <c r="L411" t="s">
        <v>904</v>
      </c>
      <c r="N411" s="34" t="s">
        <v>851</v>
      </c>
      <c r="P411" s="1394">
        <v>3.5</v>
      </c>
      <c r="Q411" s="1394"/>
      <c r="R411" s="1394"/>
      <c r="S411" t="s">
        <v>905</v>
      </c>
      <c r="W411" s="1395">
        <f>IF(E411&gt;0,(E411*I411),(P411*43560))</f>
        <v>152460</v>
      </c>
      <c r="X411" s="1395"/>
      <c r="Y411" s="1395"/>
      <c r="Z411" t="s">
        <v>906</v>
      </c>
      <c r="AF411" s="1310" cm="1">
        <f t="array" ref="AF411">_xlfn.IFS(P411&gt;0,(AG430/P411),W411&gt;0,(AG430/(W411/43560)),TRUE,0)</f>
        <v>15.714285714285714</v>
      </c>
      <c r="AG411" s="1310"/>
      <c r="AH411" s="1310"/>
    </row>
    <row r="412" spans="1:36" ht="12.9" customHeight="1">
      <c r="E412" t="s">
        <v>203</v>
      </c>
    </row>
    <row r="413" spans="1:36" ht="12.9" customHeight="1">
      <c r="E413" s="1359"/>
      <c r="F413" s="1359"/>
      <c r="G413" s="1359"/>
      <c r="H413" s="1359"/>
      <c r="I413" s="1359"/>
      <c r="J413" s="1359"/>
      <c r="K413" s="1359"/>
      <c r="L413" s="1359"/>
      <c r="M413" s="1359"/>
      <c r="N413" s="1359"/>
      <c r="O413" s="1359"/>
      <c r="P413" s="1359"/>
      <c r="Q413" s="1359"/>
      <c r="R413" s="1359"/>
      <c r="S413" s="1359"/>
      <c r="T413" s="1359"/>
      <c r="U413" s="1359"/>
      <c r="V413" s="1359"/>
      <c r="W413" s="1359"/>
      <c r="X413" s="1359"/>
      <c r="Y413" s="1359"/>
      <c r="Z413" s="1359"/>
      <c r="AA413" s="1359"/>
      <c r="AB413" s="1359"/>
      <c r="AC413" s="1359"/>
      <c r="AD413" s="1359"/>
      <c r="AE413" s="1359"/>
      <c r="AF413" s="1359"/>
      <c r="AG413" s="1359"/>
      <c r="AH413" s="1359"/>
      <c r="AI413" s="1359"/>
      <c r="AJ413" s="1359"/>
    </row>
    <row r="414" spans="1:36" ht="12.9" customHeight="1">
      <c r="E414" s="270" t="s">
        <v>1979</v>
      </c>
      <c r="F414" s="29"/>
      <c r="G414" s="29"/>
      <c r="H414" s="29"/>
      <c r="I414" s="1355">
        <v>3.5</v>
      </c>
      <c r="J414" s="1355"/>
      <c r="K414" s="1355"/>
      <c r="L414" s="29"/>
      <c r="M414" s="270"/>
      <c r="N414" s="29"/>
      <c r="O414" s="29"/>
      <c r="P414" s="1308">
        <f>(CQ628+CS633+CQ647)/I414</f>
        <v>31.714285714285715</v>
      </c>
      <c r="Q414" s="1308"/>
      <c r="R414" s="1308"/>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098">
        <v>3</v>
      </c>
      <c r="Q417" s="1098"/>
      <c r="S417" t="s">
        <v>134</v>
      </c>
      <c r="AE417" s="1098">
        <v>2</v>
      </c>
      <c r="AF417" s="1098"/>
    </row>
    <row r="418" spans="1:36" ht="12.9" customHeight="1">
      <c r="E418" t="s">
        <v>135</v>
      </c>
      <c r="P418" s="1098">
        <v>1</v>
      </c>
      <c r="Q418" s="1098"/>
      <c r="S418" t="s">
        <v>726</v>
      </c>
      <c r="AE418" s="1098" t="s">
        <v>124</v>
      </c>
      <c r="AF418" s="1098"/>
    </row>
    <row r="419" spans="1:36" ht="12.9" customHeight="1">
      <c r="F419" s="36" t="s">
        <v>221</v>
      </c>
    </row>
    <row r="420" spans="1:36" ht="12.9" customHeight="1">
      <c r="F420" s="1353"/>
      <c r="G420" s="1353"/>
      <c r="H420" s="1353"/>
      <c r="I420" s="1353"/>
      <c r="J420" s="1353"/>
      <c r="K420" s="1353"/>
      <c r="L420" s="1353"/>
      <c r="M420" s="1353"/>
      <c r="N420" s="1353"/>
      <c r="O420" s="1353"/>
      <c r="P420" s="1353"/>
      <c r="Q420" s="1353"/>
      <c r="R420" s="1353"/>
      <c r="S420" s="1353"/>
      <c r="T420" s="1353"/>
      <c r="U420" s="1353"/>
      <c r="V420" s="1353"/>
      <c r="W420" s="1353"/>
      <c r="X420" s="1353"/>
      <c r="Y420" s="1353"/>
      <c r="Z420" s="1353"/>
      <c r="AA420" s="1353"/>
      <c r="AB420" s="1353"/>
      <c r="AC420" s="1353"/>
      <c r="AD420" s="1353"/>
      <c r="AE420" s="1353"/>
      <c r="AF420" s="1353"/>
      <c r="AG420" s="1353"/>
      <c r="AH420" s="1353"/>
    </row>
    <row r="421" spans="1:36" ht="12.9" customHeight="1">
      <c r="F421" s="1354"/>
      <c r="G421" s="1354"/>
      <c r="H421" s="1354"/>
      <c r="I421" s="1354"/>
      <c r="J421" s="1354"/>
      <c r="K421" s="1354"/>
      <c r="L421" s="1354"/>
      <c r="M421" s="1354"/>
      <c r="N421" s="1354"/>
      <c r="O421" s="1354"/>
      <c r="P421" s="1354"/>
      <c r="Q421" s="1354"/>
      <c r="R421" s="1354"/>
      <c r="S421" s="1354"/>
      <c r="T421" s="1354"/>
      <c r="U421" s="1354"/>
      <c r="V421" s="1354"/>
      <c r="W421" s="1354"/>
      <c r="X421" s="1354"/>
      <c r="Y421" s="1354"/>
      <c r="Z421" s="1354"/>
      <c r="AA421" s="1354"/>
      <c r="AB421" s="1354"/>
      <c r="AC421" s="1354"/>
      <c r="AD421" s="1354"/>
      <c r="AE421" s="1354"/>
      <c r="AF421" s="1354"/>
      <c r="AG421" s="1354"/>
      <c r="AH421" s="1354"/>
    </row>
    <row r="422" spans="1:36" ht="12.9" customHeight="1">
      <c r="E422" t="s">
        <v>858</v>
      </c>
      <c r="P422" s="1"/>
      <c r="Q422" s="1098" t="s">
        <v>108</v>
      </c>
      <c r="R422" s="1098"/>
      <c r="AE422" s="1"/>
      <c r="AF422" s="1"/>
    </row>
    <row r="423" spans="1:36" ht="12.9" customHeight="1">
      <c r="F423" t="s">
        <v>859</v>
      </c>
      <c r="P423" s="1"/>
      <c r="Q423" s="1"/>
      <c r="AE423" s="1098" t="s">
        <v>124</v>
      </c>
      <c r="AF423" s="1390"/>
    </row>
    <row r="424" spans="1:36" ht="12.9" customHeight="1"/>
    <row r="425" spans="1:36" ht="12.9" customHeight="1">
      <c r="A425" s="3"/>
      <c r="B425" s="3"/>
      <c r="C425" s="3"/>
      <c r="E425" s="5" t="s">
        <v>80</v>
      </c>
      <c r="Z425" s="1098" t="s">
        <v>482</v>
      </c>
      <c r="AA425" s="109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8" t="s">
        <v>124</v>
      </c>
      <c r="AA427" s="1098"/>
    </row>
    <row r="428" spans="1:36" ht="12.9" customHeight="1"/>
    <row r="429" spans="1:36" ht="12.9" customHeight="1">
      <c r="A429" s="3" t="s">
        <v>367</v>
      </c>
      <c r="B429" s="3"/>
      <c r="C429" s="3"/>
      <c r="D429" s="3" t="s">
        <v>172</v>
      </c>
      <c r="AF429" s="54"/>
    </row>
    <row r="430" spans="1:36" ht="12.9" customHeight="1">
      <c r="D430" s="1358" t="s">
        <v>356</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55</v>
      </c>
      <c r="AH430" s="1091"/>
      <c r="AI430" s="1091"/>
      <c r="AJ430" s="1091"/>
    </row>
    <row r="431" spans="1:36" ht="12.9" customHeight="1">
      <c r="D431" s="1307" t="s">
        <v>2273</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2">
        <v>0</v>
      </c>
      <c r="AH431" s="1563"/>
      <c r="AI431" s="1563"/>
      <c r="AJ431" s="1563"/>
    </row>
    <row r="432" spans="1:36" ht="12.9"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54</v>
      </c>
      <c r="AH432" s="1091"/>
      <c r="AI432" s="1091"/>
      <c r="AJ432" s="1091"/>
    </row>
    <row r="433" spans="4:36" ht="12.9"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54</v>
      </c>
      <c r="AH433" s="1091"/>
      <c r="AI433" s="1091"/>
      <c r="AJ433" s="1091"/>
    </row>
    <row r="434" spans="4:36" ht="12.9"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2.9"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49084</v>
      </c>
      <c r="AH435" s="1102"/>
      <c r="AI435" s="1102"/>
      <c r="AJ435" s="1102"/>
    </row>
    <row r="436" spans="4:36" ht="12.9"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49084</v>
      </c>
      <c r="AH436" s="1102"/>
      <c r="AI436" s="1102"/>
      <c r="AJ436" s="1102"/>
    </row>
    <row r="437" spans="4:36" ht="12.9"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2.9"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2.9" customHeight="1">
      <c r="D439" s="1307" t="s">
        <v>2111</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v>3759</v>
      </c>
      <c r="AH439" s="1102"/>
      <c r="AI439" s="1102"/>
      <c r="AJ439" s="1102"/>
    </row>
    <row r="440" spans="4:36" ht="12.9"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 customHeight="1">
      <c r="D441" s="1307"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15</v>
      </c>
      <c r="AH441" s="1102"/>
      <c r="AI441" s="1102"/>
      <c r="AJ441" s="1102"/>
    </row>
    <row r="442" spans="4:36" ht="12.9"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1">
        <f>AG435+AG439+AG441+AG442</f>
        <v>52858</v>
      </c>
      <c r="AH443" s="1351"/>
      <c r="AI443" s="1351"/>
      <c r="AJ443" s="1351"/>
    </row>
    <row r="444" spans="4:36" ht="12.9" customHeight="1">
      <c r="D444" s="1356" t="s">
        <v>1737</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6"/>
      <c r="AG444" s="1356"/>
      <c r="AH444" s="1356"/>
      <c r="AI444" s="1356"/>
      <c r="AJ444" s="1356"/>
    </row>
    <row r="445" spans="4:36" ht="12.9" customHeight="1">
      <c r="D445" s="1357"/>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7"/>
      <c r="AG445" s="1357"/>
      <c r="AH445" s="1357"/>
      <c r="AI445" s="1357"/>
      <c r="AJ445" s="1357"/>
    </row>
    <row r="446" spans="4:36" ht="12.9" customHeight="1">
      <c r="D446" s="1366"/>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6"/>
      <c r="AG446" s="1366"/>
      <c r="AH446" s="1366"/>
      <c r="AI446" s="1366"/>
      <c r="AJ446" s="1366"/>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544664.87272727268</v>
      </c>
      <c r="AD447" s="1336"/>
      <c r="AE447" s="1336"/>
      <c r="AF447" s="1336"/>
      <c r="AG447" s="1364"/>
      <c r="AH447" s="1364"/>
      <c r="AI447" s="1364"/>
      <c r="AJ447" s="1364"/>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544664.87272727268</v>
      </c>
      <c r="AD448" s="1336"/>
      <c r="AE448" s="1336"/>
      <c r="AF448" s="1336"/>
      <c r="AG448" s="1364"/>
      <c r="AH448" s="1364"/>
      <c r="AI448" s="1364"/>
      <c r="AJ448" s="1364"/>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424815.70909090911</v>
      </c>
      <c r="AD449" s="1336"/>
      <c r="AE449" s="1336"/>
      <c r="AF449" s="1336"/>
      <c r="AG449" s="362"/>
      <c r="AH449" s="362"/>
      <c r="AI449" s="362"/>
      <c r="AJ449" s="362"/>
    </row>
    <row r="450" spans="1:38" ht="12.9"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 customHeight="1">
      <c r="A464" s="41"/>
      <c r="B464" s="41"/>
      <c r="C464" s="41"/>
      <c r="D464" s="1345"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 customHeight="1">
      <c r="A466" s="557"/>
      <c r="B466" s="557"/>
      <c r="C466" s="557"/>
      <c r="D466" s="1345"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 customHeight="1">
      <c r="A467" s="557"/>
      <c r="B467" s="557"/>
      <c r="C467" s="557"/>
      <c r="D467" s="1095" t="s">
        <v>2282</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59"/>
      <c r="H469" s="1560"/>
      <c r="I469" s="1560"/>
      <c r="J469" s="1560"/>
      <c r="K469" s="1560"/>
      <c r="L469" s="1560"/>
      <c r="M469" s="1560"/>
      <c r="N469" s="1560"/>
      <c r="O469" s="1560"/>
      <c r="P469" s="1560"/>
      <c r="Q469" s="1560"/>
      <c r="R469" s="1560"/>
      <c r="S469" s="1560"/>
      <c r="T469" s="1560"/>
      <c r="U469" s="1560"/>
      <c r="V469" s="1561"/>
      <c r="W469" s="1104">
        <v>0</v>
      </c>
      <c r="X469" s="1105"/>
      <c r="Y469" s="110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6" t="s">
        <v>238</v>
      </c>
      <c r="R481" s="1347"/>
      <c r="S481" s="1347"/>
      <c r="T481" s="1347"/>
      <c r="U481" s="1347"/>
      <c r="V481" s="1347"/>
      <c r="W481" s="1347"/>
      <c r="X481" s="1347"/>
      <c r="Y481" s="1347"/>
      <c r="Z481" s="1347"/>
      <c r="AA481" s="1347"/>
      <c r="AB481" s="1347"/>
      <c r="AC481" s="1347"/>
      <c r="AD481" s="1347"/>
      <c r="AE481" s="1347"/>
      <c r="AF481" s="1347"/>
      <c r="AG481" s="1347"/>
      <c r="AH481" s="1347"/>
      <c r="AI481" s="1347"/>
      <c r="AJ481" s="1347"/>
      <c r="AK481" s="13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4" t="s">
        <v>2441</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4" t="s">
        <v>2441</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4" t="s">
        <v>2441</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39" t="s">
        <v>242</v>
      </c>
      <c r="C485" s="1340"/>
      <c r="D485" s="1340"/>
      <c r="E485" s="1340"/>
      <c r="F485" s="1340"/>
      <c r="G485" s="1340"/>
      <c r="H485" s="1340"/>
      <c r="I485" s="1340"/>
      <c r="J485" s="1340"/>
      <c r="K485" s="1340"/>
      <c r="L485" s="1340"/>
      <c r="M485" s="1340"/>
      <c r="N485" s="1340"/>
      <c r="O485" s="1340"/>
      <c r="P485" s="1341"/>
      <c r="Q485" s="1311" t="s">
        <v>482</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2"/>
      <c r="C486" s="1343"/>
      <c r="D486" s="1343"/>
      <c r="E486" s="1343"/>
      <c r="F486" s="1343"/>
      <c r="G486" s="1343"/>
      <c r="H486" s="1343"/>
      <c r="I486" s="1343"/>
      <c r="J486" s="1343"/>
      <c r="K486" s="1343"/>
      <c r="L486" s="1343"/>
      <c r="M486" s="1343"/>
      <c r="N486" s="1343"/>
      <c r="O486" s="1343"/>
      <c r="P486" s="1344"/>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321"/>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4">
        <v>0</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4">
        <v>4.2361111111111106E-2</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24">
        <v>81</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26"/>
      <c r="N491" s="1327"/>
      <c r="O491" s="1327"/>
      <c r="P491" s="1328"/>
      <c r="Q491" s="214" t="s">
        <v>1984</v>
      </c>
      <c r="R491" s="9"/>
      <c r="S491" s="9"/>
      <c r="T491" s="9"/>
      <c r="U491" s="9"/>
      <c r="V491" s="9"/>
      <c r="W491" s="9"/>
      <c r="X491" s="9"/>
      <c r="Y491" s="9"/>
      <c r="Z491" s="9"/>
      <c r="AA491" s="9"/>
      <c r="AB491" s="9"/>
      <c r="AC491" s="9"/>
      <c r="AD491" s="9"/>
      <c r="AE491" s="9"/>
      <c r="AF491" s="9"/>
      <c r="AG491" s="9"/>
      <c r="AH491" s="1326">
        <v>81</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6" t="s">
        <v>246</v>
      </c>
      <c r="AD495" s="1347"/>
      <c r="AE495" s="1347"/>
      <c r="AF495" s="1347"/>
      <c r="AG495" s="1347"/>
      <c r="AH495" s="1347"/>
      <c r="AI495" s="1347"/>
      <c r="AJ495" s="1347"/>
      <c r="AK495" s="136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6" t="s">
        <v>247</v>
      </c>
      <c r="AD496" s="1347"/>
      <c r="AE496" s="1347"/>
      <c r="AF496" s="1347"/>
      <c r="AG496" s="56" t="s">
        <v>248</v>
      </c>
      <c r="AH496" s="1347" t="s">
        <v>249</v>
      </c>
      <c r="AI496" s="1347"/>
      <c r="AJ496" s="1347"/>
      <c r="AK496" s="136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7" t="s">
        <v>250</v>
      </c>
      <c r="C497" s="1298"/>
      <c r="D497" s="1298"/>
      <c r="E497" s="1298"/>
      <c r="F497" s="1298"/>
      <c r="G497" s="1298"/>
      <c r="H497" s="1299"/>
      <c r="I497" s="7" t="s">
        <v>671</v>
      </c>
      <c r="J497" s="7"/>
      <c r="K497" s="7"/>
      <c r="L497" s="7"/>
      <c r="M497" s="7"/>
      <c r="N497" s="7"/>
      <c r="O497" s="7"/>
      <c r="P497" s="7"/>
      <c r="Q497" s="7"/>
      <c r="R497" s="7"/>
      <c r="S497" s="7"/>
      <c r="T497" s="7"/>
      <c r="U497" s="7"/>
      <c r="V497" s="7"/>
      <c r="W497" s="7"/>
      <c r="AC497" s="1296" t="s">
        <v>124</v>
      </c>
      <c r="AD497" s="1101"/>
      <c r="AE497" s="1101"/>
      <c r="AF497" s="1101"/>
      <c r="AG497" s="18" t="s">
        <v>248</v>
      </c>
      <c r="AH497" s="1056">
        <v>0</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0"/>
      <c r="C498" s="1301"/>
      <c r="D498" s="1301"/>
      <c r="E498" s="1301"/>
      <c r="F498" s="1301"/>
      <c r="G498" s="1301"/>
      <c r="H498" s="1302"/>
      <c r="I498" s="54" t="s">
        <v>672</v>
      </c>
      <c r="J498" s="54"/>
      <c r="K498" s="54"/>
      <c r="L498" s="54"/>
      <c r="M498" s="54"/>
      <c r="N498" s="54"/>
      <c r="O498" s="54"/>
      <c r="P498" s="54"/>
      <c r="Q498" s="54"/>
      <c r="R498" s="54"/>
      <c r="S498" s="54"/>
      <c r="T498" s="54"/>
      <c r="U498" s="54"/>
      <c r="V498" s="54"/>
      <c r="W498" s="54"/>
      <c r="X498" s="54"/>
      <c r="Y498" s="54"/>
      <c r="Z498" s="54"/>
      <c r="AA498" s="54"/>
      <c r="AB498" s="54"/>
      <c r="AC498" s="1296">
        <v>6</v>
      </c>
      <c r="AD498" s="1101"/>
      <c r="AE498" s="1101"/>
      <c r="AF498" s="1101"/>
      <c r="AG498" s="47" t="s">
        <v>248</v>
      </c>
      <c r="AH498" s="1056">
        <v>2021</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7" t="s">
        <v>673</v>
      </c>
      <c r="C499" s="1298"/>
      <c r="D499" s="1298"/>
      <c r="E499" s="1298"/>
      <c r="F499" s="1298"/>
      <c r="G499" s="1298"/>
      <c r="H499" s="1299"/>
      <c r="I499" s="7" t="s">
        <v>674</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0"/>
      <c r="C500" s="1301"/>
      <c r="D500" s="1301"/>
      <c r="E500" s="1301"/>
      <c r="F500" s="1301"/>
      <c r="G500" s="1301"/>
      <c r="H500" s="1302"/>
      <c r="I500" t="s">
        <v>675</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0"/>
      <c r="C501" s="1301"/>
      <c r="D501" s="1301"/>
      <c r="E501" s="1301"/>
      <c r="F501" s="1301"/>
      <c r="G501" s="1301"/>
      <c r="H501" s="1302"/>
      <c r="I501" t="s">
        <v>676</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0"/>
      <c r="C502" s="1301"/>
      <c r="D502" s="1301"/>
      <c r="E502" s="1301"/>
      <c r="F502" s="1301"/>
      <c r="G502" s="1301"/>
      <c r="H502" s="1302"/>
      <c r="I502" t="s">
        <v>677</v>
      </c>
      <c r="AC502" s="1296">
        <v>4</v>
      </c>
      <c r="AD502" s="1101"/>
      <c r="AE502" s="1101"/>
      <c r="AF502" s="1101"/>
      <c r="AG502" s="18" t="s">
        <v>248</v>
      </c>
      <c r="AH502" s="1056">
        <v>2025</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0"/>
      <c r="C503" s="1301"/>
      <c r="D503" s="1301"/>
      <c r="E503" s="1301"/>
      <c r="F503" s="1301"/>
      <c r="G503" s="1301"/>
      <c r="H503" s="1302"/>
      <c r="I503" s="41" t="s">
        <v>678</v>
      </c>
      <c r="AC503" s="1331">
        <v>4</v>
      </c>
      <c r="AD503" s="1332"/>
      <c r="AE503" s="1332"/>
      <c r="AF503" s="1332"/>
      <c r="AG503" s="18" t="s">
        <v>248</v>
      </c>
      <c r="AH503" s="1056">
        <v>2025</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0"/>
      <c r="C504" s="1301"/>
      <c r="D504" s="1301"/>
      <c r="E504" s="1301"/>
      <c r="F504" s="1301"/>
      <c r="G504" s="1301"/>
      <c r="H504" s="1302"/>
      <c r="I504" s="410" t="s">
        <v>283</v>
      </c>
      <c r="J504" s="54"/>
      <c r="K504" s="54"/>
      <c r="L504" s="1293" t="s">
        <v>562</v>
      </c>
      <c r="M504" s="1294"/>
      <c r="N504" s="1294"/>
      <c r="O504" s="1294"/>
      <c r="P504" s="1294"/>
      <c r="Q504" s="1294"/>
      <c r="R504" s="1294"/>
      <c r="S504" s="1294"/>
      <c r="T504" s="1294"/>
      <c r="U504" s="1294"/>
      <c r="V504" s="1294"/>
      <c r="W504" s="1294"/>
      <c r="X504" s="1294"/>
      <c r="Y504" s="1294"/>
      <c r="Z504" s="1294"/>
      <c r="AA504" s="1294"/>
      <c r="AB504" s="1558"/>
      <c r="AC504" s="1392" t="s">
        <v>124</v>
      </c>
      <c r="AD504" s="1393"/>
      <c r="AE504" s="1393"/>
      <c r="AF504" s="1393"/>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0"/>
      <c r="C505" s="1301"/>
      <c r="D505" s="1301"/>
      <c r="E505" s="1301"/>
      <c r="F505" s="1301"/>
      <c r="G505" s="1301"/>
      <c r="H505" s="1302"/>
      <c r="I505" s="41" t="s">
        <v>1985</v>
      </c>
      <c r="AC505" s="1391" t="s">
        <v>482</v>
      </c>
      <c r="AD505" s="1391"/>
      <c r="AE505" s="1391"/>
      <c r="AF505" s="1391"/>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0"/>
      <c r="C506" s="1301"/>
      <c r="D506" s="1301"/>
      <c r="E506" s="1301"/>
      <c r="F506" s="1301"/>
      <c r="G506" s="1301"/>
      <c r="H506" s="1302"/>
      <c r="I506" t="s">
        <v>1986</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0"/>
      <c r="C507" s="1301"/>
      <c r="D507" s="1301"/>
      <c r="E507" s="1301"/>
      <c r="F507" s="1301"/>
      <c r="G507" s="1301"/>
      <c r="H507" s="1302"/>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0"/>
      <c r="C508" s="1301"/>
      <c r="D508" s="1301"/>
      <c r="E508" s="1301"/>
      <c r="F508" s="1301"/>
      <c r="G508" s="1301"/>
      <c r="H508" s="1302"/>
      <c r="I508" s="838" t="s">
        <v>1988</v>
      </c>
      <c r="J508" s="54"/>
      <c r="K508" s="54"/>
      <c r="L508" s="54"/>
      <c r="M508" s="54"/>
      <c r="N508" s="54"/>
      <c r="O508" s="54"/>
      <c r="P508" s="54"/>
      <c r="Q508" s="54"/>
      <c r="R508" s="54"/>
      <c r="S508" s="54"/>
      <c r="T508" s="54"/>
      <c r="U508" s="54"/>
      <c r="V508" s="54"/>
      <c r="W508" s="54"/>
      <c r="X508" s="54"/>
      <c r="Y508" s="54"/>
      <c r="Z508" s="54"/>
      <c r="AA508" s="54"/>
      <c r="AB508" s="54"/>
      <c r="AC508" s="1348">
        <v>0.5</v>
      </c>
      <c r="AD508" s="1349"/>
      <c r="AE508" s="1349"/>
      <c r="AF508" s="1350"/>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7" t="s">
        <v>679</v>
      </c>
      <c r="C509" s="1298"/>
      <c r="D509" s="1298"/>
      <c r="E509" s="1298"/>
      <c r="F509" s="1298"/>
      <c r="G509" s="1298"/>
      <c r="H509" s="1299"/>
      <c r="I509" s="7" t="s">
        <v>680</v>
      </c>
      <c r="J509" s="7"/>
      <c r="K509" s="7"/>
      <c r="L509" s="7"/>
      <c r="M509" s="7"/>
      <c r="N509" s="7"/>
      <c r="O509" s="7"/>
      <c r="P509" s="7"/>
      <c r="Q509" s="7"/>
      <c r="R509" s="7"/>
      <c r="S509" s="7"/>
      <c r="T509" s="7"/>
      <c r="U509" s="7"/>
      <c r="V509" s="7"/>
      <c r="W509" s="7"/>
      <c r="AC509" s="1296">
        <v>6</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0"/>
      <c r="C510" s="1301"/>
      <c r="D510" s="1301"/>
      <c r="E510" s="1301"/>
      <c r="F510" s="1301"/>
      <c r="G510" s="1301"/>
      <c r="H510" s="1302"/>
      <c r="I510" t="s">
        <v>681</v>
      </c>
      <c r="AC510" s="1296">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0"/>
      <c r="C511" s="1301"/>
      <c r="D511" s="1301"/>
      <c r="E511" s="1301"/>
      <c r="F511" s="1301"/>
      <c r="G511" s="1301"/>
      <c r="H511" s="1302"/>
      <c r="I511" s="54" t="s">
        <v>682</v>
      </c>
      <c r="J511" s="54"/>
      <c r="K511" s="54"/>
      <c r="L511" s="54"/>
      <c r="M511" s="54"/>
      <c r="N511" s="54"/>
      <c r="O511" s="54"/>
      <c r="P511" s="54"/>
      <c r="Q511" s="54"/>
      <c r="R511" s="54"/>
      <c r="S511" s="54"/>
      <c r="T511" s="54"/>
      <c r="U511" s="54"/>
      <c r="V511" s="54"/>
      <c r="W511" s="54"/>
      <c r="X511" s="54"/>
      <c r="Y511" s="54"/>
      <c r="Z511" s="54"/>
      <c r="AA511" s="54"/>
      <c r="AB511" s="54"/>
      <c r="AC511" s="1296">
        <v>4</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7" t="s">
        <v>683</v>
      </c>
      <c r="C512" s="1298"/>
      <c r="D512" s="1298"/>
      <c r="E512" s="1298"/>
      <c r="F512" s="1298"/>
      <c r="G512" s="1298"/>
      <c r="H512" s="1299"/>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0"/>
      <c r="C513" s="1301"/>
      <c r="D513" s="1301"/>
      <c r="E513" s="1301"/>
      <c r="F513" s="1301"/>
      <c r="G513" s="1301"/>
      <c r="H513" s="1302"/>
      <c r="I513" t="s">
        <v>681</v>
      </c>
      <c r="AC513" s="1296">
        <v>6</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3"/>
      <c r="C514" s="1304"/>
      <c r="D514" s="1304"/>
      <c r="E514" s="1304"/>
      <c r="F514" s="1304"/>
      <c r="G514" s="1304"/>
      <c r="H514" s="1305"/>
      <c r="I514" s="54" t="s">
        <v>682</v>
      </c>
      <c r="J514" s="54"/>
      <c r="K514" s="54"/>
      <c r="L514" s="54"/>
      <c r="M514" s="54"/>
      <c r="N514" s="54"/>
      <c r="O514" s="54"/>
      <c r="P514" s="54"/>
      <c r="Q514" s="54"/>
      <c r="R514" s="54"/>
      <c r="S514" s="54"/>
      <c r="T514" s="54"/>
      <c r="U514" s="54"/>
      <c r="V514" s="54"/>
      <c r="W514" s="54"/>
      <c r="X514" s="54"/>
      <c r="Y514" s="54"/>
      <c r="Z514" s="54"/>
      <c r="AA514" s="54"/>
      <c r="AB514" s="54"/>
      <c r="AC514" s="1296">
        <v>4</v>
      </c>
      <c r="AD514" s="1101"/>
      <c r="AE514" s="1101"/>
      <c r="AF514" s="1101"/>
      <c r="AG514" s="47" t="s">
        <v>248</v>
      </c>
      <c r="AH514" s="1056">
        <v>2025</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7" t="s">
        <v>684</v>
      </c>
      <c r="C515" s="1298"/>
      <c r="D515" s="1298"/>
      <c r="E515" s="1298"/>
      <c r="F515" s="1298"/>
      <c r="G515" s="1298"/>
      <c r="H515" s="1299"/>
      <c r="I515" s="6" t="s">
        <v>685</v>
      </c>
      <c r="J515" s="7"/>
      <c r="K515" s="7"/>
      <c r="L515" s="7"/>
      <c r="M515" s="7"/>
      <c r="N515" s="7"/>
      <c r="O515" s="1293" t="s">
        <v>2442</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0"/>
      <c r="C516" s="1301"/>
      <c r="D516" s="1301"/>
      <c r="E516" s="1301"/>
      <c r="F516" s="1301"/>
      <c r="G516" s="1301"/>
      <c r="H516" s="1302"/>
      <c r="I516" s="204" t="s">
        <v>686</v>
      </c>
      <c r="AB516" s="71"/>
      <c r="AC516" s="1296">
        <v>1</v>
      </c>
      <c r="AD516" s="1101"/>
      <c r="AE516" s="1101"/>
      <c r="AF516" s="1101"/>
      <c r="AG516" s="18" t="s">
        <v>248</v>
      </c>
      <c r="AH516" s="1056">
        <v>2022</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0"/>
      <c r="C517" s="1301"/>
      <c r="D517" s="1301"/>
      <c r="E517" s="1301"/>
      <c r="F517" s="1301"/>
      <c r="G517" s="1301"/>
      <c r="H517" s="1302"/>
      <c r="I517" s="53" t="s">
        <v>687</v>
      </c>
      <c r="J517" s="54"/>
      <c r="K517" s="54"/>
      <c r="L517" s="54"/>
      <c r="M517" s="54"/>
      <c r="N517" s="54"/>
      <c r="O517" s="54"/>
      <c r="P517" s="54"/>
      <c r="Q517" s="54"/>
      <c r="R517" s="54"/>
      <c r="S517" s="54"/>
      <c r="T517" s="54"/>
      <c r="U517" s="54"/>
      <c r="V517" s="54"/>
      <c r="W517" s="54"/>
      <c r="X517" s="54"/>
      <c r="Y517" s="54"/>
      <c r="Z517" s="54"/>
      <c r="AA517" s="54"/>
      <c r="AB517" s="55"/>
      <c r="AC517" s="1296">
        <v>6</v>
      </c>
      <c r="AD517" s="1101"/>
      <c r="AE517" s="1101"/>
      <c r="AF517" s="1101"/>
      <c r="AG517" s="47" t="s">
        <v>248</v>
      </c>
      <c r="AH517" s="1056">
        <v>2022</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0"/>
      <c r="C518" s="1301"/>
      <c r="D518" s="1301"/>
      <c r="E518" s="1301"/>
      <c r="F518" s="1301"/>
      <c r="G518" s="1301"/>
      <c r="H518" s="1302"/>
      <c r="I518" s="7" t="s">
        <v>688</v>
      </c>
      <c r="J518" s="7"/>
      <c r="K518" s="7"/>
      <c r="L518" s="7"/>
      <c r="M518" s="7"/>
      <c r="N518" s="7"/>
      <c r="O518" s="1293" t="s">
        <v>2443</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0"/>
      <c r="C519" s="1301"/>
      <c r="D519" s="1301"/>
      <c r="E519" s="1301"/>
      <c r="F519" s="1301"/>
      <c r="G519" s="1301"/>
      <c r="H519" s="1302"/>
      <c r="I519" t="s">
        <v>686</v>
      </c>
      <c r="AC519" s="1296">
        <v>6</v>
      </c>
      <c r="AD519" s="1101"/>
      <c r="AE519" s="1101"/>
      <c r="AF519" s="1101"/>
      <c r="AG519" s="18" t="s">
        <v>248</v>
      </c>
      <c r="AH519" s="1056">
        <v>2024</v>
      </c>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0"/>
      <c r="C520" s="1301"/>
      <c r="D520" s="1301"/>
      <c r="E520" s="1301"/>
      <c r="F520" s="1301"/>
      <c r="G520" s="1301"/>
      <c r="H520" s="1302"/>
      <c r="I520" s="54" t="s">
        <v>687</v>
      </c>
      <c r="J520" s="54"/>
      <c r="K520" s="54"/>
      <c r="L520" s="54"/>
      <c r="M520" s="54"/>
      <c r="N520" s="54"/>
      <c r="O520" s="54"/>
      <c r="P520" s="54"/>
      <c r="Q520" s="54"/>
      <c r="R520" s="54"/>
      <c r="S520" s="54"/>
      <c r="T520" s="54"/>
      <c r="U520" s="54"/>
      <c r="V520" s="54"/>
      <c r="W520" s="54"/>
      <c r="X520" s="54"/>
      <c r="Y520" s="54"/>
      <c r="Z520" s="54"/>
      <c r="AA520" s="54"/>
      <c r="AB520" s="54"/>
      <c r="AC520" s="1296">
        <v>6</v>
      </c>
      <c r="AD520" s="1101"/>
      <c r="AE520" s="1101"/>
      <c r="AF520" s="1101"/>
      <c r="AG520" s="47" t="s">
        <v>248</v>
      </c>
      <c r="AH520" s="1056">
        <v>2024</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0"/>
      <c r="C521" s="1301"/>
      <c r="D521" s="1301"/>
      <c r="E521" s="1301"/>
      <c r="F521" s="1301"/>
      <c r="G521" s="1301"/>
      <c r="H521" s="1302"/>
      <c r="I521" s="7" t="s">
        <v>688</v>
      </c>
      <c r="J521" s="7"/>
      <c r="K521" s="7"/>
      <c r="L521" s="7"/>
      <c r="M521" s="7"/>
      <c r="N521" s="7"/>
      <c r="O521" s="1293" t="s">
        <v>562</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0"/>
      <c r="C522" s="1301"/>
      <c r="D522" s="1301"/>
      <c r="E522" s="1301"/>
      <c r="F522" s="1301"/>
      <c r="G522" s="1301"/>
      <c r="H522" s="1302"/>
      <c r="I522" t="s">
        <v>686</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0"/>
      <c r="C523" s="1301"/>
      <c r="D523" s="1301"/>
      <c r="E523" s="1301"/>
      <c r="F523" s="1301"/>
      <c r="G523" s="1301"/>
      <c r="H523" s="1302"/>
      <c r="I523" s="54" t="s">
        <v>687</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0"/>
      <c r="C524" s="1301"/>
      <c r="D524" s="1301"/>
      <c r="E524" s="1301"/>
      <c r="F524" s="1301"/>
      <c r="G524" s="1301"/>
      <c r="H524" s="1302"/>
      <c r="I524" s="7" t="s">
        <v>688</v>
      </c>
      <c r="J524" s="7"/>
      <c r="K524" s="7"/>
      <c r="L524" s="7"/>
      <c r="M524" s="7"/>
      <c r="N524" s="7"/>
      <c r="O524" s="1293" t="s">
        <v>562</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0"/>
      <c r="C525" s="1301"/>
      <c r="D525" s="1301"/>
      <c r="E525" s="1301"/>
      <c r="F525" s="1301"/>
      <c r="G525" s="1301"/>
      <c r="H525" s="1302"/>
      <c r="I525" t="s">
        <v>686</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0"/>
      <c r="C526" s="1301"/>
      <c r="D526" s="1301"/>
      <c r="E526" s="1301"/>
      <c r="F526" s="1301"/>
      <c r="G526" s="1301"/>
      <c r="H526" s="1302"/>
      <c r="I526" s="54" t="s">
        <v>687</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0"/>
      <c r="C527" s="1301"/>
      <c r="D527" s="1301"/>
      <c r="E527" s="1301"/>
      <c r="F527" s="1301"/>
      <c r="G527" s="1301"/>
      <c r="H527" s="1302"/>
      <c r="I527" s="7" t="s">
        <v>688</v>
      </c>
      <c r="J527" s="7"/>
      <c r="K527" s="7"/>
      <c r="L527" s="7"/>
      <c r="M527" s="7"/>
      <c r="N527" s="7"/>
      <c r="O527" s="1293" t="s">
        <v>562</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0"/>
      <c r="C528" s="1301"/>
      <c r="D528" s="1301"/>
      <c r="E528" s="1301"/>
      <c r="F528" s="1301"/>
      <c r="G528" s="1301"/>
      <c r="H528" s="1302"/>
      <c r="I528" t="s">
        <v>686</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0"/>
      <c r="C529" s="1301"/>
      <c r="D529" s="1301"/>
      <c r="E529" s="1301"/>
      <c r="F529" s="1301"/>
      <c r="G529" s="1301"/>
      <c r="H529" s="1302"/>
      <c r="I529" s="54" t="s">
        <v>687</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0"/>
      <c r="C530" s="1301"/>
      <c r="D530" s="1301"/>
      <c r="E530" s="1301"/>
      <c r="F530" s="1301"/>
      <c r="G530" s="1301"/>
      <c r="H530" s="1302"/>
      <c r="I530" s="7" t="s">
        <v>688</v>
      </c>
      <c r="J530" s="7"/>
      <c r="K530" s="7"/>
      <c r="L530" s="7"/>
      <c r="M530" s="7"/>
      <c r="N530" s="7"/>
      <c r="O530" s="1293" t="s">
        <v>562</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0"/>
      <c r="C531" s="1301"/>
      <c r="D531" s="1301"/>
      <c r="E531" s="1301"/>
      <c r="F531" s="1301"/>
      <c r="G531" s="1301"/>
      <c r="H531" s="1302"/>
      <c r="I531" t="s">
        <v>686</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0"/>
      <c r="C532" s="1301"/>
      <c r="D532" s="1301"/>
      <c r="E532" s="1301"/>
      <c r="F532" s="1301"/>
      <c r="G532" s="1301"/>
      <c r="H532" s="1302"/>
      <c r="I532" s="54" t="s">
        <v>687</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0"/>
      <c r="C533" s="1301"/>
      <c r="D533" s="1301"/>
      <c r="E533" s="1301"/>
      <c r="F533" s="1301"/>
      <c r="G533" s="1301"/>
      <c r="H533" s="1302"/>
      <c r="I533" s="7" t="s">
        <v>735</v>
      </c>
      <c r="J533" s="7"/>
      <c r="K533" s="7"/>
      <c r="L533" s="7"/>
      <c r="M533" s="7"/>
      <c r="N533" s="7"/>
      <c r="O533" s="7"/>
      <c r="P533" s="7"/>
      <c r="Q533" s="7"/>
      <c r="R533" s="7"/>
      <c r="S533" s="7"/>
      <c r="T533" s="7"/>
      <c r="U533" s="7"/>
      <c r="V533" s="7"/>
      <c r="W533" s="7"/>
      <c r="AC533" s="1296">
        <v>4</v>
      </c>
      <c r="AD533" s="1101"/>
      <c r="AE533" s="1101"/>
      <c r="AF533" s="1101"/>
      <c r="AG533" s="47" t="s">
        <v>248</v>
      </c>
      <c r="AH533" s="1056">
        <v>2026</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0"/>
      <c r="C534" s="1301"/>
      <c r="D534" s="1301"/>
      <c r="E534" s="1301"/>
      <c r="F534" s="1301"/>
      <c r="G534" s="1301"/>
      <c r="H534" s="1302"/>
      <c r="I534" t="s">
        <v>736</v>
      </c>
      <c r="AC534" s="1296">
        <v>4</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0"/>
      <c r="C535" s="1301"/>
      <c r="D535" s="1301"/>
      <c r="E535" s="1301"/>
      <c r="F535" s="1301"/>
      <c r="G535" s="1301"/>
      <c r="H535" s="1302"/>
      <c r="I535" t="s">
        <v>737</v>
      </c>
      <c r="AC535" s="1296">
        <v>10</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0"/>
      <c r="C536" s="1301"/>
      <c r="D536" s="1301"/>
      <c r="E536" s="1301"/>
      <c r="F536" s="1301"/>
      <c r="G536" s="1301"/>
      <c r="H536" s="1302"/>
      <c r="I536" t="s">
        <v>738</v>
      </c>
      <c r="AC536" s="1296">
        <v>11</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3"/>
      <c r="C537" s="1304"/>
      <c r="D537" s="1304"/>
      <c r="E537" s="1304"/>
      <c r="F537" s="1304"/>
      <c r="G537" s="1304"/>
      <c r="H537" s="1305"/>
      <c r="I537" s="54" t="s">
        <v>1365</v>
      </c>
      <c r="J537" s="54"/>
      <c r="K537" s="54"/>
      <c r="L537" s="54"/>
      <c r="M537" s="54"/>
      <c r="N537" s="54"/>
      <c r="O537" s="54"/>
      <c r="P537" s="54"/>
      <c r="Q537" s="54"/>
      <c r="R537" s="54"/>
      <c r="S537" s="54"/>
      <c r="T537" s="54"/>
      <c r="U537" s="54"/>
      <c r="V537" s="54"/>
      <c r="W537" s="54"/>
      <c r="X537" s="54"/>
      <c r="Y537" s="54"/>
      <c r="Z537" s="54"/>
      <c r="AA537" s="54"/>
      <c r="AB537" s="54"/>
      <c r="AC537" s="1296">
        <v>12</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7" t="s">
        <v>2194</v>
      </c>
      <c r="C546" s="1298"/>
      <c r="D546" s="1298"/>
      <c r="E546" s="1298"/>
      <c r="F546" s="1298"/>
      <c r="G546" s="1298"/>
      <c r="H546" s="1298"/>
      <c r="I546" s="1298"/>
      <c r="J546" s="1298"/>
      <c r="K546" s="1298"/>
      <c r="L546" s="1298"/>
      <c r="M546" s="1407" t="s">
        <v>2168</v>
      </c>
      <c r="N546" s="1407"/>
      <c r="O546" s="1407"/>
      <c r="P546" s="1407"/>
      <c r="Q546" s="1297" t="s">
        <v>440</v>
      </c>
      <c r="R546" s="1298"/>
      <c r="S546" s="1299"/>
      <c r="T546" s="1297" t="s">
        <v>1989</v>
      </c>
      <c r="U546" s="1298"/>
      <c r="V546" s="1299"/>
      <c r="W546" s="1297" t="s">
        <v>740</v>
      </c>
      <c r="X546" s="1298"/>
      <c r="Y546" s="1299"/>
      <c r="Z546" s="1297" t="s">
        <v>1991</v>
      </c>
      <c r="AA546" s="1298"/>
      <c r="AB546" s="1298"/>
      <c r="AC546" s="1298"/>
      <c r="AD546" s="1299"/>
      <c r="AE546" s="1297" t="s">
        <v>1990</v>
      </c>
      <c r="AF546" s="1298"/>
      <c r="AG546" s="1298"/>
      <c r="AH546" s="1299"/>
      <c r="AI546" s="1297" t="s">
        <v>1992</v>
      </c>
      <c r="AJ546" s="1298"/>
      <c r="AK546" s="1298"/>
      <c r="AL546" s="1299"/>
      <c r="AM546" s="1297" t="s">
        <v>741</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0"/>
      <c r="C547" s="1301"/>
      <c r="D547" s="1301"/>
      <c r="E547" s="1301"/>
      <c r="F547" s="1301"/>
      <c r="G547" s="1301"/>
      <c r="H547" s="1301"/>
      <c r="I547" s="1301"/>
      <c r="J547" s="1301"/>
      <c r="K547" s="1301"/>
      <c r="L547" s="1301"/>
      <c r="M547" s="1407"/>
      <c r="N547" s="1407"/>
      <c r="O547" s="1407"/>
      <c r="P547" s="1407"/>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3"/>
      <c r="C548" s="1304"/>
      <c r="D548" s="1304"/>
      <c r="E548" s="1304"/>
      <c r="F548" s="1304"/>
      <c r="G548" s="1304"/>
      <c r="H548" s="1304"/>
      <c r="I548" s="1304"/>
      <c r="J548" s="1304"/>
      <c r="K548" s="1304"/>
      <c r="L548" s="1304"/>
      <c r="M548" s="1407"/>
      <c r="N548" s="1407"/>
      <c r="O548" s="1407"/>
      <c r="P548" s="1407"/>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405" t="s">
        <v>2444</v>
      </c>
      <c r="D549" s="1405"/>
      <c r="E549" s="1405"/>
      <c r="F549" s="1405"/>
      <c r="G549" s="1405"/>
      <c r="H549" s="1405"/>
      <c r="I549" s="1405"/>
      <c r="J549" s="1405"/>
      <c r="K549" s="1405"/>
      <c r="L549" s="1405"/>
      <c r="M549" s="1295" t="s">
        <v>2183</v>
      </c>
      <c r="N549" s="1295"/>
      <c r="O549" s="1295"/>
      <c r="P549" s="1295"/>
      <c r="Q549" s="1281">
        <v>25</v>
      </c>
      <c r="R549" s="1281"/>
      <c r="S549" s="1282"/>
      <c r="T549" s="1280">
        <v>25</v>
      </c>
      <c r="U549" s="1281"/>
      <c r="V549" s="1282"/>
      <c r="W549" s="1283">
        <v>7.85E-2</v>
      </c>
      <c r="X549" s="1284"/>
      <c r="Y549" s="1285"/>
      <c r="Z549" s="1289" t="s">
        <v>2445</v>
      </c>
      <c r="AA549" s="1289"/>
      <c r="AB549" s="1289"/>
      <c r="AC549" s="1289"/>
      <c r="AD549" s="1289"/>
      <c r="AE549" s="1290"/>
      <c r="AF549" s="1291"/>
      <c r="AG549" s="1291"/>
      <c r="AH549" s="1292"/>
      <c r="AI549" s="1286"/>
      <c r="AJ549" s="1287"/>
      <c r="AK549" s="1287"/>
      <c r="AL549" s="1288"/>
      <c r="AM549" s="1199">
        <v>25667690</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405" t="s">
        <v>2446</v>
      </c>
      <c r="D550" s="1405"/>
      <c r="E550" s="1405"/>
      <c r="F550" s="1405"/>
      <c r="G550" s="1405"/>
      <c r="H550" s="1405"/>
      <c r="I550" s="1405"/>
      <c r="J550" s="1405"/>
      <c r="K550" s="1405"/>
      <c r="L550" s="1405"/>
      <c r="M550" s="1295" t="s">
        <v>2175</v>
      </c>
      <c r="N550" s="1295"/>
      <c r="O550" s="1295"/>
      <c r="P550" s="1295"/>
      <c r="Q550" s="1280"/>
      <c r="R550" s="1281"/>
      <c r="S550" s="1282"/>
      <c r="T550" s="1280"/>
      <c r="U550" s="1281"/>
      <c r="V550" s="1282"/>
      <c r="W550" s="1283"/>
      <c r="X550" s="1284"/>
      <c r="Y550" s="1285"/>
      <c r="Z550" s="1289" t="s">
        <v>1977</v>
      </c>
      <c r="AA550" s="1289"/>
      <c r="AB550" s="1289"/>
      <c r="AC550" s="1289"/>
      <c r="AD550" s="1289"/>
      <c r="AE550" s="1290"/>
      <c r="AF550" s="1291"/>
      <c r="AG550" s="1291"/>
      <c r="AH550" s="1292"/>
      <c r="AI550" s="1286"/>
      <c r="AJ550" s="1287"/>
      <c r="AK550" s="1287"/>
      <c r="AL550" s="1288"/>
      <c r="AM550" s="1199">
        <f>+AO635-AM549</f>
        <v>4288878</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405"/>
      <c r="D551" s="1405"/>
      <c r="E551" s="1405"/>
      <c r="F551" s="1405"/>
      <c r="G551" s="1405"/>
      <c r="H551" s="1405"/>
      <c r="I551" s="1405"/>
      <c r="J551" s="1405"/>
      <c r="K551" s="1405"/>
      <c r="L551" s="1405"/>
      <c r="M551" s="1295" t="s">
        <v>1977</v>
      </c>
      <c r="N551" s="1295"/>
      <c r="O551" s="1295"/>
      <c r="P551" s="1295"/>
      <c r="Q551" s="1280"/>
      <c r="R551" s="1281"/>
      <c r="S551" s="1282"/>
      <c r="T551" s="1280"/>
      <c r="U551" s="1281"/>
      <c r="V551" s="1282"/>
      <c r="W551" s="1283"/>
      <c r="X551" s="1284"/>
      <c r="Y551" s="1285"/>
      <c r="Z551" s="1289" t="s">
        <v>1977</v>
      </c>
      <c r="AA551" s="1289"/>
      <c r="AB551" s="1289"/>
      <c r="AC551" s="1289"/>
      <c r="AD551" s="1289"/>
      <c r="AE551" s="1290"/>
      <c r="AF551" s="1291"/>
      <c r="AG551" s="1291"/>
      <c r="AH551" s="1292"/>
      <c r="AI551" s="1286"/>
      <c r="AJ551" s="1287"/>
      <c r="AK551" s="1287"/>
      <c r="AL551" s="1288"/>
      <c r="AM551" s="1199"/>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5"/>
      <c r="D552" s="1405"/>
      <c r="E552" s="1405"/>
      <c r="F552" s="1405"/>
      <c r="G552" s="1405"/>
      <c r="H552" s="1405"/>
      <c r="I552" s="1405"/>
      <c r="J552" s="1405"/>
      <c r="K552" s="1405"/>
      <c r="L552" s="1405"/>
      <c r="M552" s="1295" t="s">
        <v>1977</v>
      </c>
      <c r="N552" s="1295"/>
      <c r="O552" s="1295"/>
      <c r="P552" s="1295"/>
      <c r="Q552" s="1280"/>
      <c r="R552" s="1281"/>
      <c r="S552" s="1282"/>
      <c r="T552" s="1280"/>
      <c r="U552" s="1281"/>
      <c r="V552" s="1282"/>
      <c r="W552" s="1283"/>
      <c r="X552" s="1284"/>
      <c r="Y552" s="1285"/>
      <c r="Z552" s="1289" t="s">
        <v>1977</v>
      </c>
      <c r="AA552" s="1289"/>
      <c r="AB552" s="1289"/>
      <c r="AC552" s="1289"/>
      <c r="AD552" s="1289"/>
      <c r="AE552" s="1290"/>
      <c r="AF552" s="1291"/>
      <c r="AG552" s="1291"/>
      <c r="AH552" s="1292"/>
      <c r="AI552" s="1286"/>
      <c r="AJ552" s="1287"/>
      <c r="AK552" s="1287"/>
      <c r="AL552" s="1288"/>
      <c r="AM552" s="1199"/>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5"/>
      <c r="D553" s="1405"/>
      <c r="E553" s="1405"/>
      <c r="F553" s="1405"/>
      <c r="G553" s="1405"/>
      <c r="H553" s="1405"/>
      <c r="I553" s="1405"/>
      <c r="J553" s="1405"/>
      <c r="K553" s="1405"/>
      <c r="L553" s="1405"/>
      <c r="M553" s="1295" t="s">
        <v>1977</v>
      </c>
      <c r="N553" s="1295"/>
      <c r="O553" s="1295"/>
      <c r="P553" s="1295"/>
      <c r="Q553" s="1280"/>
      <c r="R553" s="1281"/>
      <c r="S553" s="1282"/>
      <c r="T553" s="1280"/>
      <c r="U553" s="1281"/>
      <c r="V553" s="1282"/>
      <c r="W553" s="1283"/>
      <c r="X553" s="1284"/>
      <c r="Y553" s="1285"/>
      <c r="Z553" s="1289" t="s">
        <v>1977</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5"/>
      <c r="D554" s="1405"/>
      <c r="E554" s="1405"/>
      <c r="F554" s="1405"/>
      <c r="G554" s="1405"/>
      <c r="H554" s="1405"/>
      <c r="I554" s="1405"/>
      <c r="J554" s="1405"/>
      <c r="K554" s="1405"/>
      <c r="L554" s="1405"/>
      <c r="M554" s="1295" t="s">
        <v>1977</v>
      </c>
      <c r="N554" s="1295"/>
      <c r="O554" s="1295"/>
      <c r="P554" s="1295"/>
      <c r="Q554" s="1280"/>
      <c r="R554" s="1281"/>
      <c r="S554" s="1282"/>
      <c r="T554" s="1280"/>
      <c r="U554" s="1281"/>
      <c r="V554" s="1282"/>
      <c r="W554" s="1283"/>
      <c r="X554" s="1284"/>
      <c r="Y554" s="1285"/>
      <c r="Z554" s="1289" t="s">
        <v>1977</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405"/>
      <c r="D555" s="1405"/>
      <c r="E555" s="1405"/>
      <c r="F555" s="1405"/>
      <c r="G555" s="1405"/>
      <c r="H555" s="1405"/>
      <c r="I555" s="1405"/>
      <c r="J555" s="1405"/>
      <c r="K555" s="1405"/>
      <c r="L555" s="1405"/>
      <c r="M555" s="1295" t="s">
        <v>1977</v>
      </c>
      <c r="N555" s="1295"/>
      <c r="O555" s="1295"/>
      <c r="P555" s="1295"/>
      <c r="Q555" s="1280"/>
      <c r="R555" s="1281"/>
      <c r="S555" s="1282"/>
      <c r="T555" s="1280"/>
      <c r="U555" s="1281"/>
      <c r="V555" s="1282"/>
      <c r="W555" s="1283"/>
      <c r="X555" s="1284"/>
      <c r="Y555" s="1285"/>
      <c r="Z555" s="1289" t="s">
        <v>1977</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405"/>
      <c r="D556" s="1405"/>
      <c r="E556" s="1405"/>
      <c r="F556" s="1405"/>
      <c r="G556" s="1405"/>
      <c r="H556" s="1405"/>
      <c r="I556" s="1405"/>
      <c r="J556" s="1405"/>
      <c r="K556" s="1405"/>
      <c r="L556" s="1405"/>
      <c r="M556" s="1295" t="s">
        <v>1977</v>
      </c>
      <c r="N556" s="1295"/>
      <c r="O556" s="1295"/>
      <c r="P556" s="1295"/>
      <c r="Q556" s="1280"/>
      <c r="R556" s="1281"/>
      <c r="S556" s="1282"/>
      <c r="T556" s="1280"/>
      <c r="U556" s="1281"/>
      <c r="V556" s="1282"/>
      <c r="W556" s="1283"/>
      <c r="X556" s="1284"/>
      <c r="Y556" s="1285"/>
      <c r="Z556" s="1289" t="s">
        <v>1977</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05"/>
      <c r="D557" s="1405"/>
      <c r="E557" s="1405"/>
      <c r="F557" s="1405"/>
      <c r="G557" s="1405"/>
      <c r="H557" s="1405"/>
      <c r="I557" s="1405"/>
      <c r="J557" s="1405"/>
      <c r="K557" s="1405"/>
      <c r="L557" s="1405"/>
      <c r="M557" s="1295" t="s">
        <v>1977</v>
      </c>
      <c r="N557" s="1295"/>
      <c r="O557" s="1295"/>
      <c r="P557" s="1295"/>
      <c r="Q557" s="1280"/>
      <c r="R557" s="1281"/>
      <c r="S557" s="1282"/>
      <c r="T557" s="1280"/>
      <c r="U557" s="1281"/>
      <c r="V557" s="1282"/>
      <c r="W557" s="1283"/>
      <c r="X557" s="1284"/>
      <c r="Y557" s="1285"/>
      <c r="Z557" s="1289" t="s">
        <v>1977</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5"/>
      <c r="D558" s="1405"/>
      <c r="E558" s="1405"/>
      <c r="F558" s="1405"/>
      <c r="G558" s="1405"/>
      <c r="H558" s="1405"/>
      <c r="I558" s="1405"/>
      <c r="J558" s="1405"/>
      <c r="K558" s="1405"/>
      <c r="L558" s="1405"/>
      <c r="M558" s="1295" t="s">
        <v>1977</v>
      </c>
      <c r="N558" s="1295"/>
      <c r="O558" s="1295"/>
      <c r="P558" s="1295"/>
      <c r="Q558" s="1280"/>
      <c r="R558" s="1281"/>
      <c r="S558" s="1282"/>
      <c r="T558" s="1280"/>
      <c r="U558" s="1281"/>
      <c r="V558" s="1282"/>
      <c r="W558" s="1283"/>
      <c r="X558" s="1284"/>
      <c r="Y558" s="1285"/>
      <c r="Z558" s="1289" t="s">
        <v>1977</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5"/>
      <c r="D559" s="1405"/>
      <c r="E559" s="1405"/>
      <c r="F559" s="1405"/>
      <c r="G559" s="1405"/>
      <c r="H559" s="1405"/>
      <c r="I559" s="1405"/>
      <c r="J559" s="1405"/>
      <c r="K559" s="1405"/>
      <c r="L559" s="1405"/>
      <c r="M559" s="1295" t="s">
        <v>1977</v>
      </c>
      <c r="N559" s="1295"/>
      <c r="O559" s="1295"/>
      <c r="P559" s="1295"/>
      <c r="Q559" s="1280"/>
      <c r="R559" s="1281"/>
      <c r="S559" s="1282"/>
      <c r="T559" s="1280"/>
      <c r="U559" s="1281"/>
      <c r="V559" s="1282"/>
      <c r="W559" s="1283"/>
      <c r="X559" s="1284"/>
      <c r="Y559" s="1285"/>
      <c r="Z559" s="1289" t="s">
        <v>1977</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5"/>
      <c r="D560" s="1405"/>
      <c r="E560" s="1405"/>
      <c r="F560" s="1405"/>
      <c r="G560" s="1405"/>
      <c r="H560" s="1405"/>
      <c r="I560" s="1405"/>
      <c r="J560" s="1405"/>
      <c r="K560" s="1405"/>
      <c r="L560" s="1405"/>
      <c r="M560" s="1295" t="s">
        <v>1977</v>
      </c>
      <c r="N560" s="1295"/>
      <c r="O560" s="1295"/>
      <c r="P560" s="1295"/>
      <c r="Q560" s="1280"/>
      <c r="R560" s="1281"/>
      <c r="S560" s="1282"/>
      <c r="T560" s="1280"/>
      <c r="U560" s="1281"/>
      <c r="V560" s="1282"/>
      <c r="W560" s="1283"/>
      <c r="X560" s="1284"/>
      <c r="Y560" s="1285"/>
      <c r="Z560" s="1289" t="s">
        <v>1977</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39"/>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29956568</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60" t="str">
        <f>C549</f>
        <v>Citi Bank Construction Loan</v>
      </c>
      <c r="H563" s="1260"/>
      <c r="I563" s="1260"/>
      <c r="J563" s="1260"/>
      <c r="K563" s="1260"/>
      <c r="L563" s="1260"/>
      <c r="M563" s="1260"/>
      <c r="N563" s="1260"/>
      <c r="O563" s="1260"/>
      <c r="P563" s="1260"/>
      <c r="Q563" s="1260"/>
      <c r="R563" s="1260"/>
      <c r="S563" s="12"/>
      <c r="T563" s="61" t="s">
        <v>901</v>
      </c>
      <c r="U563" t="s">
        <v>82</v>
      </c>
      <c r="Z563" s="1260" t="str">
        <f>C550</f>
        <v>Tax Credit Equity</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7" t="s">
        <v>2404</v>
      </c>
      <c r="H564" s="1107"/>
      <c r="I564" s="1107"/>
      <c r="J564" s="1107"/>
      <c r="K564" s="1107"/>
      <c r="L564" s="1107"/>
      <c r="M564" s="1107"/>
      <c r="N564" s="1107"/>
      <c r="O564" s="1107"/>
      <c r="P564" s="1107"/>
      <c r="Q564" s="1107"/>
      <c r="R564" s="1107"/>
      <c r="S564" s="12"/>
      <c r="T564" s="4"/>
      <c r="U564" t="s">
        <v>372</v>
      </c>
      <c r="Z564" s="1107" t="s">
        <v>2388</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7" t="s">
        <v>2405</v>
      </c>
      <c r="H565" s="1107"/>
      <c r="I565" s="1107"/>
      <c r="J565" s="1107"/>
      <c r="K565" s="1107"/>
      <c r="L565" s="1107"/>
      <c r="M565" s="1107"/>
      <c r="N565" s="1107"/>
      <c r="O565" s="1107"/>
      <c r="P565" s="1107"/>
      <c r="Q565" s="1107"/>
      <c r="R565" s="1107"/>
      <c r="T565" s="4"/>
      <c r="U565" t="s">
        <v>430</v>
      </c>
      <c r="Z565" s="1258" t="s">
        <v>2389</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107" t="s">
        <v>2406</v>
      </c>
      <c r="H566" s="1107"/>
      <c r="I566" s="1107"/>
      <c r="J566" s="1107"/>
      <c r="K566" s="1107"/>
      <c r="L566" s="1107"/>
      <c r="M566" s="1107"/>
      <c r="N566" s="1107"/>
      <c r="O566" s="1107"/>
      <c r="P566" s="1107"/>
      <c r="Q566" s="1107"/>
      <c r="R566" s="1107"/>
      <c r="S566" s="12"/>
      <c r="T566" s="4"/>
      <c r="U566" t="s">
        <v>833</v>
      </c>
      <c r="Z566" s="1258" t="s">
        <v>2409</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264" t="s">
        <v>2407</v>
      </c>
      <c r="H567" s="1264"/>
      <c r="I567" s="1264"/>
      <c r="J567" s="1264"/>
      <c r="K567" s="1264"/>
      <c r="L567" s="1264"/>
      <c r="O567" s="42" t="s">
        <v>818</v>
      </c>
      <c r="P567" s="1259"/>
      <c r="Q567" s="1259"/>
      <c r="R567" s="1259"/>
      <c r="S567" s="14"/>
      <c r="T567" s="4"/>
      <c r="U567" t="s">
        <v>650</v>
      </c>
      <c r="Z567" s="1264"/>
      <c r="AA567" s="1264"/>
      <c r="AB567" s="1264"/>
      <c r="AC567" s="1264"/>
      <c r="AD567" s="1264"/>
      <c r="AE567" s="1264"/>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07" t="s">
        <v>2408</v>
      </c>
      <c r="I568" s="1107"/>
      <c r="J568" s="1107"/>
      <c r="K568" s="1107"/>
      <c r="L568" s="1107"/>
      <c r="M568" s="1107"/>
      <c r="N568" s="1107"/>
      <c r="O568" s="1107"/>
      <c r="P568" s="1107"/>
      <c r="Q568" s="1107"/>
      <c r="R568" s="1107"/>
      <c r="S568" s="12"/>
      <c r="T568" s="4"/>
      <c r="U568" t="s">
        <v>834</v>
      </c>
      <c r="AA568" s="1107" t="s">
        <v>2410</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60">
        <f>C551</f>
        <v>0</v>
      </c>
      <c r="H571" s="1260"/>
      <c r="I571" s="1260"/>
      <c r="J571" s="1260"/>
      <c r="K571" s="1260"/>
      <c r="L571" s="1260"/>
      <c r="M571" s="1260"/>
      <c r="N571" s="1260"/>
      <c r="O571" s="1260"/>
      <c r="P571" s="1260"/>
      <c r="Q571" s="1260"/>
      <c r="R571" s="1260"/>
      <c r="T571" s="61" t="s">
        <v>431</v>
      </c>
      <c r="U571" t="s">
        <v>82</v>
      </c>
      <c r="Z571" s="1260">
        <f>C552</f>
        <v>0</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7"/>
      <c r="H572" s="1107"/>
      <c r="I572" s="1107"/>
      <c r="J572" s="1107"/>
      <c r="K572" s="1107"/>
      <c r="L572" s="1107"/>
      <c r="M572" s="1107"/>
      <c r="N572" s="1107"/>
      <c r="O572" s="1107"/>
      <c r="P572" s="1107"/>
      <c r="Q572" s="1107"/>
      <c r="R572" s="1107"/>
      <c r="T572" s="4"/>
      <c r="U572" t="s">
        <v>372</v>
      </c>
      <c r="Z572" s="1107"/>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8"/>
      <c r="H573" s="1258"/>
      <c r="I573" s="1258"/>
      <c r="J573" s="1258"/>
      <c r="K573" s="1258"/>
      <c r="L573" s="1258"/>
      <c r="M573" s="1258"/>
      <c r="N573" s="1258"/>
      <c r="O573" s="1258"/>
      <c r="P573" s="1258"/>
      <c r="Q573" s="1258"/>
      <c r="R573" s="1258"/>
      <c r="T573" s="4"/>
      <c r="U573" t="s">
        <v>430</v>
      </c>
      <c r="Z573" s="1258"/>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58"/>
      <c r="H574" s="1258"/>
      <c r="I574" s="1258"/>
      <c r="J574" s="1258"/>
      <c r="K574" s="1258"/>
      <c r="L574" s="1258"/>
      <c r="M574" s="1258"/>
      <c r="N574" s="1258"/>
      <c r="O574" s="1258"/>
      <c r="P574" s="1258"/>
      <c r="Q574" s="1258"/>
      <c r="R574" s="1258"/>
      <c r="T574" s="4"/>
      <c r="U574" t="s">
        <v>833</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64"/>
      <c r="H575" s="1264"/>
      <c r="I575" s="1264"/>
      <c r="J575" s="1264"/>
      <c r="K575" s="1264"/>
      <c r="L575" s="1264"/>
      <c r="O575" s="42" t="s">
        <v>818</v>
      </c>
      <c r="P575" s="1259"/>
      <c r="Q575" s="1259"/>
      <c r="R575" s="1259"/>
      <c r="T575" s="4"/>
      <c r="U575" t="s">
        <v>650</v>
      </c>
      <c r="Z575" s="1264"/>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07"/>
      <c r="I576" s="1107"/>
      <c r="J576" s="1107"/>
      <c r="K576" s="1107"/>
      <c r="L576" s="1107"/>
      <c r="M576" s="1107"/>
      <c r="N576" s="1107"/>
      <c r="O576" s="1107"/>
      <c r="P576" s="1107"/>
      <c r="Q576" s="1107"/>
      <c r="R576" s="1107"/>
      <c r="T576" s="4"/>
      <c r="U576" t="s">
        <v>834</v>
      </c>
      <c r="AA576" s="1107"/>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056" t="s">
        <v>482</v>
      </c>
      <c r="O577" s="1056"/>
      <c r="T577" s="4"/>
      <c r="U577" t="s">
        <v>836</v>
      </c>
      <c r="AG577" s="1056" t="s">
        <v>482</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0">
        <f>C553</f>
        <v>0</v>
      </c>
      <c r="H579" s="1260"/>
      <c r="I579" s="1260"/>
      <c r="J579" s="1260"/>
      <c r="K579" s="1260"/>
      <c r="L579" s="1260"/>
      <c r="M579" s="1260"/>
      <c r="N579" s="1260"/>
      <c r="O579" s="1260"/>
      <c r="P579" s="1260"/>
      <c r="Q579" s="1260"/>
      <c r="R579" s="1260"/>
      <c r="T579" s="61" t="s">
        <v>434</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64"/>
      <c r="H583" s="1264"/>
      <c r="I583" s="1264"/>
      <c r="J583" s="1264"/>
      <c r="K583" s="1264"/>
      <c r="L583" s="1264"/>
      <c r="O583" s="42" t="s">
        <v>818</v>
      </c>
      <c r="P583" s="1259"/>
      <c r="Q583" s="1259"/>
      <c r="R583" s="1259"/>
      <c r="T583" s="4"/>
      <c r="U583" t="s">
        <v>650</v>
      </c>
      <c r="Z583" s="1264"/>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5"/>
      <c r="BH591" s="1267"/>
      <c r="BI591" s="214" t="s">
        <v>352</v>
      </c>
      <c r="BJ591" s="215"/>
      <c r="BK591" s="1265"/>
      <c r="BL591" s="1267"/>
      <c r="BN591" s="1265">
        <f t="shared" ref="BN591" si="1">IF(B695="SRO/Studio",G695,0)</f>
        <v>0</v>
      </c>
      <c r="BO591" s="1266"/>
      <c r="BP591" s="1266"/>
      <c r="BQ591" s="1266"/>
      <c r="BR591" s="1276"/>
      <c r="BS591" s="1265">
        <f t="shared" ref="BS591" si="2">IF(B695="1 Bedroom",G695,0)</f>
        <v>2</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2</v>
      </c>
      <c r="BL592" s="1267"/>
      <c r="BN592" s="1265">
        <f t="shared" ref="BN592:BN625" si="9">IF(B696="SRO/Studio",G696,0)</f>
        <v>0</v>
      </c>
      <c r="BO592" s="1266"/>
      <c r="BP592" s="1266"/>
      <c r="BQ592" s="1266"/>
      <c r="BR592" s="1276"/>
      <c r="BS592" s="1265">
        <f t="shared" ref="BS592:BS625" si="10">IF(B696="1 Bedroom",G696,0)</f>
        <v>2</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2</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1">
        <f t="shared" ref="BE593:BE615" si="15">IF(AND(AH696&lt;=0.5,AH696&gt;=0.36),1,0)</f>
        <v>1</v>
      </c>
      <c r="BF593" s="1273"/>
      <c r="BG593" s="1265">
        <f t="shared" si="7"/>
        <v>2</v>
      </c>
      <c r="BH593" s="1267"/>
      <c r="BI593" s="1271">
        <f t="shared" ref="BI593:BI615" si="16">IF(AND(AH696&lt;=0.35,AH696&gt;0),1,0)</f>
        <v>0</v>
      </c>
      <c r="BJ593" s="1273"/>
      <c r="BK593" s="1265">
        <f t="shared" si="8"/>
        <v>0</v>
      </c>
      <c r="BL593" s="1267"/>
      <c r="BN593" s="1265">
        <f t="shared" si="9"/>
        <v>0</v>
      </c>
      <c r="BO593" s="1266"/>
      <c r="BP593" s="1266"/>
      <c r="BQ593" s="1266"/>
      <c r="BR593" s="1276"/>
      <c r="BS593" s="1265">
        <f t="shared" si="10"/>
        <v>3</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 customHeight="1">
      <c r="AZ594" s="5" t="s">
        <v>781</v>
      </c>
      <c r="BA594" s="41"/>
      <c r="BB594" s="41"/>
      <c r="BC594" s="41"/>
      <c r="BD594" s="41"/>
      <c r="BE594" s="1271">
        <f t="shared" si="15"/>
        <v>1</v>
      </c>
      <c r="BF594" s="1273"/>
      <c r="BG594" s="1265">
        <f t="shared" si="7"/>
        <v>3</v>
      </c>
      <c r="BH594" s="1267"/>
      <c r="BI594" s="1271">
        <f t="shared" si="16"/>
        <v>0</v>
      </c>
      <c r="BJ594" s="1273"/>
      <c r="BK594" s="1265">
        <f t="shared" si="8"/>
        <v>0</v>
      </c>
      <c r="BL594" s="1267"/>
      <c r="BN594" s="1265">
        <f t="shared" si="9"/>
        <v>0</v>
      </c>
      <c r="BO594" s="1266"/>
      <c r="BP594" s="1266"/>
      <c r="BQ594" s="1266"/>
      <c r="BR594" s="1276"/>
      <c r="BS594" s="1265">
        <f t="shared" si="10"/>
        <v>5</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1">
        <f t="shared" si="15"/>
        <v>0</v>
      </c>
      <c r="BF595" s="1273"/>
      <c r="BG595" s="1265">
        <f t="shared" si="7"/>
        <v>0</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3</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1">
        <f t="shared" si="15"/>
        <v>0</v>
      </c>
      <c r="BF596" s="1273"/>
      <c r="BG596" s="1265">
        <f t="shared" si="7"/>
        <v>0</v>
      </c>
      <c r="BH596" s="1267"/>
      <c r="BI596" s="1271">
        <f t="shared" si="16"/>
        <v>1</v>
      </c>
      <c r="BJ596" s="1273"/>
      <c r="BK596" s="1265">
        <f t="shared" si="8"/>
        <v>3</v>
      </c>
      <c r="BL596" s="1267"/>
      <c r="BN596" s="1265">
        <f t="shared" si="9"/>
        <v>0</v>
      </c>
      <c r="BO596" s="1266"/>
      <c r="BP596" s="1266"/>
      <c r="BQ596" s="1266"/>
      <c r="BR596" s="1276"/>
      <c r="BS596" s="1265">
        <f t="shared" si="10"/>
        <v>0</v>
      </c>
      <c r="BT596" s="1266"/>
      <c r="BU596" s="1266"/>
      <c r="BV596" s="1266"/>
      <c r="BW596" s="1267"/>
      <c r="BX596" s="1265">
        <f t="shared" si="11"/>
        <v>5</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3</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1">
        <f t="shared" si="15"/>
        <v>1</v>
      </c>
      <c r="BF597" s="1273"/>
      <c r="BG597" s="1265">
        <f t="shared" si="7"/>
        <v>5</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11</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1">
        <f t="shared" si="15"/>
        <v>1</v>
      </c>
      <c r="BF598" s="1273"/>
      <c r="BG598" s="1265">
        <f t="shared" si="7"/>
        <v>11</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9</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1">
        <f t="shared" si="15"/>
        <v>0</v>
      </c>
      <c r="BF599" s="1273"/>
      <c r="BG599" s="1265">
        <f t="shared" si="7"/>
        <v>0</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2</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1</v>
      </c>
      <c r="BJ600" s="1273"/>
      <c r="BK600" s="1265">
        <f t="shared" si="8"/>
        <v>2</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4</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2</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1">
        <f t="shared" si="15"/>
        <v>1</v>
      </c>
      <c r="BF601" s="1273"/>
      <c r="BG601" s="1265">
        <f t="shared" si="7"/>
        <v>4</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5</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1</v>
      </c>
      <c r="BF602" s="1273"/>
      <c r="BG602" s="1265">
        <f t="shared" si="7"/>
        <v>5</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3</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 customHeight="1">
      <c r="B609" t="s">
        <v>836</v>
      </c>
      <c r="N609" s="1098" t="s">
        <v>482</v>
      </c>
      <c r="O609" s="1098"/>
      <c r="U609" t="s">
        <v>836</v>
      </c>
      <c r="AG609" s="1098" t="s">
        <v>482</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 customHeight="1">
      <c r="A614" s="3" t="s">
        <v>653</v>
      </c>
      <c r="B614" s="3"/>
      <c r="C614" s="3" t="s">
        <v>837</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 customHeight="1">
      <c r="C616" s="3" t="s">
        <v>2125</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 customHeight="1">
      <c r="B618" s="1567" t="s">
        <v>2194</v>
      </c>
      <c r="C618" s="1568"/>
      <c r="D618" s="1568"/>
      <c r="E618" s="1568"/>
      <c r="F618" s="1568"/>
      <c r="G618" s="1568"/>
      <c r="H618" s="1568"/>
      <c r="I618" s="1568"/>
      <c r="J618" s="1568"/>
      <c r="K618" s="1568"/>
      <c r="L618" s="1568"/>
      <c r="M618" s="1407" t="s">
        <v>2168</v>
      </c>
      <c r="N618" s="1407"/>
      <c r="O618" s="1407"/>
      <c r="P618" s="1407"/>
      <c r="Q618" s="1297" t="s">
        <v>2198</v>
      </c>
      <c r="R618" s="1298"/>
      <c r="S618" s="1299"/>
      <c r="T618" s="1297" t="s">
        <v>2197</v>
      </c>
      <c r="U618" s="1298"/>
      <c r="V618" s="1299"/>
      <c r="W618" s="1426" t="s">
        <v>740</v>
      </c>
      <c r="X618" s="1426"/>
      <c r="Y618" s="1427"/>
      <c r="Z618" s="1407" t="s">
        <v>2195</v>
      </c>
      <c r="AA618" s="1407"/>
      <c r="AB618" s="1407"/>
      <c r="AC618" s="1414" t="s">
        <v>1990</v>
      </c>
      <c r="AD618" s="1415"/>
      <c r="AE618" s="1416"/>
      <c r="AF618" s="1297" t="s">
        <v>2126</v>
      </c>
      <c r="AG618" s="1298"/>
      <c r="AH618" s="1298"/>
      <c r="AI618" s="1298"/>
      <c r="AJ618" s="1299"/>
      <c r="AK618" s="1504" t="s">
        <v>2127</v>
      </c>
      <c r="AL618" s="1505"/>
      <c r="AM618" s="1505"/>
      <c r="AN618" s="1506"/>
      <c r="AO618" s="1407" t="s">
        <v>741</v>
      </c>
      <c r="AP618" s="1407"/>
      <c r="AQ618" s="1407"/>
      <c r="AR618" s="1407"/>
      <c r="AS618" s="1407"/>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 customHeight="1">
      <c r="B619" s="1569"/>
      <c r="C619" s="1462"/>
      <c r="D619" s="1462"/>
      <c r="E619" s="1462"/>
      <c r="F619" s="1462"/>
      <c r="G619" s="1462"/>
      <c r="H619" s="1462"/>
      <c r="I619" s="1462"/>
      <c r="J619" s="1462"/>
      <c r="K619" s="1462"/>
      <c r="L619" s="1462"/>
      <c r="M619" s="1407"/>
      <c r="N619" s="1407"/>
      <c r="O619" s="1407"/>
      <c r="P619" s="1407"/>
      <c r="Q619" s="1300"/>
      <c r="R619" s="1301"/>
      <c r="S619" s="1302"/>
      <c r="T619" s="1300"/>
      <c r="U619" s="1301"/>
      <c r="V619" s="1302"/>
      <c r="W619" s="1428"/>
      <c r="X619" s="1428"/>
      <c r="Y619" s="1429"/>
      <c r="Z619" s="1407"/>
      <c r="AA619" s="1407"/>
      <c r="AB619" s="1407"/>
      <c r="AC619" s="1417"/>
      <c r="AD619" s="1418"/>
      <c r="AE619" s="1419"/>
      <c r="AF619" s="1300"/>
      <c r="AG619" s="1301"/>
      <c r="AH619" s="1301"/>
      <c r="AI619" s="1301"/>
      <c r="AJ619" s="1302"/>
      <c r="AK619" s="1507"/>
      <c r="AL619" s="1508"/>
      <c r="AM619" s="1508"/>
      <c r="AN619" s="1509"/>
      <c r="AO619" s="1407"/>
      <c r="AP619" s="1407"/>
      <c r="AQ619" s="1407"/>
      <c r="AR619" s="1407"/>
      <c r="AS619" s="1407"/>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 customHeight="1">
      <c r="B620" s="1570"/>
      <c r="C620" s="1571"/>
      <c r="D620" s="1571"/>
      <c r="E620" s="1571"/>
      <c r="F620" s="1571"/>
      <c r="G620" s="1571"/>
      <c r="H620" s="1571"/>
      <c r="I620" s="1571"/>
      <c r="J620" s="1571"/>
      <c r="K620" s="1571"/>
      <c r="L620" s="1571"/>
      <c r="M620" s="1407"/>
      <c r="N620" s="1407"/>
      <c r="O620" s="1407"/>
      <c r="P620" s="1407"/>
      <c r="Q620" s="1303"/>
      <c r="R620" s="1304"/>
      <c r="S620" s="1305"/>
      <c r="T620" s="1303"/>
      <c r="U620" s="1304"/>
      <c r="V620" s="1305"/>
      <c r="W620" s="1430"/>
      <c r="X620" s="1430"/>
      <c r="Y620" s="1431"/>
      <c r="Z620" s="1407"/>
      <c r="AA620" s="1407"/>
      <c r="AB620" s="1407"/>
      <c r="AC620" s="1420"/>
      <c r="AD620" s="1421"/>
      <c r="AE620" s="1422"/>
      <c r="AF620" s="1303"/>
      <c r="AG620" s="1304"/>
      <c r="AH620" s="1304"/>
      <c r="AI620" s="1304"/>
      <c r="AJ620" s="1305"/>
      <c r="AK620" s="1510"/>
      <c r="AL620" s="1511"/>
      <c r="AM620" s="1511"/>
      <c r="AN620" s="1512"/>
      <c r="AO620" s="1407"/>
      <c r="AP620" s="1407"/>
      <c r="AQ620" s="1407"/>
      <c r="AR620" s="1407"/>
      <c r="AS620" s="1407"/>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 customHeight="1">
      <c r="B621" s="57" t="s">
        <v>900</v>
      </c>
      <c r="C621" s="1295" t="s">
        <v>2447</v>
      </c>
      <c r="D621" s="1295"/>
      <c r="E621" s="1295"/>
      <c r="F621" s="1295"/>
      <c r="G621" s="1295"/>
      <c r="H621" s="1295"/>
      <c r="I621" s="1295"/>
      <c r="J621" s="1295"/>
      <c r="K621" s="1295"/>
      <c r="L621" s="1295"/>
      <c r="M621" s="1370" t="s">
        <v>2183</v>
      </c>
      <c r="N621" s="1370"/>
      <c r="O621" s="1370"/>
      <c r="P621" s="1370"/>
      <c r="Q621" s="1371">
        <f>35*12</f>
        <v>420</v>
      </c>
      <c r="R621" s="1372"/>
      <c r="S621" s="1373"/>
      <c r="T621" s="1411">
        <v>420</v>
      </c>
      <c r="U621" s="1412"/>
      <c r="V621" s="1413"/>
      <c r="W621" s="1423">
        <v>6.3E-2</v>
      </c>
      <c r="X621" s="1424"/>
      <c r="Y621" s="1425"/>
      <c r="Z621" s="1408" t="s">
        <v>2196</v>
      </c>
      <c r="AA621" s="1409"/>
      <c r="AB621" s="1410"/>
      <c r="AC621" s="1326">
        <v>1</v>
      </c>
      <c r="AD621" s="1327"/>
      <c r="AE621" s="1328"/>
      <c r="AF621" s="1209">
        <v>246414</v>
      </c>
      <c r="AG621" s="1210"/>
      <c r="AH621" s="1210"/>
      <c r="AI621" s="1210"/>
      <c r="AJ621" s="1211"/>
      <c r="AK621" s="1367"/>
      <c r="AL621" s="1368"/>
      <c r="AM621" s="1368"/>
      <c r="AN621" s="1369"/>
      <c r="AO621" s="1212">
        <v>3477611</v>
      </c>
      <c r="AP621" s="1212"/>
      <c r="AQ621" s="1212"/>
      <c r="AR621" s="1212"/>
      <c r="AS621" s="1212"/>
      <c r="AT621" s="946" t="str">
        <f t="shared" ref="AT621:AT632" si="33">IF(AND(NOT(C620=""),C621="",NOT(C622="")),"!","")</f>
        <v/>
      </c>
      <c r="AU621" s="43"/>
      <c r="AV621" s="43"/>
      <c r="AW621" s="43"/>
      <c r="AX621" s="43"/>
      <c r="AY621" s="43"/>
      <c r="BA621" s="41" t="s">
        <v>1977</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 customHeight="1">
      <c r="B622" s="58" t="s">
        <v>901</v>
      </c>
      <c r="C622" s="1295" t="s">
        <v>2448</v>
      </c>
      <c r="D622" s="1295"/>
      <c r="E622" s="1295"/>
      <c r="F622" s="1295"/>
      <c r="G622" s="1295"/>
      <c r="H622" s="1295"/>
      <c r="I622" s="1295"/>
      <c r="J622" s="1295"/>
      <c r="K622" s="1295"/>
      <c r="L622" s="1295"/>
      <c r="M622" s="1370" t="s">
        <v>2177</v>
      </c>
      <c r="N622" s="1370"/>
      <c r="O622" s="1370"/>
      <c r="P622" s="1370"/>
      <c r="Q622" s="1371"/>
      <c r="R622" s="1372"/>
      <c r="S622" s="1373"/>
      <c r="T622" s="1411"/>
      <c r="U622" s="1412"/>
      <c r="V622" s="1413"/>
      <c r="W622" s="1423"/>
      <c r="X622" s="1424"/>
      <c r="Y622" s="1425"/>
      <c r="Z622" s="1408" t="s">
        <v>1977</v>
      </c>
      <c r="AA622" s="1409"/>
      <c r="AB622" s="1410"/>
      <c r="AC622" s="1326"/>
      <c r="AD622" s="1327"/>
      <c r="AE622" s="1328"/>
      <c r="AF622" s="1209"/>
      <c r="AG622" s="1210"/>
      <c r="AH622" s="1210"/>
      <c r="AI622" s="1210"/>
      <c r="AJ622" s="1211"/>
      <c r="AK622" s="1367"/>
      <c r="AL622" s="1368"/>
      <c r="AM622" s="1368"/>
      <c r="AN622" s="1369"/>
      <c r="AO622" s="1212">
        <v>4750000</v>
      </c>
      <c r="AP622" s="1212"/>
      <c r="AQ622" s="1212"/>
      <c r="AR622" s="1212"/>
      <c r="AS622" s="1212"/>
      <c r="AT622" s="946" t="str">
        <f t="shared" si="33"/>
        <v/>
      </c>
      <c r="AU622" s="43"/>
      <c r="AV622" s="43"/>
      <c r="AW622" s="43"/>
      <c r="AX622" s="43"/>
      <c r="AY622" s="43"/>
      <c r="BA622" s="41" t="s">
        <v>789</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 customHeight="1">
      <c r="B623" s="58" t="s">
        <v>907</v>
      </c>
      <c r="C623" s="1295" t="s">
        <v>2449</v>
      </c>
      <c r="D623" s="1295"/>
      <c r="E623" s="1295"/>
      <c r="F623" s="1295"/>
      <c r="G623" s="1295"/>
      <c r="H623" s="1295"/>
      <c r="I623" s="1295"/>
      <c r="J623" s="1295"/>
      <c r="K623" s="1295"/>
      <c r="L623" s="1295"/>
      <c r="M623" s="1370" t="s">
        <v>2175</v>
      </c>
      <c r="N623" s="1370"/>
      <c r="O623" s="1370"/>
      <c r="P623" s="1370"/>
      <c r="Q623" s="1371"/>
      <c r="R623" s="1372"/>
      <c r="S623" s="1373"/>
      <c r="T623" s="1411"/>
      <c r="U623" s="1412"/>
      <c r="V623" s="1413"/>
      <c r="W623" s="1423"/>
      <c r="X623" s="1424"/>
      <c r="Y623" s="1425"/>
      <c r="Z623" s="1408" t="s">
        <v>1977</v>
      </c>
      <c r="AA623" s="1409"/>
      <c r="AB623" s="1410"/>
      <c r="AC623" s="1326"/>
      <c r="AD623" s="1327"/>
      <c r="AE623" s="1328"/>
      <c r="AF623" s="1209"/>
      <c r="AG623" s="1210"/>
      <c r="AH623" s="1210"/>
      <c r="AI623" s="1210"/>
      <c r="AJ623" s="1211"/>
      <c r="AK623" s="1367"/>
      <c r="AL623" s="1368"/>
      <c r="AM623" s="1368"/>
      <c r="AN623" s="1369"/>
      <c r="AO623" s="1212">
        <v>253956</v>
      </c>
      <c r="AP623" s="1212"/>
      <c r="AQ623" s="1212"/>
      <c r="AR623" s="1212"/>
      <c r="AS623" s="1212"/>
      <c r="AT623" s="946" t="str">
        <f t="shared" si="33"/>
        <v/>
      </c>
      <c r="AU623" s="43"/>
      <c r="AV623" s="43"/>
      <c r="AW623" s="43"/>
      <c r="AX623" s="43"/>
      <c r="AY623" s="43"/>
      <c r="AZ623" s="43"/>
      <c r="BA623" s="41" t="s">
        <v>788</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 customHeight="1">
      <c r="B624" s="58" t="s">
        <v>431</v>
      </c>
      <c r="C624" s="1295" t="s">
        <v>2443</v>
      </c>
      <c r="D624" s="1295"/>
      <c r="E624" s="1295"/>
      <c r="F624" s="1295"/>
      <c r="G624" s="1295"/>
      <c r="H624" s="1295"/>
      <c r="I624" s="1295"/>
      <c r="J624" s="1295"/>
      <c r="K624" s="1295"/>
      <c r="L624" s="1295"/>
      <c r="M624" s="1370" t="s">
        <v>2171</v>
      </c>
      <c r="N624" s="1370"/>
      <c r="O624" s="1370"/>
      <c r="P624" s="1370"/>
      <c r="Q624" s="1371"/>
      <c r="R624" s="1372"/>
      <c r="S624" s="1373"/>
      <c r="T624" s="1411"/>
      <c r="U624" s="1412"/>
      <c r="V624" s="1413"/>
      <c r="W624" s="1423"/>
      <c r="X624" s="1424"/>
      <c r="Y624" s="1425"/>
      <c r="Z624" s="1408" t="s">
        <v>1977</v>
      </c>
      <c r="AA624" s="1409"/>
      <c r="AB624" s="1410"/>
      <c r="AC624" s="1326"/>
      <c r="AD624" s="1327"/>
      <c r="AE624" s="1328"/>
      <c r="AF624" s="1209"/>
      <c r="AG624" s="1210"/>
      <c r="AH624" s="1210"/>
      <c r="AI624" s="1210"/>
      <c r="AJ624" s="1211"/>
      <c r="AK624" s="1367"/>
      <c r="AL624" s="1368"/>
      <c r="AM624" s="1368"/>
      <c r="AN624" s="1369"/>
      <c r="AO624" s="1212">
        <v>968444</v>
      </c>
      <c r="AP624" s="1212"/>
      <c r="AQ624" s="1212"/>
      <c r="AR624" s="1212"/>
      <c r="AS624" s="1212"/>
      <c r="AT624" s="946" t="str">
        <f t="shared" si="33"/>
        <v/>
      </c>
      <c r="AU624" s="43"/>
      <c r="AV624" s="43"/>
      <c r="AW624" s="43"/>
      <c r="AX624" s="43"/>
      <c r="AY624" s="43"/>
      <c r="AZ624" s="43"/>
      <c r="BA624" s="41" t="s">
        <v>2196</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 customHeight="1">
      <c r="B625" s="58" t="s">
        <v>171</v>
      </c>
      <c r="C625" s="1295"/>
      <c r="D625" s="1295"/>
      <c r="E625" s="1295"/>
      <c r="F625" s="1295"/>
      <c r="G625" s="1295"/>
      <c r="H625" s="1295"/>
      <c r="I625" s="1295"/>
      <c r="J625" s="1295"/>
      <c r="K625" s="1295"/>
      <c r="L625" s="1295"/>
      <c r="M625" s="1370" t="s">
        <v>1977</v>
      </c>
      <c r="N625" s="1370"/>
      <c r="O625" s="1370"/>
      <c r="P625" s="1370"/>
      <c r="Q625" s="1371"/>
      <c r="R625" s="1372"/>
      <c r="S625" s="1373"/>
      <c r="T625" s="1411"/>
      <c r="U625" s="1412"/>
      <c r="V625" s="1413"/>
      <c r="W625" s="1423"/>
      <c r="X625" s="1424"/>
      <c r="Y625" s="1425"/>
      <c r="Z625" s="1408" t="s">
        <v>1977</v>
      </c>
      <c r="AA625" s="1409"/>
      <c r="AB625" s="1410"/>
      <c r="AC625" s="1326"/>
      <c r="AD625" s="1327"/>
      <c r="AE625" s="1328"/>
      <c r="AF625" s="1209"/>
      <c r="AG625" s="1210"/>
      <c r="AH625" s="1210"/>
      <c r="AI625" s="1210"/>
      <c r="AJ625" s="1211"/>
      <c r="AK625" s="1367"/>
      <c r="AL625" s="1368"/>
      <c r="AM625" s="1368"/>
      <c r="AN625" s="1369"/>
      <c r="AO625" s="1212"/>
      <c r="AP625" s="1212"/>
      <c r="AQ625" s="1212"/>
      <c r="AR625" s="1212"/>
      <c r="AS625" s="1212"/>
      <c r="AT625" s="946" t="str">
        <f t="shared" si="33"/>
        <v/>
      </c>
      <c r="AU625" s="43"/>
      <c r="AV625" s="43"/>
      <c r="AW625" s="43"/>
      <c r="AX625" s="43"/>
      <c r="AY625" s="43"/>
      <c r="AZ625" s="43"/>
      <c r="BA625" s="41" t="s">
        <v>499</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 customHeight="1">
      <c r="B626" s="58" t="s">
        <v>434</v>
      </c>
      <c r="C626" s="1295"/>
      <c r="D626" s="1295"/>
      <c r="E626" s="1295"/>
      <c r="F626" s="1295"/>
      <c r="G626" s="1295"/>
      <c r="H626" s="1295"/>
      <c r="I626" s="1295"/>
      <c r="J626" s="1295"/>
      <c r="K626" s="1295"/>
      <c r="L626" s="1295"/>
      <c r="M626" s="1370" t="s">
        <v>1977</v>
      </c>
      <c r="N626" s="1370"/>
      <c r="O626" s="1370"/>
      <c r="P626" s="1370"/>
      <c r="Q626" s="1371"/>
      <c r="R626" s="1372"/>
      <c r="S626" s="1373"/>
      <c r="T626" s="1411"/>
      <c r="U626" s="1412"/>
      <c r="V626" s="1413"/>
      <c r="W626" s="1423"/>
      <c r="X626" s="1424"/>
      <c r="Y626" s="1425"/>
      <c r="Z626" s="1408" t="s">
        <v>1977</v>
      </c>
      <c r="AA626" s="1409"/>
      <c r="AB626" s="1410"/>
      <c r="AC626" s="1326"/>
      <c r="AD626" s="1327"/>
      <c r="AE626" s="1328"/>
      <c r="AF626" s="1209"/>
      <c r="AG626" s="1210"/>
      <c r="AH626" s="1210"/>
      <c r="AI626" s="1210"/>
      <c r="AJ626" s="1211"/>
      <c r="AK626" s="1367"/>
      <c r="AL626" s="1368"/>
      <c r="AM626" s="1368"/>
      <c r="AN626" s="1369"/>
      <c r="AO626" s="1212"/>
      <c r="AP626" s="1212"/>
      <c r="AQ626" s="1212"/>
      <c r="AR626" s="1212"/>
      <c r="AS626" s="1212"/>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12</v>
      </c>
      <c r="BT626" s="1272"/>
      <c r="BU626" s="1272"/>
      <c r="BV626" s="1272"/>
      <c r="BW626" s="1273"/>
      <c r="BX626" s="1271">
        <f t="shared" ref="BX626" si="35">SUM(BX591:CB625)</f>
        <v>28</v>
      </c>
      <c r="BY626" s="1272"/>
      <c r="BZ626" s="1272"/>
      <c r="CA626" s="1272"/>
      <c r="CB626" s="1273"/>
      <c r="CC626" s="1271">
        <f t="shared" ref="CC626" si="36">SUM(CC591:CG625)</f>
        <v>14</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 customHeight="1" thickBot="1">
      <c r="B627" s="58" t="s">
        <v>742</v>
      </c>
      <c r="C627" s="1295"/>
      <c r="D627" s="1295"/>
      <c r="E627" s="1295"/>
      <c r="F627" s="1295"/>
      <c r="G627" s="1295"/>
      <c r="H627" s="1295"/>
      <c r="I627" s="1295"/>
      <c r="J627" s="1295"/>
      <c r="K627" s="1295"/>
      <c r="L627" s="1295"/>
      <c r="M627" s="1370" t="s">
        <v>1977</v>
      </c>
      <c r="N627" s="1370"/>
      <c r="O627" s="1370"/>
      <c r="P627" s="1370"/>
      <c r="Q627" s="1371"/>
      <c r="R627" s="1372"/>
      <c r="S627" s="1373"/>
      <c r="T627" s="1411"/>
      <c r="U627" s="1412"/>
      <c r="V627" s="1413"/>
      <c r="W627" s="1423"/>
      <c r="X627" s="1424"/>
      <c r="Y627" s="1425"/>
      <c r="Z627" s="1408" t="s">
        <v>1977</v>
      </c>
      <c r="AA627" s="1409"/>
      <c r="AB627" s="1410"/>
      <c r="AC627" s="1326"/>
      <c r="AD627" s="1327"/>
      <c r="AE627" s="1328"/>
      <c r="AF627" s="1209"/>
      <c r="AG627" s="1210"/>
      <c r="AH627" s="1210"/>
      <c r="AI627" s="1210"/>
      <c r="AJ627" s="1211"/>
      <c r="AK627" s="1367"/>
      <c r="AL627" s="1368"/>
      <c r="AM627" s="1368"/>
      <c r="AN627" s="1369"/>
      <c r="AO627" s="1212"/>
      <c r="AP627" s="1212"/>
      <c r="AQ627" s="1212"/>
      <c r="AR627" s="1212"/>
      <c r="AS627" s="1212"/>
      <c r="AT627" s="946" t="str">
        <f t="shared" si="33"/>
        <v/>
      </c>
      <c r="AU627" s="43"/>
      <c r="AV627" s="43"/>
      <c r="AW627" s="43"/>
      <c r="AX627" s="43"/>
      <c r="AY627" s="43"/>
      <c r="AZ627" s="43"/>
      <c r="BE627" s="41"/>
      <c r="BF627" s="41"/>
      <c r="BG627" s="1271">
        <f>SUM(BG592:BH626)</f>
        <v>30</v>
      </c>
      <c r="BH627" s="1273"/>
      <c r="BI627" s="41"/>
      <c r="BJ627" s="41"/>
      <c r="BK627" s="1271">
        <f>SUM(BK592:BL626)</f>
        <v>7</v>
      </c>
      <c r="BL627" s="1273"/>
      <c r="BN627" s="41" t="s">
        <v>1723</v>
      </c>
      <c r="BO627" s="41"/>
      <c r="BP627" s="41"/>
      <c r="BQ627" s="41"/>
      <c r="BR627" s="467">
        <f>BN626*1</f>
        <v>0</v>
      </c>
      <c r="BS627" s="41"/>
      <c r="BT627" s="41"/>
      <c r="BU627" s="41"/>
      <c r="BV627" s="41"/>
      <c r="BW627" s="467">
        <f>BS626*1</f>
        <v>12</v>
      </c>
      <c r="BX627" s="41"/>
      <c r="BY627" s="41"/>
      <c r="BZ627" s="41"/>
      <c r="CA627" s="41"/>
      <c r="CB627" s="467">
        <f>BX626*2</f>
        <v>56</v>
      </c>
      <c r="CC627" s="41"/>
      <c r="CD627" s="41"/>
      <c r="CE627" s="41"/>
      <c r="CF627" s="41"/>
      <c r="CG627" s="467">
        <f>CC626*3</f>
        <v>42</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2</v>
      </c>
      <c r="CY627" s="1272"/>
      <c r="CZ627" s="1272"/>
      <c r="DA627" s="1272"/>
      <c r="DB627" s="1273"/>
      <c r="DC627" s="1271">
        <f>SUM(DC592:DG626)</f>
        <v>3</v>
      </c>
      <c r="DD627" s="1272"/>
      <c r="DE627" s="1272"/>
      <c r="DF627" s="1272"/>
      <c r="DG627" s="1273"/>
      <c r="DH627" s="1271">
        <f>SUM(DH592:DL626)</f>
        <v>2</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 customHeight="1" thickBot="1">
      <c r="B628" s="58" t="s">
        <v>743</v>
      </c>
      <c r="C628" s="1295"/>
      <c r="D628" s="1295"/>
      <c r="E628" s="1295"/>
      <c r="F628" s="1295"/>
      <c r="G628" s="1295"/>
      <c r="H628" s="1295"/>
      <c r="I628" s="1295"/>
      <c r="J628" s="1295"/>
      <c r="K628" s="1295"/>
      <c r="L628" s="1295"/>
      <c r="M628" s="1370" t="s">
        <v>1977</v>
      </c>
      <c r="N628" s="1370"/>
      <c r="O628" s="1370"/>
      <c r="P628" s="1370"/>
      <c r="Q628" s="1371"/>
      <c r="R628" s="1372"/>
      <c r="S628" s="1373"/>
      <c r="T628" s="1411"/>
      <c r="U628" s="1412"/>
      <c r="V628" s="1413"/>
      <c r="W628" s="1423"/>
      <c r="X628" s="1424"/>
      <c r="Y628" s="1425"/>
      <c r="Z628" s="1408" t="s">
        <v>1977</v>
      </c>
      <c r="AA628" s="1409"/>
      <c r="AB628" s="1410"/>
      <c r="AC628" s="1326"/>
      <c r="AD628" s="1327"/>
      <c r="AE628" s="1328"/>
      <c r="AF628" s="1209"/>
      <c r="AG628" s="1210"/>
      <c r="AH628" s="1210"/>
      <c r="AI628" s="1210"/>
      <c r="AJ628" s="1211"/>
      <c r="AK628" s="1367"/>
      <c r="AL628" s="1368"/>
      <c r="AM628" s="1368"/>
      <c r="AN628" s="1369"/>
      <c r="AO628" s="1212"/>
      <c r="AP628" s="1212"/>
      <c r="AQ628" s="1212"/>
      <c r="AR628" s="1212"/>
      <c r="AS628" s="1212"/>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110</v>
      </c>
      <c r="CR628" s="41"/>
      <c r="CS628" s="41"/>
    </row>
    <row r="629" spans="1:126" ht="12.9" customHeight="1">
      <c r="B629" s="58" t="s">
        <v>546</v>
      </c>
      <c r="C629" s="1295"/>
      <c r="D629" s="1295"/>
      <c r="E629" s="1295"/>
      <c r="F629" s="1295"/>
      <c r="G629" s="1295"/>
      <c r="H629" s="1295"/>
      <c r="I629" s="1295"/>
      <c r="J629" s="1295"/>
      <c r="K629" s="1295"/>
      <c r="L629" s="1295"/>
      <c r="M629" s="1370" t="s">
        <v>1977</v>
      </c>
      <c r="N629" s="1370"/>
      <c r="O629" s="1370"/>
      <c r="P629" s="1370"/>
      <c r="Q629" s="1371"/>
      <c r="R629" s="1372"/>
      <c r="S629" s="1373"/>
      <c r="T629" s="1411"/>
      <c r="U629" s="1412"/>
      <c r="V629" s="1413"/>
      <c r="W629" s="1423"/>
      <c r="X629" s="1424"/>
      <c r="Y629" s="1425"/>
      <c r="Z629" s="1408" t="s">
        <v>1977</v>
      </c>
      <c r="AA629" s="1409"/>
      <c r="AB629" s="1410"/>
      <c r="AC629" s="1326"/>
      <c r="AD629" s="1327"/>
      <c r="AE629" s="1328"/>
      <c r="AF629" s="1209"/>
      <c r="AG629" s="1210"/>
      <c r="AH629" s="1210"/>
      <c r="AI629" s="1210"/>
      <c r="AJ629" s="1211"/>
      <c r="AK629" s="1367"/>
      <c r="AL629" s="1368"/>
      <c r="AM629" s="1368"/>
      <c r="AN629" s="1369"/>
      <c r="AO629" s="1212"/>
      <c r="AP629" s="1212"/>
      <c r="AQ629" s="1212"/>
      <c r="AR629" s="1212"/>
      <c r="AS629" s="1212"/>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0</v>
      </c>
      <c r="BY629" s="1266"/>
      <c r="BZ629" s="1266"/>
      <c r="CA629" s="1266"/>
      <c r="CB629" s="1267"/>
      <c r="CC629" s="1265">
        <f>IF(J752="3 Bedrooms",O752,0)</f>
        <v>1</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 customHeight="1">
      <c r="B630" s="58" t="s">
        <v>174</v>
      </c>
      <c r="C630" s="1295"/>
      <c r="D630" s="1295"/>
      <c r="E630" s="1295"/>
      <c r="F630" s="1295"/>
      <c r="G630" s="1295"/>
      <c r="H630" s="1295"/>
      <c r="I630" s="1295"/>
      <c r="J630" s="1295"/>
      <c r="K630" s="1295"/>
      <c r="L630" s="1295"/>
      <c r="M630" s="1370" t="s">
        <v>1977</v>
      </c>
      <c r="N630" s="1370"/>
      <c r="O630" s="1370"/>
      <c r="P630" s="1370"/>
      <c r="Q630" s="1371"/>
      <c r="R630" s="1372"/>
      <c r="S630" s="1373"/>
      <c r="T630" s="1411"/>
      <c r="U630" s="1412"/>
      <c r="V630" s="1413"/>
      <c r="W630" s="1423"/>
      <c r="X630" s="1424"/>
      <c r="Y630" s="1425"/>
      <c r="Z630" s="1408" t="s">
        <v>1977</v>
      </c>
      <c r="AA630" s="1409"/>
      <c r="AB630" s="1410"/>
      <c r="AC630" s="1326"/>
      <c r="AD630" s="1327"/>
      <c r="AE630" s="1328"/>
      <c r="AF630" s="1209"/>
      <c r="AG630" s="1210"/>
      <c r="AH630" s="1210"/>
      <c r="AI630" s="1210"/>
      <c r="AJ630" s="1211"/>
      <c r="AK630" s="1367"/>
      <c r="AL630" s="1368"/>
      <c r="AM630" s="1368"/>
      <c r="AN630" s="1369"/>
      <c r="AO630" s="1212"/>
      <c r="AP630" s="1212"/>
      <c r="AQ630" s="1212"/>
      <c r="AR630" s="1212"/>
      <c r="AS630" s="1212"/>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 customHeight="1">
      <c r="B631" s="58" t="s">
        <v>32</v>
      </c>
      <c r="C631" s="1295"/>
      <c r="D631" s="1295"/>
      <c r="E631" s="1295"/>
      <c r="F631" s="1295"/>
      <c r="G631" s="1295"/>
      <c r="H631" s="1295"/>
      <c r="I631" s="1295"/>
      <c r="J631" s="1295"/>
      <c r="K631" s="1295"/>
      <c r="L631" s="1295"/>
      <c r="M631" s="1370" t="s">
        <v>1977</v>
      </c>
      <c r="N631" s="1370"/>
      <c r="O631" s="1370"/>
      <c r="P631" s="1370"/>
      <c r="Q631" s="1371"/>
      <c r="R631" s="1372"/>
      <c r="S631" s="1373"/>
      <c r="T631" s="1411"/>
      <c r="U631" s="1412"/>
      <c r="V631" s="1413"/>
      <c r="W631" s="1423"/>
      <c r="X631" s="1424"/>
      <c r="Y631" s="1425"/>
      <c r="Z631" s="1408" t="s">
        <v>1977</v>
      </c>
      <c r="AA631" s="1409"/>
      <c r="AB631" s="1410"/>
      <c r="AC631" s="1326"/>
      <c r="AD631" s="1327"/>
      <c r="AE631" s="1328"/>
      <c r="AF631" s="1209"/>
      <c r="AG631" s="1210"/>
      <c r="AH631" s="1210"/>
      <c r="AI631" s="1210"/>
      <c r="AJ631" s="1211"/>
      <c r="AK631" s="1367"/>
      <c r="AL631" s="1368"/>
      <c r="AM631" s="1368"/>
      <c r="AN631" s="1369"/>
      <c r="AO631" s="1212"/>
      <c r="AP631" s="1212"/>
      <c r="AQ631" s="1212"/>
      <c r="AR631" s="1212"/>
      <c r="AS631" s="1212"/>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 customHeight="1">
      <c r="B632" s="58" t="s">
        <v>33</v>
      </c>
      <c r="C632" s="1295"/>
      <c r="D632" s="1295"/>
      <c r="E632" s="1295"/>
      <c r="F632" s="1295"/>
      <c r="G632" s="1295"/>
      <c r="H632" s="1295"/>
      <c r="I632" s="1295"/>
      <c r="J632" s="1295"/>
      <c r="K632" s="1295"/>
      <c r="L632" s="1295"/>
      <c r="M632" s="1370" t="s">
        <v>1977</v>
      </c>
      <c r="N632" s="1370"/>
      <c r="O632" s="1370"/>
      <c r="P632" s="1370"/>
      <c r="Q632" s="1371"/>
      <c r="R632" s="1372"/>
      <c r="S632" s="1373"/>
      <c r="T632" s="1411"/>
      <c r="U632" s="1412"/>
      <c r="V632" s="1413"/>
      <c r="W632" s="1423"/>
      <c r="X632" s="1424"/>
      <c r="Y632" s="1425"/>
      <c r="Z632" s="1408" t="s">
        <v>1977</v>
      </c>
      <c r="AA632" s="1409"/>
      <c r="AB632" s="1410"/>
      <c r="AC632" s="1326"/>
      <c r="AD632" s="1327"/>
      <c r="AE632" s="1328"/>
      <c r="AF632" s="1209"/>
      <c r="AG632" s="1210"/>
      <c r="AH632" s="1210"/>
      <c r="AI632" s="1210"/>
      <c r="AJ632" s="1211"/>
      <c r="AK632" s="1367"/>
      <c r="AL632" s="1368"/>
      <c r="AM632" s="1368"/>
      <c r="AN632" s="1369"/>
      <c r="AO632" s="1212"/>
      <c r="AP632" s="1212"/>
      <c r="AQ632" s="1212"/>
      <c r="AR632" s="1212"/>
      <c r="AS632" s="1212"/>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9450011</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0</v>
      </c>
      <c r="BY633" s="1269"/>
      <c r="BZ633" s="1269"/>
      <c r="CA633" s="1269"/>
      <c r="CB633" s="1270"/>
      <c r="CC633" s="1268">
        <f>SUM(CC629:CG632)</f>
        <v>1</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1981</v>
      </c>
      <c r="CU633" s="41"/>
    </row>
    <row r="634" spans="1:126" ht="12.9"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20506557</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38" t="s">
        <v>940</v>
      </c>
      <c r="C635" s="1439"/>
      <c r="D635" s="1439"/>
      <c r="E635" s="1439"/>
      <c r="F635" s="1439"/>
      <c r="G635" s="1439"/>
      <c r="H635" s="1439"/>
      <c r="I635" s="1439"/>
      <c r="J635" s="1439"/>
      <c r="K635" s="1439"/>
      <c r="L635" s="1439"/>
      <c r="M635" s="1439"/>
      <c r="N635" s="1439"/>
      <c r="O635" s="1439"/>
      <c r="P635" s="1439"/>
      <c r="Q635" s="1439"/>
      <c r="R635" s="1439"/>
      <c r="S635" s="1439"/>
      <c r="T635" s="1439"/>
      <c r="U635" s="1439"/>
      <c r="V635" s="1439"/>
      <c r="W635" s="1439"/>
      <c r="X635" s="1439"/>
      <c r="Y635" s="1439"/>
      <c r="Z635" s="1439"/>
      <c r="AA635" s="1439"/>
      <c r="AB635" s="1439"/>
      <c r="AC635" s="1439"/>
      <c r="AD635" s="1439"/>
      <c r="AE635" s="1439"/>
      <c r="AF635" s="1439"/>
      <c r="AG635" s="1439"/>
      <c r="AH635" s="1439"/>
      <c r="AI635" s="1439"/>
      <c r="AJ635" s="1439"/>
      <c r="AK635" s="1439"/>
      <c r="AL635" s="1439"/>
      <c r="AM635" s="1439"/>
      <c r="AN635" s="1440"/>
      <c r="AO635" s="1193">
        <f>AO633+AO634</f>
        <v>29956568</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 customHeight="1">
      <c r="A637" s="61" t="s">
        <v>900</v>
      </c>
      <c r="B637" t="s">
        <v>82</v>
      </c>
      <c r="G637" s="1260" t="str">
        <f>C621</f>
        <v>Citi Bank Perm Loan</v>
      </c>
      <c r="H637" s="1260"/>
      <c r="I637" s="1260"/>
      <c r="J637" s="1260"/>
      <c r="K637" s="1260"/>
      <c r="L637" s="1260"/>
      <c r="M637" s="1260"/>
      <c r="N637" s="1260"/>
      <c r="O637" s="1260"/>
      <c r="P637" s="1260"/>
      <c r="Q637" s="1260"/>
      <c r="R637" s="1260"/>
      <c r="S637" s="12"/>
      <c r="T637" s="61" t="s">
        <v>901</v>
      </c>
      <c r="U637" t="s">
        <v>82</v>
      </c>
      <c r="Z637" s="1260" t="str">
        <f>C622</f>
        <v>HCD PLHA</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 customHeight="1">
      <c r="A638" s="4"/>
      <c r="B638" t="s">
        <v>372</v>
      </c>
      <c r="G638" s="1107" t="s">
        <v>2404</v>
      </c>
      <c r="H638" s="1107"/>
      <c r="I638" s="1107"/>
      <c r="J638" s="1107"/>
      <c r="K638" s="1107"/>
      <c r="L638" s="1107"/>
      <c r="M638" s="1107"/>
      <c r="N638" s="1107"/>
      <c r="O638" s="1107"/>
      <c r="P638" s="1107"/>
      <c r="Q638" s="1107"/>
      <c r="R638" s="1107"/>
      <c r="S638" s="12"/>
      <c r="T638" s="4"/>
      <c r="U638" t="s">
        <v>372</v>
      </c>
      <c r="Z638" s="1107" t="s">
        <v>2412</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 customHeight="1">
      <c r="A639" s="4"/>
      <c r="B639" t="s">
        <v>430</v>
      </c>
      <c r="G639" s="1107" t="s">
        <v>2405</v>
      </c>
      <c r="H639" s="1107"/>
      <c r="I639" s="1107"/>
      <c r="J639" s="1107"/>
      <c r="K639" s="1107"/>
      <c r="L639" s="1107"/>
      <c r="M639" s="1107"/>
      <c r="N639" s="1107"/>
      <c r="O639" s="1107"/>
      <c r="P639" s="1107"/>
      <c r="Q639" s="1107"/>
      <c r="R639" s="1107"/>
      <c r="T639" s="4"/>
      <c r="U639" t="s">
        <v>430</v>
      </c>
      <c r="Z639" s="1258" t="s">
        <v>2413</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 customHeight="1">
      <c r="A640" s="4"/>
      <c r="B640" t="s">
        <v>833</v>
      </c>
      <c r="G640" s="1107" t="s">
        <v>2406</v>
      </c>
      <c r="H640" s="1107"/>
      <c r="I640" s="1107"/>
      <c r="J640" s="1107"/>
      <c r="K640" s="1107"/>
      <c r="L640" s="1107"/>
      <c r="M640" s="1107"/>
      <c r="N640" s="1107"/>
      <c r="O640" s="1107"/>
      <c r="P640" s="1107"/>
      <c r="Q640" s="1107"/>
      <c r="R640" s="1107"/>
      <c r="S640" s="12"/>
      <c r="T640" s="4"/>
      <c r="U640" t="s">
        <v>833</v>
      </c>
      <c r="Z640" s="1258" t="s">
        <v>2414</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 customHeight="1">
      <c r="A641" s="4"/>
      <c r="B641" t="s">
        <v>650</v>
      </c>
      <c r="G641" s="1264" t="s">
        <v>2407</v>
      </c>
      <c r="H641" s="1264"/>
      <c r="I641" s="1264"/>
      <c r="J641" s="1264"/>
      <c r="K641" s="1264"/>
      <c r="L641" s="1264"/>
      <c r="O641" s="42" t="s">
        <v>818</v>
      </c>
      <c r="P641" s="1259"/>
      <c r="Q641" s="1259"/>
      <c r="R641" s="1259"/>
      <c r="S641" s="14"/>
      <c r="T641" s="4"/>
      <c r="U641" t="s">
        <v>650</v>
      </c>
      <c r="Z641" s="1264"/>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 customHeight="1">
      <c r="A642" s="4"/>
      <c r="B642" t="s">
        <v>834</v>
      </c>
      <c r="H642" s="1107" t="s">
        <v>2411</v>
      </c>
      <c r="I642" s="1107"/>
      <c r="J642" s="1107"/>
      <c r="K642" s="1107"/>
      <c r="L642" s="1107"/>
      <c r="M642" s="1107"/>
      <c r="N642" s="1107"/>
      <c r="O642" s="1107"/>
      <c r="P642" s="1107"/>
      <c r="Q642" s="1107"/>
      <c r="R642" s="1107"/>
      <c r="S642" s="12"/>
      <c r="T642" s="4"/>
      <c r="U642" t="s">
        <v>834</v>
      </c>
      <c r="AA642" s="1107" t="s">
        <v>2415</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 customHeight="1">
      <c r="A645" s="61" t="s">
        <v>907</v>
      </c>
      <c r="B645" t="s">
        <v>82</v>
      </c>
      <c r="G645" s="1260" t="str">
        <f>C623</f>
        <v>Boston Financial Solar Equity</v>
      </c>
      <c r="H645" s="1260"/>
      <c r="I645" s="1260"/>
      <c r="J645" s="1260"/>
      <c r="K645" s="1260"/>
      <c r="L645" s="1260"/>
      <c r="M645" s="1260"/>
      <c r="N645" s="1260"/>
      <c r="O645" s="1260"/>
      <c r="P645" s="1260"/>
      <c r="Q645" s="1260"/>
      <c r="R645" s="1260"/>
      <c r="T645" s="61" t="s">
        <v>431</v>
      </c>
      <c r="U645" t="s">
        <v>82</v>
      </c>
      <c r="Z645" s="1260" t="str">
        <f>C624</f>
        <v>Developer Note</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 customHeight="1" thickBot="1">
      <c r="A646" s="4"/>
      <c r="B646" t="s">
        <v>372</v>
      </c>
      <c r="G646" s="1107" t="s">
        <v>2388</v>
      </c>
      <c r="H646" s="1107"/>
      <c r="I646" s="1107"/>
      <c r="J646" s="1107"/>
      <c r="K646" s="1107"/>
      <c r="L646" s="1107"/>
      <c r="M646" s="1107"/>
      <c r="N646" s="1107"/>
      <c r="O646" s="1107"/>
      <c r="P646" s="1107"/>
      <c r="Q646" s="1107"/>
      <c r="R646" s="1107"/>
      <c r="T646" s="4"/>
      <c r="U646" t="s">
        <v>372</v>
      </c>
      <c r="Z646" s="1107" t="s">
        <v>2338</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8" t="s">
        <v>2389</v>
      </c>
      <c r="H647" s="1258"/>
      <c r="I647" s="1258"/>
      <c r="J647" s="1258"/>
      <c r="K647" s="1258"/>
      <c r="L647" s="1258"/>
      <c r="M647" s="1258"/>
      <c r="N647" s="1258"/>
      <c r="O647" s="1258"/>
      <c r="P647" s="1258"/>
      <c r="Q647" s="1258"/>
      <c r="R647" s="1258"/>
      <c r="T647" s="4"/>
      <c r="U647" t="s">
        <v>430</v>
      </c>
      <c r="Z647" s="1258" t="s">
        <v>2373</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258" t="s">
        <v>2409</v>
      </c>
      <c r="H648" s="1258"/>
      <c r="I648" s="1258"/>
      <c r="J648" s="1258"/>
      <c r="K648" s="1258"/>
      <c r="L648" s="1258"/>
      <c r="M648" s="1258"/>
      <c r="N648" s="1258"/>
      <c r="O648" s="1258"/>
      <c r="P648" s="1258"/>
      <c r="Q648" s="1258"/>
      <c r="R648" s="1258"/>
      <c r="T648" s="4"/>
      <c r="U648" t="s">
        <v>833</v>
      </c>
      <c r="Z648" s="1258" t="s">
        <v>2340</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64" t="s">
        <v>2391</v>
      </c>
      <c r="H649" s="1264"/>
      <c r="I649" s="1264"/>
      <c r="J649" s="1264"/>
      <c r="K649" s="1264"/>
      <c r="L649" s="1264"/>
      <c r="O649" s="42" t="s">
        <v>818</v>
      </c>
      <c r="P649" s="1259"/>
      <c r="Q649" s="1259"/>
      <c r="R649" s="1259"/>
      <c r="T649" s="4"/>
      <c r="U649" t="s">
        <v>650</v>
      </c>
      <c r="Z649" s="1264">
        <v>7078229000</v>
      </c>
      <c r="AA649" s="1264"/>
      <c r="AB649" s="1264"/>
      <c r="AC649" s="1264"/>
      <c r="AD649" s="1264"/>
      <c r="AE649" s="1264"/>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110</v>
      </c>
      <c r="CR649" s="41"/>
      <c r="CS649" s="41"/>
    </row>
    <row r="650" spans="1:97" ht="12.9" customHeight="1">
      <c r="A650" s="4"/>
      <c r="B650" t="s">
        <v>834</v>
      </c>
      <c r="H650" s="1107" t="s">
        <v>2416</v>
      </c>
      <c r="I650" s="1107"/>
      <c r="J650" s="1107"/>
      <c r="K650" s="1107"/>
      <c r="L650" s="1107"/>
      <c r="M650" s="1107"/>
      <c r="N650" s="1107"/>
      <c r="O650" s="1107"/>
      <c r="P650" s="1107"/>
      <c r="Q650" s="1107"/>
      <c r="R650" s="1107"/>
      <c r="T650" s="4"/>
      <c r="U650" t="s">
        <v>834</v>
      </c>
      <c r="AA650" s="1107" t="s">
        <v>2417</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12</v>
      </c>
      <c r="BT651" s="1269"/>
      <c r="BU651" s="1269"/>
      <c r="BV651" s="1269"/>
      <c r="BW651" s="1270"/>
      <c r="BX651" s="1268">
        <f>BX626+BX633+BX645</f>
        <v>28</v>
      </c>
      <c r="BY651" s="1269"/>
      <c r="BZ651" s="1269"/>
      <c r="CA651" s="1269"/>
      <c r="CB651" s="1270"/>
      <c r="CC651" s="1268">
        <f>CC626+CC633+CC645</f>
        <v>15</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0">
        <f>C625</f>
        <v>0</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7"/>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7"/>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107"/>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64"/>
      <c r="H657" s="1264"/>
      <c r="I657" s="1264"/>
      <c r="J657" s="1264"/>
      <c r="K657" s="1264"/>
      <c r="L657" s="1264"/>
      <c r="O657" s="42" t="s">
        <v>818</v>
      </c>
      <c r="P657" s="1259"/>
      <c r="Q657" s="1259"/>
      <c r="R657" s="1259"/>
      <c r="T657" s="4"/>
      <c r="U657" t="s">
        <v>650</v>
      </c>
      <c r="Z657" s="1264"/>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098" t="s">
        <v>482</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64"/>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2314</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1" t="s">
        <v>442</v>
      </c>
      <c r="C695" s="1332"/>
      <c r="D695" s="1332"/>
      <c r="E695" s="1332"/>
      <c r="F695" s="1333"/>
      <c r="G695" s="1261">
        <v>2</v>
      </c>
      <c r="H695" s="1262"/>
      <c r="I695" s="1262"/>
      <c r="J695" s="1263"/>
      <c r="K695" s="1248">
        <v>665.5</v>
      </c>
      <c r="L695" s="1249"/>
      <c r="M695" s="1249"/>
      <c r="N695" s="1250"/>
      <c r="O695" s="1251">
        <f>495-12</f>
        <v>483</v>
      </c>
      <c r="P695" s="1252"/>
      <c r="Q695" s="1252"/>
      <c r="R695" s="1252"/>
      <c r="S695" s="1253"/>
      <c r="T695" s="1224">
        <f t="shared" ref="T695:T729" si="45">G695*O695</f>
        <v>966</v>
      </c>
      <c r="U695" s="1225"/>
      <c r="V695" s="1225"/>
      <c r="W695" s="1225"/>
      <c r="X695" s="1226"/>
      <c r="Y695" s="1251">
        <v>12</v>
      </c>
      <c r="Z695" s="1252"/>
      <c r="AA695" s="1252"/>
      <c r="AB695" s="1253"/>
      <c r="AC695" s="1224">
        <f t="shared" ref="AC695:AC729" si="46">O695+Y695</f>
        <v>495</v>
      </c>
      <c r="AD695" s="1225"/>
      <c r="AE695" s="1225"/>
      <c r="AF695" s="1225"/>
      <c r="AG695" s="1226"/>
      <c r="AH695" s="1463">
        <v>0.3</v>
      </c>
      <c r="AI695" s="1464"/>
      <c r="AJ695" s="1464"/>
      <c r="AK695" s="1464"/>
      <c r="AL695" s="1465"/>
      <c r="AM695" s="1221">
        <f>IF($AH695&gt;0,($AC695/$AV695),"")</f>
        <v>0.3</v>
      </c>
      <c r="AN695" s="1222"/>
      <c r="AO695" s="1223"/>
      <c r="AV695" s="43">
        <f t="shared" ref="AV695:AV729" si="47">IF($G695=0,"N/A",VLOOKUP($T$189,TC_Rent,(MATCH($B695,bedrooms,FALSE))))</f>
        <v>1650</v>
      </c>
      <c r="AX695" s="43"/>
      <c r="AY695" s="445">
        <f t="shared" ref="AY695:AY718" si="48">G695</f>
        <v>2</v>
      </c>
      <c r="AZ695" s="452">
        <f t="shared" ref="AZ695:AZ718" si="49">IF($AY$730=0,"",AY695/$AY$730)</f>
        <v>3.7037037037037035E-2</v>
      </c>
      <c r="BA695" s="453">
        <f t="shared" ref="BA695:BA718" si="50">IF(AZ695="","",AZ695*AH695)</f>
        <v>1.111111111111111E-2</v>
      </c>
      <c r="BB695" s="41"/>
      <c r="BC695" s="41"/>
      <c r="BD695" s="41"/>
      <c r="BE695" s="851">
        <f t="shared" ref="BE695:BE718" si="51">G695</f>
        <v>2</v>
      </c>
      <c r="BF695" s="855">
        <f t="shared" ref="BF695:BF718" si="52">IF(BE695=0,"",BE695/$BE$730)</f>
        <v>3.7037037037037035E-2</v>
      </c>
      <c r="BG695" s="856">
        <f t="shared" ref="BG695:BG718" si="53">IF(BF695="","",BF695*AM695)</f>
        <v>1.111111111111111E-2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1" t="s">
        <v>442</v>
      </c>
      <c r="C696" s="1332"/>
      <c r="D696" s="1332"/>
      <c r="E696" s="1332"/>
      <c r="F696" s="1333"/>
      <c r="G696" s="1261">
        <v>2</v>
      </c>
      <c r="H696" s="1262"/>
      <c r="I696" s="1262"/>
      <c r="J696" s="1263"/>
      <c r="K696" s="1248">
        <v>666</v>
      </c>
      <c r="L696" s="1249"/>
      <c r="M696" s="1249"/>
      <c r="N696" s="1250"/>
      <c r="O696" s="1251">
        <f>660-12</f>
        <v>648</v>
      </c>
      <c r="P696" s="1252"/>
      <c r="Q696" s="1252"/>
      <c r="R696" s="1252"/>
      <c r="S696" s="1253"/>
      <c r="T696" s="1224">
        <f t="shared" si="45"/>
        <v>1296</v>
      </c>
      <c r="U696" s="1225"/>
      <c r="V696" s="1225"/>
      <c r="W696" s="1225"/>
      <c r="X696" s="1226"/>
      <c r="Y696" s="1251">
        <v>12</v>
      </c>
      <c r="Z696" s="1252"/>
      <c r="AA696" s="1252"/>
      <c r="AB696" s="1253"/>
      <c r="AC696" s="1224">
        <f t="shared" si="46"/>
        <v>660</v>
      </c>
      <c r="AD696" s="1225"/>
      <c r="AE696" s="1225"/>
      <c r="AF696" s="1225"/>
      <c r="AG696" s="1226"/>
      <c r="AH696" s="1255">
        <v>0.4</v>
      </c>
      <c r="AI696" s="1256"/>
      <c r="AJ696" s="1256"/>
      <c r="AK696" s="1256"/>
      <c r="AL696" s="1257"/>
      <c r="AM696" s="1221">
        <f t="shared" ref="AM696:AM718" si="54">IF($AH696&gt;0,($AC696/$AV696), "")</f>
        <v>0.4</v>
      </c>
      <c r="AN696" s="1222"/>
      <c r="AO696" s="1223"/>
      <c r="AV696" s="43">
        <f t="shared" si="47"/>
        <v>1650</v>
      </c>
      <c r="AX696" s="43"/>
      <c r="AY696" s="446">
        <f t="shared" si="48"/>
        <v>2</v>
      </c>
      <c r="AZ696" s="452">
        <f t="shared" si="49"/>
        <v>3.7037037037037035E-2</v>
      </c>
      <c r="BA696" s="453">
        <f t="shared" si="50"/>
        <v>1.4814814814814815E-2</v>
      </c>
      <c r="BB696" s="41"/>
      <c r="BC696" s="41"/>
      <c r="BD696" s="41"/>
      <c r="BE696" s="851">
        <f t="shared" si="51"/>
        <v>2</v>
      </c>
      <c r="BF696" s="855">
        <f t="shared" si="52"/>
        <v>3.7037037037037035E-2</v>
      </c>
      <c r="BG696" s="856">
        <f t="shared" si="53"/>
        <v>1.4814814814814815E-2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1" t="s">
        <v>442</v>
      </c>
      <c r="C697" s="1332"/>
      <c r="D697" s="1332"/>
      <c r="E697" s="1332"/>
      <c r="F697" s="1333"/>
      <c r="G697" s="1261">
        <v>3</v>
      </c>
      <c r="H697" s="1262"/>
      <c r="I697" s="1262"/>
      <c r="J697" s="1263"/>
      <c r="K697" s="1248">
        <v>666</v>
      </c>
      <c r="L697" s="1249"/>
      <c r="M697" s="1249"/>
      <c r="N697" s="1250"/>
      <c r="O697" s="1251">
        <f>825-12</f>
        <v>813</v>
      </c>
      <c r="P697" s="1252"/>
      <c r="Q697" s="1252"/>
      <c r="R697" s="1252"/>
      <c r="S697" s="1253"/>
      <c r="T697" s="1224">
        <f t="shared" si="45"/>
        <v>2439</v>
      </c>
      <c r="U697" s="1225"/>
      <c r="V697" s="1225"/>
      <c r="W697" s="1225"/>
      <c r="X697" s="1226"/>
      <c r="Y697" s="1251">
        <v>12</v>
      </c>
      <c r="Z697" s="1252"/>
      <c r="AA697" s="1252"/>
      <c r="AB697" s="1253"/>
      <c r="AC697" s="1224">
        <f t="shared" si="46"/>
        <v>825</v>
      </c>
      <c r="AD697" s="1225"/>
      <c r="AE697" s="1225"/>
      <c r="AF697" s="1225"/>
      <c r="AG697" s="1226"/>
      <c r="AH697" s="1255">
        <v>0.5</v>
      </c>
      <c r="AI697" s="1256"/>
      <c r="AJ697" s="1256"/>
      <c r="AK697" s="1256"/>
      <c r="AL697" s="1257"/>
      <c r="AM697" s="1221">
        <f t="shared" si="54"/>
        <v>0.5</v>
      </c>
      <c r="AN697" s="1222"/>
      <c r="AO697" s="1223"/>
      <c r="AV697" s="43">
        <f t="shared" si="47"/>
        <v>1650</v>
      </c>
      <c r="AX697" s="41"/>
      <c r="AY697" s="446">
        <f t="shared" si="48"/>
        <v>3</v>
      </c>
      <c r="AZ697" s="452">
        <f t="shared" si="49"/>
        <v>5.5555555555555552E-2</v>
      </c>
      <c r="BA697" s="453">
        <f t="shared" si="50"/>
        <v>2.7777777777777776E-2</v>
      </c>
      <c r="BB697" s="41"/>
      <c r="BC697" s="41"/>
      <c r="BD697" s="41"/>
      <c r="BE697" s="851">
        <f t="shared" si="51"/>
        <v>3</v>
      </c>
      <c r="BF697" s="855">
        <f t="shared" si="52"/>
        <v>5.5555555555555552E-2</v>
      </c>
      <c r="BG697" s="856">
        <f t="shared" si="53"/>
        <v>2.7777777777777776E-2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1" t="s">
        <v>442</v>
      </c>
      <c r="C698" s="1332"/>
      <c r="D698" s="1332"/>
      <c r="E698" s="1332"/>
      <c r="F698" s="1333"/>
      <c r="G698" s="1261">
        <v>5</v>
      </c>
      <c r="H698" s="1262"/>
      <c r="I698" s="1262"/>
      <c r="J698" s="1263"/>
      <c r="K698" s="1248">
        <v>666</v>
      </c>
      <c r="L698" s="1249"/>
      <c r="M698" s="1249"/>
      <c r="N698" s="1250"/>
      <c r="O698" s="1251">
        <f>990-12</f>
        <v>978</v>
      </c>
      <c r="P698" s="1252"/>
      <c r="Q698" s="1252"/>
      <c r="R698" s="1252"/>
      <c r="S698" s="1253"/>
      <c r="T698" s="1224">
        <f t="shared" si="45"/>
        <v>4890</v>
      </c>
      <c r="U698" s="1225"/>
      <c r="V698" s="1225"/>
      <c r="W698" s="1225"/>
      <c r="X698" s="1226"/>
      <c r="Y698" s="1251">
        <v>12</v>
      </c>
      <c r="Z698" s="1252"/>
      <c r="AA698" s="1252"/>
      <c r="AB698" s="1253"/>
      <c r="AC698" s="1224">
        <f t="shared" si="46"/>
        <v>990</v>
      </c>
      <c r="AD698" s="1225"/>
      <c r="AE698" s="1225"/>
      <c r="AF698" s="1225"/>
      <c r="AG698" s="1226"/>
      <c r="AH698" s="1255">
        <v>0.6</v>
      </c>
      <c r="AI698" s="1256"/>
      <c r="AJ698" s="1256"/>
      <c r="AK698" s="1256"/>
      <c r="AL698" s="1257"/>
      <c r="AM698" s="1221">
        <f t="shared" si="54"/>
        <v>0.6</v>
      </c>
      <c r="AN698" s="1222"/>
      <c r="AO698" s="1223"/>
      <c r="AV698" s="43">
        <f t="shared" si="47"/>
        <v>1650</v>
      </c>
      <c r="AX698" s="41"/>
      <c r="AY698" s="446">
        <f t="shared" si="48"/>
        <v>5</v>
      </c>
      <c r="AZ698" s="452">
        <f t="shared" si="49"/>
        <v>9.2592592592592587E-2</v>
      </c>
      <c r="BA698" s="453">
        <f t="shared" si="50"/>
        <v>5.5555555555555552E-2</v>
      </c>
      <c r="BB698" s="41"/>
      <c r="BC698" s="41"/>
      <c r="BD698" s="41"/>
      <c r="BE698" s="851">
        <f t="shared" si="51"/>
        <v>5</v>
      </c>
      <c r="BF698" s="855">
        <f t="shared" si="52"/>
        <v>9.2592592592592587E-2</v>
      </c>
      <c r="BG698" s="856">
        <f t="shared" si="53"/>
        <v>5.5555555555555552E-2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1" t="s">
        <v>780</v>
      </c>
      <c r="C699" s="1332"/>
      <c r="D699" s="1332"/>
      <c r="E699" s="1332"/>
      <c r="F699" s="1333"/>
      <c r="G699" s="1261">
        <v>3</v>
      </c>
      <c r="H699" s="1262"/>
      <c r="I699" s="1262"/>
      <c r="J699" s="1263"/>
      <c r="K699" s="1248">
        <v>823</v>
      </c>
      <c r="L699" s="1249"/>
      <c r="M699" s="1249"/>
      <c r="N699" s="1250"/>
      <c r="O699" s="1251">
        <f>594-12</f>
        <v>582</v>
      </c>
      <c r="P699" s="1252"/>
      <c r="Q699" s="1252"/>
      <c r="R699" s="1252"/>
      <c r="S699" s="1253"/>
      <c r="T699" s="1224">
        <f t="shared" si="45"/>
        <v>1746</v>
      </c>
      <c r="U699" s="1225"/>
      <c r="V699" s="1225"/>
      <c r="W699" s="1225"/>
      <c r="X699" s="1226"/>
      <c r="Y699" s="1251">
        <v>12</v>
      </c>
      <c r="Z699" s="1252"/>
      <c r="AA699" s="1252"/>
      <c r="AB699" s="1253"/>
      <c r="AC699" s="1224">
        <f t="shared" si="46"/>
        <v>594</v>
      </c>
      <c r="AD699" s="1225"/>
      <c r="AE699" s="1225"/>
      <c r="AF699" s="1225"/>
      <c r="AG699" s="1226"/>
      <c r="AH699" s="1255">
        <v>0.3</v>
      </c>
      <c r="AI699" s="1256"/>
      <c r="AJ699" s="1256"/>
      <c r="AK699" s="1256"/>
      <c r="AL699" s="1257"/>
      <c r="AM699" s="1221">
        <f t="shared" si="54"/>
        <v>0.3</v>
      </c>
      <c r="AN699" s="1222"/>
      <c r="AO699" s="1223"/>
      <c r="AV699" s="43">
        <f t="shared" si="47"/>
        <v>1980</v>
      </c>
      <c r="AX699" s="41"/>
      <c r="AY699" s="446">
        <f t="shared" si="48"/>
        <v>3</v>
      </c>
      <c r="AZ699" s="452">
        <f t="shared" si="49"/>
        <v>5.5555555555555552E-2</v>
      </c>
      <c r="BA699" s="453">
        <f t="shared" si="50"/>
        <v>1.6666666666666666E-2</v>
      </c>
      <c r="BB699" s="41"/>
      <c r="BC699" s="41"/>
      <c r="BD699" s="41"/>
      <c r="BE699" s="851">
        <f t="shared" si="51"/>
        <v>3</v>
      </c>
      <c r="BF699" s="855">
        <f t="shared" si="52"/>
        <v>5.5555555555555552E-2</v>
      </c>
      <c r="BG699" s="856">
        <f t="shared" si="53"/>
        <v>1.6666666666666666E-2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1" t="s">
        <v>780</v>
      </c>
      <c r="C700" s="1332"/>
      <c r="D700" s="1332"/>
      <c r="E700" s="1332"/>
      <c r="F700" s="1333"/>
      <c r="G700" s="1261">
        <v>5</v>
      </c>
      <c r="H700" s="1262"/>
      <c r="I700" s="1262"/>
      <c r="J700" s="1263"/>
      <c r="K700" s="1248">
        <v>823</v>
      </c>
      <c r="L700" s="1249"/>
      <c r="M700" s="1249"/>
      <c r="N700" s="1250"/>
      <c r="O700" s="1251">
        <f>792-12</f>
        <v>780</v>
      </c>
      <c r="P700" s="1252"/>
      <c r="Q700" s="1252"/>
      <c r="R700" s="1252"/>
      <c r="S700" s="1253"/>
      <c r="T700" s="1224">
        <f t="shared" si="45"/>
        <v>3900</v>
      </c>
      <c r="U700" s="1225"/>
      <c r="V700" s="1225"/>
      <c r="W700" s="1225"/>
      <c r="X700" s="1226"/>
      <c r="Y700" s="1251">
        <v>12</v>
      </c>
      <c r="Z700" s="1252"/>
      <c r="AA700" s="1252"/>
      <c r="AB700" s="1253"/>
      <c r="AC700" s="1224">
        <f t="shared" si="46"/>
        <v>792</v>
      </c>
      <c r="AD700" s="1225"/>
      <c r="AE700" s="1225"/>
      <c r="AF700" s="1225"/>
      <c r="AG700" s="1226"/>
      <c r="AH700" s="1255">
        <v>0.4</v>
      </c>
      <c r="AI700" s="1256"/>
      <c r="AJ700" s="1256"/>
      <c r="AK700" s="1256"/>
      <c r="AL700" s="1257"/>
      <c r="AM700" s="1221">
        <f t="shared" si="54"/>
        <v>0.4</v>
      </c>
      <c r="AN700" s="1222"/>
      <c r="AO700" s="1223"/>
      <c r="AV700" s="43">
        <f t="shared" si="47"/>
        <v>1980</v>
      </c>
      <c r="AX700" s="41"/>
      <c r="AY700" s="446">
        <f t="shared" si="48"/>
        <v>5</v>
      </c>
      <c r="AZ700" s="452">
        <f t="shared" si="49"/>
        <v>9.2592592592592587E-2</v>
      </c>
      <c r="BA700" s="453">
        <f t="shared" si="50"/>
        <v>3.7037037037037035E-2</v>
      </c>
      <c r="BB700" s="41"/>
      <c r="BC700" s="41"/>
      <c r="BD700" s="41"/>
      <c r="BE700" s="851">
        <f t="shared" si="51"/>
        <v>5</v>
      </c>
      <c r="BF700" s="855">
        <f t="shared" si="52"/>
        <v>9.2592592592592587E-2</v>
      </c>
      <c r="BG700" s="856">
        <f t="shared" si="53"/>
        <v>3.7037037037037035E-2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1" t="s">
        <v>780</v>
      </c>
      <c r="C701" s="1332"/>
      <c r="D701" s="1332"/>
      <c r="E701" s="1332"/>
      <c r="F701" s="1333"/>
      <c r="G701" s="1261">
        <v>11</v>
      </c>
      <c r="H701" s="1262"/>
      <c r="I701" s="1262"/>
      <c r="J701" s="1263"/>
      <c r="K701" s="1248">
        <v>823</v>
      </c>
      <c r="L701" s="1249"/>
      <c r="M701" s="1249"/>
      <c r="N701" s="1250"/>
      <c r="O701" s="1251">
        <f>990-12</f>
        <v>978</v>
      </c>
      <c r="P701" s="1252"/>
      <c r="Q701" s="1252"/>
      <c r="R701" s="1252"/>
      <c r="S701" s="1253"/>
      <c r="T701" s="1224">
        <f t="shared" si="45"/>
        <v>10758</v>
      </c>
      <c r="U701" s="1225"/>
      <c r="V701" s="1225"/>
      <c r="W701" s="1225"/>
      <c r="X701" s="1226"/>
      <c r="Y701" s="1251">
        <v>12</v>
      </c>
      <c r="Z701" s="1252"/>
      <c r="AA701" s="1252"/>
      <c r="AB701" s="1253"/>
      <c r="AC701" s="1224">
        <f t="shared" si="46"/>
        <v>990</v>
      </c>
      <c r="AD701" s="1225"/>
      <c r="AE701" s="1225"/>
      <c r="AF701" s="1225"/>
      <c r="AG701" s="1226"/>
      <c r="AH701" s="1255">
        <v>0.5</v>
      </c>
      <c r="AI701" s="1256"/>
      <c r="AJ701" s="1256"/>
      <c r="AK701" s="1256"/>
      <c r="AL701" s="1257"/>
      <c r="AM701" s="1221">
        <f t="shared" si="54"/>
        <v>0.5</v>
      </c>
      <c r="AN701" s="1222"/>
      <c r="AO701" s="1223"/>
      <c r="AV701" s="43">
        <f t="shared" si="47"/>
        <v>1980</v>
      </c>
      <c r="AX701" s="41"/>
      <c r="AY701" s="446">
        <f t="shared" si="48"/>
        <v>11</v>
      </c>
      <c r="AZ701" s="452">
        <f t="shared" si="49"/>
        <v>0.20370370370370369</v>
      </c>
      <c r="BA701" s="453">
        <f t="shared" si="50"/>
        <v>0.10185185185185185</v>
      </c>
      <c r="BB701" s="41"/>
      <c r="BC701" s="41"/>
      <c r="BD701" s="41"/>
      <c r="BE701" s="851">
        <f t="shared" si="51"/>
        <v>11</v>
      </c>
      <c r="BF701" s="855">
        <f t="shared" si="52"/>
        <v>0.20370370370370369</v>
      </c>
      <c r="BG701" s="856">
        <f t="shared" si="53"/>
        <v>0.10185185185185185</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1" t="s">
        <v>780</v>
      </c>
      <c r="C702" s="1332"/>
      <c r="D702" s="1332"/>
      <c r="E702" s="1332"/>
      <c r="F702" s="1333"/>
      <c r="G702" s="1261">
        <v>9</v>
      </c>
      <c r="H702" s="1262"/>
      <c r="I702" s="1262"/>
      <c r="J702" s="1263"/>
      <c r="K702" s="1248">
        <v>823</v>
      </c>
      <c r="L702" s="1249"/>
      <c r="M702" s="1249"/>
      <c r="N702" s="1250"/>
      <c r="O702" s="1251">
        <f>1188-12</f>
        <v>1176</v>
      </c>
      <c r="P702" s="1252"/>
      <c r="Q702" s="1252"/>
      <c r="R702" s="1252"/>
      <c r="S702" s="1253"/>
      <c r="T702" s="1224">
        <f t="shared" si="45"/>
        <v>10584</v>
      </c>
      <c r="U702" s="1225"/>
      <c r="V702" s="1225"/>
      <c r="W702" s="1225"/>
      <c r="X702" s="1226"/>
      <c r="Y702" s="1251">
        <v>12</v>
      </c>
      <c r="Z702" s="1252"/>
      <c r="AA702" s="1252"/>
      <c r="AB702" s="1253"/>
      <c r="AC702" s="1224">
        <f t="shared" si="46"/>
        <v>1188</v>
      </c>
      <c r="AD702" s="1225"/>
      <c r="AE702" s="1225"/>
      <c r="AF702" s="1225"/>
      <c r="AG702" s="1226"/>
      <c r="AH702" s="1255">
        <v>0.6</v>
      </c>
      <c r="AI702" s="1256"/>
      <c r="AJ702" s="1256"/>
      <c r="AK702" s="1256"/>
      <c r="AL702" s="1257"/>
      <c r="AM702" s="1221">
        <f t="shared" si="54"/>
        <v>0.6</v>
      </c>
      <c r="AN702" s="1222"/>
      <c r="AO702" s="1223"/>
      <c r="AV702" s="43">
        <f t="shared" si="47"/>
        <v>1980</v>
      </c>
      <c r="AX702" s="41"/>
      <c r="AY702" s="446">
        <f t="shared" si="48"/>
        <v>9</v>
      </c>
      <c r="AZ702" s="452">
        <f t="shared" si="49"/>
        <v>0.16666666666666666</v>
      </c>
      <c r="BA702" s="453">
        <f t="shared" si="50"/>
        <v>9.9999999999999992E-2</v>
      </c>
      <c r="BB702" s="41"/>
      <c r="BC702" s="41"/>
      <c r="BD702" s="41"/>
      <c r="BE702" s="851">
        <f t="shared" si="51"/>
        <v>9</v>
      </c>
      <c r="BF702" s="855">
        <f t="shared" si="52"/>
        <v>0.16666666666666666</v>
      </c>
      <c r="BG702" s="856">
        <f t="shared" si="53"/>
        <v>9.9999999999999992E-2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1" t="s">
        <v>781</v>
      </c>
      <c r="C703" s="1332"/>
      <c r="D703" s="1332"/>
      <c r="E703" s="1332"/>
      <c r="F703" s="1333"/>
      <c r="G703" s="1261">
        <v>2</v>
      </c>
      <c r="H703" s="1262"/>
      <c r="I703" s="1262"/>
      <c r="J703" s="1263"/>
      <c r="K703" s="1248">
        <v>1145</v>
      </c>
      <c r="L703" s="1249"/>
      <c r="M703" s="1249"/>
      <c r="N703" s="1250"/>
      <c r="O703" s="1251">
        <f>685-12</f>
        <v>673</v>
      </c>
      <c r="P703" s="1252"/>
      <c r="Q703" s="1252"/>
      <c r="R703" s="1252"/>
      <c r="S703" s="1253"/>
      <c r="T703" s="1224">
        <f t="shared" si="45"/>
        <v>1346</v>
      </c>
      <c r="U703" s="1225"/>
      <c r="V703" s="1225"/>
      <c r="W703" s="1225"/>
      <c r="X703" s="1226"/>
      <c r="Y703" s="1251">
        <v>12</v>
      </c>
      <c r="Z703" s="1252"/>
      <c r="AA703" s="1252"/>
      <c r="AB703" s="1253"/>
      <c r="AC703" s="1224">
        <f t="shared" si="46"/>
        <v>685</v>
      </c>
      <c r="AD703" s="1225"/>
      <c r="AE703" s="1225"/>
      <c r="AF703" s="1225"/>
      <c r="AG703" s="1226"/>
      <c r="AH703" s="1255">
        <v>0.3</v>
      </c>
      <c r="AI703" s="1256"/>
      <c r="AJ703" s="1256"/>
      <c r="AK703" s="1256"/>
      <c r="AL703" s="1257"/>
      <c r="AM703" s="1221">
        <f t="shared" si="54"/>
        <v>0.29965004374453191</v>
      </c>
      <c r="AN703" s="1222"/>
      <c r="AO703" s="1223"/>
      <c r="AV703" s="43">
        <f t="shared" si="47"/>
        <v>2286</v>
      </c>
      <c r="AX703" s="41"/>
      <c r="AY703" s="446">
        <f t="shared" si="48"/>
        <v>2</v>
      </c>
      <c r="AZ703" s="452">
        <f t="shared" si="49"/>
        <v>3.7037037037037035E-2</v>
      </c>
      <c r="BA703" s="453">
        <f t="shared" si="50"/>
        <v>1.111111111111111E-2</v>
      </c>
      <c r="BB703" s="41"/>
      <c r="BC703" s="41"/>
      <c r="BD703" s="41"/>
      <c r="BE703" s="851">
        <f t="shared" si="51"/>
        <v>2</v>
      </c>
      <c r="BF703" s="855">
        <f t="shared" si="52"/>
        <v>3.7037037037037035E-2</v>
      </c>
      <c r="BG703" s="856">
        <f t="shared" si="53"/>
        <v>1.1098149768315996E-2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1" t="s">
        <v>781</v>
      </c>
      <c r="C704" s="1332"/>
      <c r="D704" s="1332"/>
      <c r="E704" s="1332"/>
      <c r="F704" s="1333"/>
      <c r="G704" s="1261">
        <v>4</v>
      </c>
      <c r="H704" s="1262"/>
      <c r="I704" s="1262"/>
      <c r="J704" s="1263"/>
      <c r="K704" s="1248">
        <v>1145</v>
      </c>
      <c r="L704" s="1249"/>
      <c r="M704" s="1249"/>
      <c r="N704" s="1250"/>
      <c r="O704" s="1251">
        <f>914-12</f>
        <v>902</v>
      </c>
      <c r="P704" s="1252"/>
      <c r="Q704" s="1252"/>
      <c r="R704" s="1252"/>
      <c r="S704" s="1253"/>
      <c r="T704" s="1224">
        <f t="shared" si="45"/>
        <v>3608</v>
      </c>
      <c r="U704" s="1225"/>
      <c r="V704" s="1225"/>
      <c r="W704" s="1225"/>
      <c r="X704" s="1226"/>
      <c r="Y704" s="1251">
        <v>12</v>
      </c>
      <c r="Z704" s="1252"/>
      <c r="AA704" s="1252"/>
      <c r="AB704" s="1253"/>
      <c r="AC704" s="1224">
        <f t="shared" si="46"/>
        <v>914</v>
      </c>
      <c r="AD704" s="1225"/>
      <c r="AE704" s="1225"/>
      <c r="AF704" s="1225"/>
      <c r="AG704" s="1226"/>
      <c r="AH704" s="1255">
        <v>0.4</v>
      </c>
      <c r="AI704" s="1256"/>
      <c r="AJ704" s="1256"/>
      <c r="AK704" s="1256"/>
      <c r="AL704" s="1257"/>
      <c r="AM704" s="1221">
        <f t="shared" si="54"/>
        <v>0.39982502187226598</v>
      </c>
      <c r="AN704" s="1222"/>
      <c r="AO704" s="1223"/>
      <c r="AV704" s="43">
        <f t="shared" si="47"/>
        <v>2286</v>
      </c>
      <c r="AX704" s="41"/>
      <c r="AY704" s="446">
        <f t="shared" si="48"/>
        <v>4</v>
      </c>
      <c r="AZ704" s="452">
        <f t="shared" si="49"/>
        <v>7.407407407407407E-2</v>
      </c>
      <c r="BA704" s="453">
        <f t="shared" si="50"/>
        <v>2.9629629629629631E-2</v>
      </c>
      <c r="BB704" s="41"/>
      <c r="BC704" s="41"/>
      <c r="BD704" s="41"/>
      <c r="BE704" s="851">
        <f t="shared" si="51"/>
        <v>4</v>
      </c>
      <c r="BF704" s="855">
        <f t="shared" si="52"/>
        <v>7.407407407407407E-2</v>
      </c>
      <c r="BG704" s="856">
        <f t="shared" si="53"/>
        <v>2.9616668286834517E-2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1" t="s">
        <v>781</v>
      </c>
      <c r="C705" s="1332"/>
      <c r="D705" s="1332"/>
      <c r="E705" s="1332"/>
      <c r="F705" s="1333"/>
      <c r="G705" s="1261">
        <v>5</v>
      </c>
      <c r="H705" s="1262"/>
      <c r="I705" s="1262"/>
      <c r="J705" s="1263"/>
      <c r="K705" s="1248">
        <v>1145</v>
      </c>
      <c r="L705" s="1249"/>
      <c r="M705" s="1249"/>
      <c r="N705" s="1250"/>
      <c r="O705" s="1251">
        <f>1143-12</f>
        <v>1131</v>
      </c>
      <c r="P705" s="1252"/>
      <c r="Q705" s="1252"/>
      <c r="R705" s="1252"/>
      <c r="S705" s="1253"/>
      <c r="T705" s="1224">
        <f t="shared" si="45"/>
        <v>5655</v>
      </c>
      <c r="U705" s="1225"/>
      <c r="V705" s="1225"/>
      <c r="W705" s="1225"/>
      <c r="X705" s="1226"/>
      <c r="Y705" s="1251">
        <v>12</v>
      </c>
      <c r="Z705" s="1252"/>
      <c r="AA705" s="1252"/>
      <c r="AB705" s="1253"/>
      <c r="AC705" s="1224">
        <f t="shared" si="46"/>
        <v>1143</v>
      </c>
      <c r="AD705" s="1225"/>
      <c r="AE705" s="1225"/>
      <c r="AF705" s="1225"/>
      <c r="AG705" s="1226"/>
      <c r="AH705" s="1255">
        <v>0.5</v>
      </c>
      <c r="AI705" s="1256"/>
      <c r="AJ705" s="1256"/>
      <c r="AK705" s="1256"/>
      <c r="AL705" s="1257"/>
      <c r="AM705" s="1221">
        <f t="shared" si="54"/>
        <v>0.5</v>
      </c>
      <c r="AN705" s="1222"/>
      <c r="AO705" s="1223"/>
      <c r="AV705" s="43">
        <f t="shared" si="47"/>
        <v>2286</v>
      </c>
      <c r="AX705" s="41"/>
      <c r="AY705" s="446">
        <f t="shared" si="48"/>
        <v>5</v>
      </c>
      <c r="AZ705" s="452">
        <f t="shared" si="49"/>
        <v>9.2592592592592587E-2</v>
      </c>
      <c r="BA705" s="453">
        <f t="shared" si="50"/>
        <v>4.6296296296296294E-2</v>
      </c>
      <c r="BB705" s="41"/>
      <c r="BC705" s="41"/>
      <c r="BD705" s="41"/>
      <c r="BE705" s="851">
        <f t="shared" si="51"/>
        <v>5</v>
      </c>
      <c r="BF705" s="855">
        <f t="shared" si="52"/>
        <v>9.2592592592592587E-2</v>
      </c>
      <c r="BG705" s="856">
        <f t="shared" si="53"/>
        <v>4.6296296296296294E-2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1" t="s">
        <v>781</v>
      </c>
      <c r="C706" s="1332"/>
      <c r="D706" s="1332"/>
      <c r="E706" s="1332"/>
      <c r="F706" s="1333"/>
      <c r="G706" s="1261">
        <v>3</v>
      </c>
      <c r="H706" s="1262"/>
      <c r="I706" s="1262"/>
      <c r="J706" s="1263"/>
      <c r="K706" s="1248">
        <v>1145</v>
      </c>
      <c r="L706" s="1249"/>
      <c r="M706" s="1249"/>
      <c r="N706" s="1250"/>
      <c r="O706" s="1251">
        <f>1371-12</f>
        <v>1359</v>
      </c>
      <c r="P706" s="1252"/>
      <c r="Q706" s="1252"/>
      <c r="R706" s="1252"/>
      <c r="S706" s="1253"/>
      <c r="T706" s="1224">
        <f t="shared" si="45"/>
        <v>4077</v>
      </c>
      <c r="U706" s="1225"/>
      <c r="V706" s="1225"/>
      <c r="W706" s="1225"/>
      <c r="X706" s="1226"/>
      <c r="Y706" s="1251">
        <v>12</v>
      </c>
      <c r="Z706" s="1252"/>
      <c r="AA706" s="1252"/>
      <c r="AB706" s="1253"/>
      <c r="AC706" s="1224">
        <f t="shared" si="46"/>
        <v>1371</v>
      </c>
      <c r="AD706" s="1225"/>
      <c r="AE706" s="1225"/>
      <c r="AF706" s="1225"/>
      <c r="AG706" s="1226"/>
      <c r="AH706" s="1255">
        <v>0.6</v>
      </c>
      <c r="AI706" s="1256"/>
      <c r="AJ706" s="1256"/>
      <c r="AK706" s="1256"/>
      <c r="AL706" s="1257"/>
      <c r="AM706" s="1221">
        <f t="shared" si="54"/>
        <v>0.59973753280839892</v>
      </c>
      <c r="AN706" s="1222"/>
      <c r="AO706" s="1223"/>
      <c r="AV706" s="43">
        <f t="shared" si="47"/>
        <v>2286</v>
      </c>
      <c r="AX706" s="41"/>
      <c r="AY706" s="446">
        <f t="shared" si="48"/>
        <v>3</v>
      </c>
      <c r="AZ706" s="452">
        <f t="shared" si="49"/>
        <v>5.5555555555555552E-2</v>
      </c>
      <c r="BA706" s="453">
        <f t="shared" si="50"/>
        <v>3.3333333333333333E-2</v>
      </c>
      <c r="BB706" s="41"/>
      <c r="BC706" s="41"/>
      <c r="BD706" s="41"/>
      <c r="BE706" s="851">
        <f t="shared" si="51"/>
        <v>3</v>
      </c>
      <c r="BF706" s="855">
        <f t="shared" si="52"/>
        <v>5.5555555555555552E-2</v>
      </c>
      <c r="BG706" s="856">
        <f t="shared" si="53"/>
        <v>3.3318751822688827E-2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45"/>
        <v>0</v>
      </c>
      <c r="U707" s="1225"/>
      <c r="V707" s="1225"/>
      <c r="W707" s="1225"/>
      <c r="X707" s="1226"/>
      <c r="Y707" s="1251"/>
      <c r="Z707" s="1252"/>
      <c r="AA707" s="1252"/>
      <c r="AB707" s="1253"/>
      <c r="AC707" s="1224">
        <f t="shared" si="46"/>
        <v>0</v>
      </c>
      <c r="AD707" s="1225"/>
      <c r="AE707" s="1225"/>
      <c r="AF707" s="1225"/>
      <c r="AG707" s="1226"/>
      <c r="AH707" s="1255"/>
      <c r="AI707" s="1256"/>
      <c r="AJ707" s="1256"/>
      <c r="AK707" s="1256"/>
      <c r="AL707" s="1257"/>
      <c r="AM707" s="1221" t="str">
        <f t="shared" si="54"/>
        <v/>
      </c>
      <c r="AN707" s="1222"/>
      <c r="AO707" s="122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45"/>
        <v>0</v>
      </c>
      <c r="U708" s="1225"/>
      <c r="V708" s="1225"/>
      <c r="W708" s="1225"/>
      <c r="X708" s="1226"/>
      <c r="Y708" s="1251"/>
      <c r="Z708" s="1252"/>
      <c r="AA708" s="1252"/>
      <c r="AB708" s="1253"/>
      <c r="AC708" s="1224">
        <f t="shared" si="46"/>
        <v>0</v>
      </c>
      <c r="AD708" s="1225"/>
      <c r="AE708" s="1225"/>
      <c r="AF708" s="1225"/>
      <c r="AG708" s="1226"/>
      <c r="AH708" s="1255"/>
      <c r="AI708" s="1256"/>
      <c r="AJ708" s="1256"/>
      <c r="AK708" s="1256"/>
      <c r="AL708" s="1257"/>
      <c r="AM708" s="1221" t="str">
        <f t="shared" si="54"/>
        <v/>
      </c>
      <c r="AN708" s="1222"/>
      <c r="AO708" s="122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45"/>
        <v>0</v>
      </c>
      <c r="U709" s="1225"/>
      <c r="V709" s="1225"/>
      <c r="W709" s="1225"/>
      <c r="X709" s="1226"/>
      <c r="Y709" s="1251"/>
      <c r="Z709" s="1252"/>
      <c r="AA709" s="1252"/>
      <c r="AB709" s="1253"/>
      <c r="AC709" s="1224">
        <f t="shared" si="46"/>
        <v>0</v>
      </c>
      <c r="AD709" s="1225"/>
      <c r="AE709" s="1225"/>
      <c r="AF709" s="1225"/>
      <c r="AG709" s="1226"/>
      <c r="AH709" s="1255"/>
      <c r="AI709" s="1256"/>
      <c r="AJ709" s="1256"/>
      <c r="AK709" s="1256"/>
      <c r="AL709" s="1257"/>
      <c r="AM709" s="1221" t="str">
        <f t="shared" si="54"/>
        <v/>
      </c>
      <c r="AN709" s="1222"/>
      <c r="AO709" s="122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45"/>
        <v>0</v>
      </c>
      <c r="U710" s="1225"/>
      <c r="V710" s="1225"/>
      <c r="W710" s="1225"/>
      <c r="X710" s="1226"/>
      <c r="Y710" s="1251"/>
      <c r="Z710" s="1252"/>
      <c r="AA710" s="1252"/>
      <c r="AB710" s="1253"/>
      <c r="AC710" s="1224">
        <f t="shared" si="46"/>
        <v>0</v>
      </c>
      <c r="AD710" s="1225"/>
      <c r="AE710" s="1225"/>
      <c r="AF710" s="1225"/>
      <c r="AG710" s="1226"/>
      <c r="AH710" s="1255"/>
      <c r="AI710" s="1256"/>
      <c r="AJ710" s="1256"/>
      <c r="AK710" s="1256"/>
      <c r="AL710" s="1257"/>
      <c r="AM710" s="1221" t="str">
        <f t="shared" si="54"/>
        <v/>
      </c>
      <c r="AN710" s="1222"/>
      <c r="AO710" s="122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45"/>
        <v>0</v>
      </c>
      <c r="U711" s="1225"/>
      <c r="V711" s="1225"/>
      <c r="W711" s="1225"/>
      <c r="X711" s="1226"/>
      <c r="Y711" s="1251"/>
      <c r="Z711" s="1252"/>
      <c r="AA711" s="1252"/>
      <c r="AB711" s="1253"/>
      <c r="AC711" s="1224">
        <f t="shared" si="46"/>
        <v>0</v>
      </c>
      <c r="AD711" s="1225"/>
      <c r="AE711" s="1225"/>
      <c r="AF711" s="1225"/>
      <c r="AG711" s="1226"/>
      <c r="AH711" s="1255"/>
      <c r="AI711" s="1256"/>
      <c r="AJ711" s="1256"/>
      <c r="AK711" s="1256"/>
      <c r="AL711" s="1257"/>
      <c r="AM711" s="1221" t="str">
        <f t="shared" si="54"/>
        <v/>
      </c>
      <c r="AN711" s="1222"/>
      <c r="AO711" s="122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45"/>
        <v>0</v>
      </c>
      <c r="U712" s="1225"/>
      <c r="V712" s="1225"/>
      <c r="W712" s="1225"/>
      <c r="X712" s="1226"/>
      <c r="Y712" s="1251"/>
      <c r="Z712" s="1252"/>
      <c r="AA712" s="1252"/>
      <c r="AB712" s="1253"/>
      <c r="AC712" s="1224">
        <f t="shared" si="46"/>
        <v>0</v>
      </c>
      <c r="AD712" s="1225"/>
      <c r="AE712" s="1225"/>
      <c r="AF712" s="1225"/>
      <c r="AG712" s="1226"/>
      <c r="AH712" s="1255"/>
      <c r="AI712" s="1256"/>
      <c r="AJ712" s="1256"/>
      <c r="AK712" s="1256"/>
      <c r="AL712" s="1257"/>
      <c r="AM712" s="1221" t="str">
        <f t="shared" si="54"/>
        <v/>
      </c>
      <c r="AN712" s="1222"/>
      <c r="AO712" s="122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2" t="s">
        <v>877</v>
      </c>
      <c r="C730" s="1183"/>
      <c r="D730" s="1183"/>
      <c r="E730" s="1183"/>
      <c r="F730" s="1184"/>
      <c r="G730" s="1495">
        <f>SUM(G695:J729)</f>
        <v>54</v>
      </c>
      <c r="H730" s="1496"/>
      <c r="I730" s="1496"/>
      <c r="J730" s="1497"/>
      <c r="O730" s="430" t="s">
        <v>876</v>
      </c>
      <c r="P730" s="168"/>
      <c r="Q730" s="168"/>
      <c r="R730" s="168"/>
      <c r="S730" s="842"/>
      <c r="T730" s="1224">
        <f>SUM(T695:X729)</f>
        <v>51265</v>
      </c>
      <c r="U730" s="1225"/>
      <c r="V730" s="1225"/>
      <c r="W730" s="1225"/>
      <c r="X730" s="1226"/>
      <c r="AC730" s="843" t="s">
        <v>1139</v>
      </c>
      <c r="AD730" s="844"/>
      <c r="AE730" s="844"/>
      <c r="AF730" s="844"/>
      <c r="AG730" s="845"/>
      <c r="AH730" s="1227">
        <f>BA730</f>
        <v>0.48518518518518511</v>
      </c>
      <c r="AI730" s="1228"/>
      <c r="AJ730" s="1228"/>
      <c r="AK730" s="1228"/>
      <c r="AL730" s="1229"/>
      <c r="AM730" s="1227">
        <f>IFERROR(BG730,0)</f>
        <v>0.48514468098895036</v>
      </c>
      <c r="AN730" s="1228"/>
      <c r="AO730" s="1229"/>
      <c r="AX730" s="62" t="s">
        <v>875</v>
      </c>
      <c r="AY730" s="454">
        <f>SUM(AY695:AY729)</f>
        <v>54</v>
      </c>
      <c r="AZ730" s="455">
        <f>SUM(AZ695:AZ729)</f>
        <v>0.99999999999999989</v>
      </c>
      <c r="BA730" s="455">
        <f>SUM(BA695:BA729)</f>
        <v>0.48518518518518511</v>
      </c>
      <c r="BB730" s="41"/>
      <c r="BC730" s="41"/>
      <c r="BD730" s="41"/>
      <c r="BE730" s="852">
        <f>SUM(BE695:BE729)</f>
        <v>54</v>
      </c>
      <c r="BF730" s="853">
        <f>SUM(BF695:BF729)</f>
        <v>0.99999999999999989</v>
      </c>
      <c r="BG730" s="853">
        <f>SUM(BG695:BG729)</f>
        <v>0.48514468098895036</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2" t="s">
        <v>2059</v>
      </c>
      <c r="D731" s="1462"/>
      <c r="E731" s="1462"/>
      <c r="F731" s="1462"/>
      <c r="G731" s="1462"/>
      <c r="H731" s="1462"/>
      <c r="I731" s="1462"/>
      <c r="J731" s="1462"/>
      <c r="K731" s="1462"/>
      <c r="L731" s="1462"/>
      <c r="M731" s="1462"/>
      <c r="N731" s="1462"/>
      <c r="O731" s="1462"/>
      <c r="P731" s="1462"/>
      <c r="Q731" s="1462"/>
      <c r="R731" s="1462"/>
      <c r="S731" s="1462"/>
      <c r="T731" s="1462"/>
      <c r="U731" s="1462"/>
      <c r="V731" s="1462"/>
      <c r="W731" s="1462"/>
      <c r="X731" s="1462"/>
      <c r="Y731" s="1462"/>
      <c r="Z731" s="1462"/>
      <c r="AA731" s="1462"/>
      <c r="AB731" s="1462"/>
      <c r="AC731" s="1462"/>
      <c r="AD731" s="1462"/>
      <c r="AE731" s="1462"/>
      <c r="AF731" s="1462"/>
      <c r="AG731" s="1462"/>
      <c r="AH731" s="1462"/>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2"/>
      <c r="D732" s="1462"/>
      <c r="E732" s="1462"/>
      <c r="F732" s="1462"/>
      <c r="G732" s="1462"/>
      <c r="H732" s="1462"/>
      <c r="I732" s="1462"/>
      <c r="J732" s="1462"/>
      <c r="K732" s="1462"/>
      <c r="L732" s="1462"/>
      <c r="M732" s="1462"/>
      <c r="N732" s="1462"/>
      <c r="O732" s="1462"/>
      <c r="P732" s="1462"/>
      <c r="Q732" s="1462"/>
      <c r="R732" s="1462"/>
      <c r="S732" s="1462"/>
      <c r="T732" s="1462"/>
      <c r="U732" s="1462"/>
      <c r="V732" s="1462"/>
      <c r="W732" s="1462"/>
      <c r="X732" s="1462"/>
      <c r="Y732" s="1462"/>
      <c r="Z732" s="1462"/>
      <c r="AA732" s="1462"/>
      <c r="AB732" s="1462"/>
      <c r="AC732" s="1462"/>
      <c r="AD732" s="1462"/>
      <c r="AE732" s="1462"/>
      <c r="AF732" s="1462"/>
      <c r="AG732" s="1462"/>
      <c r="AH732" s="1462"/>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527">
        <f>CQ628</f>
        <v>110</v>
      </c>
      <c r="P733" s="1527"/>
      <c r="Q733" s="1527"/>
      <c r="R733" s="1527"/>
      <c r="S733" s="924"/>
      <c r="T733" s="924"/>
      <c r="U733" s="270" t="s">
        <v>2061</v>
      </c>
      <c r="V733" s="922"/>
      <c r="W733" s="922"/>
      <c r="X733" s="922"/>
      <c r="Y733" s="923"/>
      <c r="Z733" s="923"/>
      <c r="AA733" s="923"/>
      <c r="AB733" s="923"/>
      <c r="AC733" s="922"/>
      <c r="AD733" s="922"/>
      <c r="AE733" s="922"/>
      <c r="AF733" s="922"/>
      <c r="AG733" s="1492"/>
      <c r="AH733" s="1492"/>
      <c r="AI733" s="1492"/>
      <c r="AJ733" s="1492"/>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39" t="s">
        <v>54</v>
      </c>
      <c r="K748" s="1240"/>
      <c r="L748" s="1240"/>
      <c r="M748" s="1240"/>
      <c r="N748" s="1241"/>
      <c r="O748" s="1499" t="s">
        <v>256</v>
      </c>
      <c r="P748" s="1499"/>
      <c r="Q748" s="1499"/>
      <c r="R748" s="1499"/>
      <c r="S748" s="1499"/>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2"/>
      <c r="K749" s="1243"/>
      <c r="L749" s="1243"/>
      <c r="M749" s="1243"/>
      <c r="N749" s="1244"/>
      <c r="O749" s="1499"/>
      <c r="P749" s="1499"/>
      <c r="Q749" s="1499"/>
      <c r="R749" s="1499"/>
      <c r="S749" s="1499"/>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2"/>
      <c r="K750" s="1243"/>
      <c r="L750" s="1243"/>
      <c r="M750" s="1243"/>
      <c r="N750" s="1244"/>
      <c r="O750" s="1499"/>
      <c r="P750" s="1499"/>
      <c r="Q750" s="1499"/>
      <c r="R750" s="1499"/>
      <c r="S750" s="1499"/>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5"/>
      <c r="K751" s="1246"/>
      <c r="L751" s="1246"/>
      <c r="M751" s="1246"/>
      <c r="N751" s="1247"/>
      <c r="O751" s="1499"/>
      <c r="P751" s="1499"/>
      <c r="Q751" s="1499"/>
      <c r="R751" s="1499"/>
      <c r="S751" s="1499"/>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1" t="s">
        <v>781</v>
      </c>
      <c r="K752" s="1332"/>
      <c r="L752" s="1332"/>
      <c r="M752" s="1332"/>
      <c r="N752" s="1333"/>
      <c r="O752" s="1380">
        <v>1</v>
      </c>
      <c r="P752" s="1380"/>
      <c r="Q752" s="1380"/>
      <c r="R752" s="1380"/>
      <c r="S752" s="1380"/>
      <c r="T752" s="1248">
        <v>1108</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1"/>
      <c r="K753" s="1332"/>
      <c r="L753" s="1332"/>
      <c r="M753" s="1332"/>
      <c r="N753" s="1333"/>
      <c r="O753" s="1380"/>
      <c r="P753" s="1380"/>
      <c r="Q753" s="1380"/>
      <c r="R753" s="1380"/>
      <c r="S753" s="1380"/>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1"/>
      <c r="K754" s="1332"/>
      <c r="L754" s="1332"/>
      <c r="M754" s="1332"/>
      <c r="N754" s="1333"/>
      <c r="O754" s="1380"/>
      <c r="P754" s="1380"/>
      <c r="Q754" s="1380"/>
      <c r="R754" s="1380"/>
      <c r="S754" s="1380"/>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1"/>
      <c r="K755" s="1332"/>
      <c r="L755" s="1332"/>
      <c r="M755" s="1332"/>
      <c r="N755" s="1333"/>
      <c r="O755" s="1380"/>
      <c r="P755" s="1380"/>
      <c r="Q755" s="1380"/>
      <c r="R755" s="1380"/>
      <c r="S755" s="1380"/>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2" t="s">
        <v>877</v>
      </c>
      <c r="K756" s="1183"/>
      <c r="L756" s="1183"/>
      <c r="M756" s="1183"/>
      <c r="N756" s="1184"/>
      <c r="O756" s="1271">
        <f>SUM(O752:S755)</f>
        <v>1</v>
      </c>
      <c r="P756" s="1272"/>
      <c r="Q756" s="1272"/>
      <c r="R756" s="1272"/>
      <c r="S756" s="1273"/>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39" t="s">
        <v>54</v>
      </c>
      <c r="K762" s="1240"/>
      <c r="L762" s="1240"/>
      <c r="M762" s="1240"/>
      <c r="N762" s="1241"/>
      <c r="O762" s="1499" t="s">
        <v>256</v>
      </c>
      <c r="P762" s="1499"/>
      <c r="Q762" s="1499"/>
      <c r="R762" s="1499"/>
      <c r="S762" s="1499"/>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2"/>
      <c r="K763" s="1243"/>
      <c r="L763" s="1243"/>
      <c r="M763" s="1243"/>
      <c r="N763" s="1244"/>
      <c r="O763" s="1499"/>
      <c r="P763" s="1499"/>
      <c r="Q763" s="1499"/>
      <c r="R763" s="1499"/>
      <c r="S763" s="1499"/>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2"/>
      <c r="K764" s="1243"/>
      <c r="L764" s="1243"/>
      <c r="M764" s="1243"/>
      <c r="N764" s="1244"/>
      <c r="O764" s="1499"/>
      <c r="P764" s="1499"/>
      <c r="Q764" s="1499"/>
      <c r="R764" s="1499"/>
      <c r="S764" s="1499"/>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5"/>
      <c r="K765" s="1246"/>
      <c r="L765" s="1246"/>
      <c r="M765" s="1246"/>
      <c r="N765" s="1247"/>
      <c r="O765" s="1499"/>
      <c r="P765" s="1499"/>
      <c r="Q765" s="1499"/>
      <c r="R765" s="1499"/>
      <c r="S765" s="1499"/>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1"/>
      <c r="K766" s="1332"/>
      <c r="L766" s="1332"/>
      <c r="M766" s="1332"/>
      <c r="N766" s="1333"/>
      <c r="O766" s="1380"/>
      <c r="P766" s="1380"/>
      <c r="Q766" s="1380"/>
      <c r="R766" s="1380"/>
      <c r="S766" s="1380"/>
      <c r="T766" s="1248"/>
      <c r="U766" s="1249"/>
      <c r="V766" s="1249"/>
      <c r="W766" s="1250"/>
      <c r="X766" s="1251"/>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1"/>
      <c r="K767" s="1332"/>
      <c r="L767" s="1332"/>
      <c r="M767" s="1332"/>
      <c r="N767" s="1333"/>
      <c r="O767" s="1380"/>
      <c r="P767" s="1380"/>
      <c r="Q767" s="1380"/>
      <c r="R767" s="1380"/>
      <c r="S767" s="1380"/>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1"/>
      <c r="K768" s="1332"/>
      <c r="L768" s="1332"/>
      <c r="M768" s="1332"/>
      <c r="N768" s="1333"/>
      <c r="O768" s="1380"/>
      <c r="P768" s="1380"/>
      <c r="Q768" s="1380"/>
      <c r="R768" s="1380"/>
      <c r="S768" s="1380"/>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1"/>
      <c r="K769" s="1332"/>
      <c r="L769" s="1332"/>
      <c r="M769" s="1332"/>
      <c r="N769" s="1333"/>
      <c r="O769" s="1380"/>
      <c r="P769" s="1380"/>
      <c r="Q769" s="1380"/>
      <c r="R769" s="1380"/>
      <c r="S769" s="1380"/>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1"/>
      <c r="K770" s="1332"/>
      <c r="L770" s="1332"/>
      <c r="M770" s="1332"/>
      <c r="N770" s="1333"/>
      <c r="O770" s="1380"/>
      <c r="P770" s="1380"/>
      <c r="Q770" s="1380"/>
      <c r="R770" s="1380"/>
      <c r="S770" s="1380"/>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1"/>
      <c r="K771" s="1332"/>
      <c r="L771" s="1332"/>
      <c r="M771" s="1332"/>
      <c r="N771" s="1333"/>
      <c r="O771" s="1380"/>
      <c r="P771" s="1380"/>
      <c r="Q771" s="1380"/>
      <c r="R771" s="1380"/>
      <c r="S771" s="1380"/>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1"/>
      <c r="K772" s="1332"/>
      <c r="L772" s="1332"/>
      <c r="M772" s="1332"/>
      <c r="N772" s="1333"/>
      <c r="O772" s="1380"/>
      <c r="P772" s="1380"/>
      <c r="Q772" s="1380"/>
      <c r="R772" s="1380"/>
      <c r="S772" s="1380"/>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1"/>
      <c r="K773" s="1332"/>
      <c r="L773" s="1332"/>
      <c r="M773" s="1332"/>
      <c r="N773" s="1333"/>
      <c r="O773" s="1380"/>
      <c r="P773" s="1380"/>
      <c r="Q773" s="1380"/>
      <c r="R773" s="1380"/>
      <c r="S773" s="1380"/>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1"/>
      <c r="K774" s="1332"/>
      <c r="L774" s="1332"/>
      <c r="M774" s="1332"/>
      <c r="N774" s="1333"/>
      <c r="O774" s="1380"/>
      <c r="P774" s="1380"/>
      <c r="Q774" s="1380"/>
      <c r="R774" s="1380"/>
      <c r="S774" s="1380"/>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1"/>
      <c r="K775" s="1332"/>
      <c r="L775" s="1332"/>
      <c r="M775" s="1332"/>
      <c r="N775" s="1333"/>
      <c r="O775" s="1380"/>
      <c r="P775" s="1380"/>
      <c r="Q775" s="1380"/>
      <c r="R775" s="1380"/>
      <c r="S775" s="1380"/>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2" t="s">
        <v>877</v>
      </c>
      <c r="K776" s="1183"/>
      <c r="L776" s="1183"/>
      <c r="M776" s="1183"/>
      <c r="N776" s="1184"/>
      <c r="O776" s="1527">
        <f>SUM(O766:S775)</f>
        <v>0</v>
      </c>
      <c r="P776" s="1527"/>
      <c r="Q776" s="1527"/>
      <c r="R776" s="1527"/>
      <c r="S776" s="1527"/>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15">
        <f>T730+AC756+AC776</f>
        <v>51265</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15">
        <f>(T730+AC756+AC776)*12</f>
        <v>615180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3"/>
      <c r="AA785" s="1378"/>
      <c r="AB785" s="1378"/>
      <c r="AC785" s="1378"/>
      <c r="AD785" s="1378"/>
      <c r="AE785" s="137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7">
        <v>0</v>
      </c>
      <c r="AA786" s="1378"/>
      <c r="AB786" s="1378"/>
      <c r="AC786" s="1378"/>
      <c r="AD786" s="1378"/>
      <c r="AE786" s="137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74">
        <v>0</v>
      </c>
      <c r="AA787" s="1375"/>
      <c r="AB787" s="1375"/>
      <c r="AC787" s="1375"/>
      <c r="AD787" s="1375"/>
      <c r="AE787" s="137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0">
        <f>'Subsidy Contract Calculation'!I40</f>
        <v>0</v>
      </c>
      <c r="AA788" s="1501"/>
      <c r="AB788" s="1501"/>
      <c r="AC788" s="1501"/>
      <c r="AD788" s="1501"/>
      <c r="AE788" s="15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199">
        <v>13200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03" t="s">
        <v>562</v>
      </c>
      <c r="Q795" s="1204"/>
      <c r="R795" s="1204"/>
      <c r="S795" s="1204"/>
      <c r="T795" s="1204"/>
      <c r="U795" s="1204"/>
      <c r="V795" s="1204"/>
      <c r="W795" s="1204"/>
      <c r="X795" s="1204"/>
      <c r="Y795" s="1205"/>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193">
        <f>SUM(Z792:AE795)</f>
        <v>13200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193">
        <f>Z796+Y780+Z788</f>
        <v>628380</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6" t="s">
        <v>878</v>
      </c>
      <c r="N802" s="1546"/>
      <c r="O802" s="1546"/>
      <c r="P802" s="1547"/>
      <c r="Q802" s="1494" t="s">
        <v>263</v>
      </c>
      <c r="R802" s="1494"/>
      <c r="S802" s="1494"/>
      <c r="T802" s="1494"/>
      <c r="U802" s="1494" t="s">
        <v>264</v>
      </c>
      <c r="V802" s="1494"/>
      <c r="W802" s="1494"/>
      <c r="X802" s="1494"/>
      <c r="Y802" s="1494" t="s">
        <v>265</v>
      </c>
      <c r="Z802" s="1494"/>
      <c r="AA802" s="1494"/>
      <c r="AB802" s="1494"/>
      <c r="AC802" s="1494" t="s">
        <v>31</v>
      </c>
      <c r="AD802" s="1494"/>
      <c r="AE802" s="1494"/>
      <c r="AF802" s="1494"/>
      <c r="AG802" s="1498" t="s">
        <v>563</v>
      </c>
      <c r="AH802" s="1498"/>
      <c r="AI802" s="1498"/>
      <c r="AJ802" s="149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0"/>
      <c r="N803" s="1540"/>
      <c r="O803" s="1540"/>
      <c r="P803" s="1541"/>
      <c r="Q803" s="1494"/>
      <c r="R803" s="1494"/>
      <c r="S803" s="1494"/>
      <c r="T803" s="1494"/>
      <c r="U803" s="1494"/>
      <c r="V803" s="1494"/>
      <c r="W803" s="1494"/>
      <c r="X803" s="1494"/>
      <c r="Y803" s="1494"/>
      <c r="Z803" s="1494"/>
      <c r="AA803" s="1494"/>
      <c r="AB803" s="1494"/>
      <c r="AC803" s="1494"/>
      <c r="AD803" s="1494"/>
      <c r="AE803" s="1494"/>
      <c r="AF803" s="1494"/>
      <c r="AG803" s="1498"/>
      <c r="AH803" s="1498"/>
      <c r="AI803" s="1498"/>
      <c r="AJ803" s="149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1" t="s">
        <v>694</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58" t="s">
        <v>695</v>
      </c>
      <c r="D805" s="1337"/>
      <c r="E805" s="1337"/>
      <c r="F805" s="1337"/>
      <c r="G805" s="1337"/>
      <c r="H805" s="1337"/>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58" t="s">
        <v>71</v>
      </c>
      <c r="D806" s="1337"/>
      <c r="E806" s="1337"/>
      <c r="F806" s="1337"/>
      <c r="G806" s="1337"/>
      <c r="H806" s="1337"/>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58" t="s">
        <v>178</v>
      </c>
      <c r="D807" s="1337"/>
      <c r="E807" s="1337"/>
      <c r="F807" s="1337"/>
      <c r="G807" s="1337"/>
      <c r="H807" s="1337"/>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58" t="s">
        <v>790</v>
      </c>
      <c r="D808" s="1337"/>
      <c r="E808" s="1337"/>
      <c r="F808" s="1337"/>
      <c r="G808" s="1337"/>
      <c r="H808" s="1337"/>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2" t="s">
        <v>943</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7" t="s">
        <v>2450</v>
      </c>
      <c r="G810" s="1204"/>
      <c r="H810" s="1204"/>
      <c r="I810" s="1204"/>
      <c r="J810" s="1204"/>
      <c r="K810" s="1204"/>
      <c r="L810" s="1204"/>
      <c r="M810" s="1064"/>
      <c r="N810" s="1064"/>
      <c r="O810" s="1064"/>
      <c r="P810" s="1064"/>
      <c r="Q810" s="1064">
        <v>12</v>
      </c>
      <c r="R810" s="1064"/>
      <c r="S810" s="1064"/>
      <c r="T810" s="1064"/>
      <c r="U810" s="1064">
        <v>12</v>
      </c>
      <c r="V810" s="1064"/>
      <c r="W810" s="1064"/>
      <c r="X810" s="1064"/>
      <c r="Y810" s="1064">
        <v>12</v>
      </c>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2" t="s">
        <v>876</v>
      </c>
      <c r="D811" s="1183"/>
      <c r="E811" s="1183"/>
      <c r="F811" s="1183"/>
      <c r="G811" s="1183"/>
      <c r="H811" s="1183"/>
      <c r="I811" s="1183"/>
      <c r="J811" s="1183"/>
      <c r="K811" s="1183"/>
      <c r="L811" s="1184"/>
      <c r="M811" s="1202">
        <f>SUM(M804:P810)</f>
        <v>0</v>
      </c>
      <c r="N811" s="1202"/>
      <c r="O811" s="1202"/>
      <c r="P811" s="1202"/>
      <c r="Q811" s="1202">
        <f>SUM(Q804:T810)</f>
        <v>12</v>
      </c>
      <c r="R811" s="1202"/>
      <c r="S811" s="1202"/>
      <c r="T811" s="1202"/>
      <c r="U811" s="1202">
        <f>SUM(U804:X810)</f>
        <v>12</v>
      </c>
      <c r="V811" s="1202"/>
      <c r="W811" s="1202"/>
      <c r="X811" s="1202"/>
      <c r="Y811" s="1202">
        <f>SUM(Y804:AB810)</f>
        <v>12</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t="s">
        <v>2450</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7" t="s">
        <v>368</v>
      </c>
      <c r="BB819" s="1518"/>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2">
        <v>471</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2">
        <v>3463</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2">
        <v>7452</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03" t="s">
        <v>562</v>
      </c>
      <c r="N825" s="1204"/>
      <c r="O825" s="1204"/>
      <c r="P825" s="1204"/>
      <c r="Q825" s="1204"/>
      <c r="R825" s="1204"/>
      <c r="S825" s="1204"/>
      <c r="T825" s="1204"/>
      <c r="U825" s="1204"/>
      <c r="V825" s="1205"/>
      <c r="W825" s="1212"/>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4" t="str">
        <f>T189</f>
        <v>Fresno</v>
      </c>
      <c r="BP825" s="1515"/>
      <c r="BQ825" s="1515"/>
      <c r="BR825" s="1515"/>
      <c r="BS825" s="1515"/>
      <c r="BT825" s="1515"/>
      <c r="BU825" s="151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3">
        <f>SUM(W821:AC825)</f>
        <v>11386</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26863</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192">
        <v>499</v>
      </c>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192">
        <f>277035-241384</f>
        <v>35651</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2">
        <v>56820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3">
        <f>SUM(W830:AC833)</f>
        <v>92970</v>
      </c>
      <c r="X834" s="1513"/>
      <c r="Y834" s="1513"/>
      <c r="Z834" s="1513"/>
      <c r="AA834" s="1513"/>
      <c r="AB834" s="1513"/>
      <c r="AC834" s="1513"/>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6">
        <v>39284</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061"/>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06"/>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03" t="s">
        <v>562</v>
      </c>
      <c r="N840" s="1204"/>
      <c r="O840" s="1204"/>
      <c r="P840" s="1204"/>
      <c r="Q840" s="1204"/>
      <c r="R840" s="1204"/>
      <c r="S840" s="1204"/>
      <c r="T840" s="1204"/>
      <c r="U840" s="1204"/>
      <c r="V840" s="1205"/>
      <c r="W840" s="1206"/>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49">
        <f>SUM(W836:AC840)</f>
        <v>39284</v>
      </c>
      <c r="X841" s="1550"/>
      <c r="Y841" s="1550"/>
      <c r="Z841" s="1550"/>
      <c r="AA841" s="1550"/>
      <c r="AB841" s="1550"/>
      <c r="AC841" s="155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6">
        <v>11414</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2">
        <v>10000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2">
        <v>42885</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2">
        <v>24905</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2">
        <v>5000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2">
        <v>12328</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03" t="s">
        <v>562</v>
      </c>
      <c r="N850" s="1204"/>
      <c r="O850" s="1204"/>
      <c r="P850" s="1204"/>
      <c r="Q850" s="1204"/>
      <c r="R850" s="1204"/>
      <c r="S850" s="1204"/>
      <c r="T850" s="1204"/>
      <c r="U850" s="1204"/>
      <c r="V850" s="1205"/>
      <c r="W850" s="1212"/>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5">
        <f>SUM(W844:AC850)</f>
        <v>95118</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203" t="s">
        <v>562</v>
      </c>
      <c r="N853" s="1204"/>
      <c r="O853" s="1204"/>
      <c r="P853" s="1204"/>
      <c r="Q853" s="1204"/>
      <c r="R853" s="1204"/>
      <c r="S853" s="1204"/>
      <c r="T853" s="1204"/>
      <c r="U853" s="1204"/>
      <c r="V853" s="1205"/>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203" t="s">
        <v>562</v>
      </c>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03" t="s">
        <v>562</v>
      </c>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03" t="s">
        <v>562</v>
      </c>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03" t="s">
        <v>562</v>
      </c>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277035</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55</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89" t="s">
        <v>346</v>
      </c>
      <c r="F864" s="1490"/>
      <c r="G864" s="1490"/>
      <c r="H864" s="1490"/>
      <c r="I864" s="1490"/>
      <c r="J864" s="1490"/>
      <c r="K864" s="1490"/>
      <c r="L864" s="1490"/>
      <c r="M864" s="1490"/>
      <c r="N864" s="1490"/>
      <c r="O864" s="1490"/>
      <c r="P864" s="1490"/>
      <c r="Q864" s="1490"/>
      <c r="R864" s="1490"/>
      <c r="S864" s="1490"/>
      <c r="T864" s="1490"/>
      <c r="U864" s="1490"/>
      <c r="V864" s="1490"/>
      <c r="W864" s="1490"/>
      <c r="X864" s="1490"/>
      <c r="Y864" s="1490"/>
      <c r="Z864" s="1490"/>
      <c r="AA864" s="1490"/>
      <c r="AB864" s="1491"/>
      <c r="AC864" s="1213">
        <f>IF(ISERROR((ROUNDDOWN(AC862/AC863,0))),0,(ROUNDDOWN(AC862/AC863,0)))</f>
        <v>5037</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Budget'!C74</f>
        <v>140000</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2"/>
      <c r="AE866" s="1212"/>
      <c r="AF866" s="1212"/>
      <c r="AG866" s="1212"/>
      <c r="AH866" s="1212"/>
      <c r="AI866"/>
      <c r="AJ866"/>
      <c r="AK866"/>
      <c r="AL866"/>
      <c r="AM866" s="38"/>
      <c r="AN866" s="38"/>
      <c r="AV866" s="1488"/>
      <c r="AW866" s="1488"/>
      <c r="AX866" s="1488"/>
      <c r="AY866" s="1488"/>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22800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13750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6"/>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2"/>
      <c r="AO875" s="1542"/>
      <c r="AP875" s="1488"/>
      <c r="AQ875" s="1488"/>
      <c r="AR875" s="1488"/>
      <c r="AS875" s="1488"/>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88"/>
      <c r="AQ876" s="1488"/>
      <c r="AR876" s="1488"/>
      <c r="AS876" s="1488"/>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3" t="s">
        <v>961</v>
      </c>
      <c r="G892" s="1544"/>
      <c r="H892" s="1544"/>
      <c r="I892" s="1544"/>
      <c r="J892" s="1544"/>
      <c r="K892" s="1544"/>
      <c r="L892" s="1544"/>
      <c r="M892" s="1544"/>
      <c r="N892" s="1544"/>
      <c r="O892" s="1544"/>
      <c r="P892" s="1544"/>
      <c r="Q892" s="1544"/>
      <c r="R892" s="1544"/>
      <c r="S892" s="1544"/>
      <c r="T892" s="1545"/>
      <c r="U892" s="1548" t="s">
        <v>345</v>
      </c>
      <c r="V892" s="1546"/>
      <c r="W892" s="1546"/>
      <c r="X892" s="1546"/>
      <c r="Y892" s="1546"/>
      <c r="Z892" s="1546"/>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6" t="s">
        <v>1039</v>
      </c>
      <c r="G893" s="1537"/>
      <c r="H893" s="1537"/>
      <c r="I893" s="1537"/>
      <c r="J893" s="1537"/>
      <c r="K893" s="1537"/>
      <c r="L893" s="1537"/>
      <c r="M893" s="1537"/>
      <c r="N893" s="1537"/>
      <c r="O893" s="1537"/>
      <c r="P893" s="1537"/>
      <c r="Q893" s="1537"/>
      <c r="R893" s="1537"/>
      <c r="S893" s="1537"/>
      <c r="T893" s="1538"/>
      <c r="U893" s="1536"/>
      <c r="V893" s="1537"/>
      <c r="W893" s="1537"/>
      <c r="X893" s="1537"/>
      <c r="Y893" s="1537"/>
      <c r="Z893" s="153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39"/>
      <c r="G894" s="1540"/>
      <c r="H894" s="1540"/>
      <c r="I894" s="1540"/>
      <c r="J894" s="1540"/>
      <c r="K894" s="1540"/>
      <c r="L894" s="1540"/>
      <c r="M894" s="1540"/>
      <c r="N894" s="1540"/>
      <c r="O894" s="1540"/>
      <c r="P894" s="1540"/>
      <c r="Q894" s="1540"/>
      <c r="R894" s="1540"/>
      <c r="S894" s="1540"/>
      <c r="T894" s="1541"/>
      <c r="U894" s="1539"/>
      <c r="V894" s="1540"/>
      <c r="W894" s="1540"/>
      <c r="X894" s="1540"/>
      <c r="Y894" s="1540"/>
      <c r="Z894" s="1540"/>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2286</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2283</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2284</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2285</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2279</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2276</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2287</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2289</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2277</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2281</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2278</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2290</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2288</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31"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2280</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373</v>
      </c>
      <c r="G923" s="1053"/>
      <c r="H923" s="1054"/>
      <c r="I923" s="1077" t="s">
        <v>562</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826</v>
      </c>
      <c r="G924" s="1053"/>
      <c r="H924" s="1054"/>
      <c r="I924" s="1077" t="s">
        <v>2451</v>
      </c>
      <c r="J924" s="1078"/>
      <c r="K924" s="1078"/>
      <c r="L924" s="1078"/>
      <c r="M924" s="1078"/>
      <c r="N924" s="1078"/>
      <c r="O924" s="1078"/>
      <c r="P924" s="1078"/>
      <c r="Q924" s="1078"/>
      <c r="R924" s="1078"/>
      <c r="S924" s="1078"/>
      <c r="T924" s="1079"/>
      <c r="U924" s="1055" t="s">
        <v>108</v>
      </c>
      <c r="V924" s="1056"/>
      <c r="W924" s="1056"/>
      <c r="X924" s="1056"/>
      <c r="Y924" s="1056"/>
      <c r="Z924" s="1057"/>
      <c r="AA924" s="1058">
        <v>4750000</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85"/>
      <c r="M931" s="1186"/>
      <c r="N931" s="1186"/>
      <c r="O931" s="1186"/>
      <c r="P931" s="1186"/>
      <c r="Q931" s="1186"/>
      <c r="R931" s="1186"/>
      <c r="S931" s="1187"/>
      <c r="U931" s="72" t="s">
        <v>827</v>
      </c>
      <c r="V931" s="9"/>
      <c r="W931" s="9"/>
      <c r="X931" s="9"/>
      <c r="Y931" s="9"/>
      <c r="Z931" s="9"/>
      <c r="AA931" s="9"/>
      <c r="AB931" s="9"/>
      <c r="AC931" s="9"/>
      <c r="AD931" s="52"/>
      <c r="AE931" s="1522"/>
      <c r="AF931" s="1375"/>
      <c r="AG931" s="1375"/>
      <c r="AH931" s="1375"/>
      <c r="AI931" s="1375"/>
      <c r="AJ931" s="1375"/>
      <c r="AK931" s="137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185"/>
      <c r="M932" s="1186"/>
      <c r="N932" s="1186"/>
      <c r="O932" s="1186"/>
      <c r="P932" s="1186"/>
      <c r="Q932" s="1186"/>
      <c r="R932" s="1186"/>
      <c r="S932" s="1187"/>
      <c r="U932" s="72" t="s">
        <v>828</v>
      </c>
      <c r="V932" s="9"/>
      <c r="W932" s="9"/>
      <c r="X932" s="9"/>
      <c r="Y932" s="9"/>
      <c r="Z932" s="9"/>
      <c r="AA932" s="9"/>
      <c r="AB932" s="9"/>
      <c r="AC932" s="9"/>
      <c r="AD932" s="52"/>
      <c r="AE932" s="1523"/>
      <c r="AF932" s="1524"/>
      <c r="AG932" s="1524"/>
      <c r="AH932" s="1524"/>
      <c r="AI932" s="1524"/>
      <c r="AJ932" s="1524"/>
      <c r="AK932" s="152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386" t="s">
        <v>79</v>
      </c>
      <c r="M933" s="1387"/>
      <c r="N933" s="1387"/>
      <c r="O933" s="1387"/>
      <c r="P933" s="1387"/>
      <c r="Q933" s="1387"/>
      <c r="R933" s="1387"/>
      <c r="S933" s="1388"/>
      <c r="U933" s="72" t="s">
        <v>1108</v>
      </c>
      <c r="V933" s="9"/>
      <c r="W933" s="9"/>
      <c r="AE933" s="1386" t="s">
        <v>79</v>
      </c>
      <c r="AF933" s="1387"/>
      <c r="AG933" s="1387"/>
      <c r="AH933" s="1387"/>
      <c r="AI933" s="1387"/>
      <c r="AJ933" s="1387"/>
      <c r="AK933" s="138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19"/>
      <c r="M934" s="1520"/>
      <c r="N934" s="1520"/>
      <c r="O934" s="1520"/>
      <c r="P934" s="1520"/>
      <c r="Q934" s="1520"/>
      <c r="R934" s="1520"/>
      <c r="S934" s="1521"/>
      <c r="U934" s="72" t="s">
        <v>829</v>
      </c>
      <c r="V934" s="9"/>
      <c r="W934" s="9"/>
      <c r="X934" s="9"/>
      <c r="Y934" s="9"/>
      <c r="Z934" s="9"/>
      <c r="AA934" s="9"/>
      <c r="AB934" s="9"/>
      <c r="AC934" s="9"/>
      <c r="AD934" s="52"/>
      <c r="AE934" s="1519"/>
      <c r="AF934" s="1520"/>
      <c r="AG934" s="1520"/>
      <c r="AH934" s="1520"/>
      <c r="AI934" s="1520"/>
      <c r="AJ934" s="1520"/>
      <c r="AK934" s="152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28"/>
      <c r="M935" s="1529"/>
      <c r="N935" s="1529"/>
      <c r="O935" s="1529"/>
      <c r="P935" s="1529"/>
      <c r="Q935" s="1529"/>
      <c r="R935" s="1529"/>
      <c r="S935" s="1530"/>
      <c r="U935" s="72" t="s">
        <v>830</v>
      </c>
      <c r="V935" s="9"/>
      <c r="W935" s="9"/>
      <c r="X935" s="9"/>
      <c r="Y935" s="9"/>
      <c r="Z935" s="9"/>
      <c r="AA935" s="9"/>
      <c r="AB935" s="9"/>
      <c r="AC935" s="9"/>
      <c r="AD935" s="52"/>
      <c r="AE935" s="1493"/>
      <c r="AF935" s="1378"/>
      <c r="AG935" s="1378"/>
      <c r="AH935" s="1378"/>
      <c r="AI935" s="1378"/>
      <c r="AJ935" s="1378"/>
      <c r="AK935" s="137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199"/>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199" t="s">
        <v>2219</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28"/>
      <c r="M938" s="1529"/>
      <c r="N938" s="1529"/>
      <c r="O938" s="1529"/>
      <c r="P938" s="1529"/>
      <c r="Q938" s="1529"/>
      <c r="R938" s="1529"/>
      <c r="S938" s="1530"/>
      <c r="U938" s="214" t="s">
        <v>1971</v>
      </c>
      <c r="V938" s="9"/>
      <c r="W938" s="9"/>
      <c r="X938" s="9"/>
      <c r="Y938" s="9"/>
      <c r="Z938" s="9"/>
      <c r="AA938" s="9"/>
      <c r="AB938" s="9"/>
      <c r="AC938" s="9"/>
      <c r="AD938" s="52"/>
      <c r="AE938" s="1528"/>
      <c r="AF938" s="1529"/>
      <c r="AG938" s="1529"/>
      <c r="AH938" s="1529"/>
      <c r="AI938" s="1529"/>
      <c r="AJ938" s="1529"/>
      <c r="AK938" s="153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44"/>
      <c r="N943" s="1445"/>
      <c r="O943" s="1445"/>
      <c r="P943" s="1445"/>
      <c r="Q943" s="1445"/>
      <c r="R943" s="1445"/>
      <c r="S943" s="1446"/>
      <c r="T943" s="72" t="s">
        <v>950</v>
      </c>
      <c r="U943" s="9"/>
      <c r="V943" s="9"/>
      <c r="W943" s="9"/>
      <c r="X943" s="9"/>
      <c r="Y943" s="9"/>
      <c r="Z943" s="52"/>
      <c r="AA943" s="1444"/>
      <c r="AB943" s="1445"/>
      <c r="AC943" s="1445"/>
      <c r="AD943" s="1445"/>
      <c r="AE943" s="1445"/>
      <c r="AF943" s="1445"/>
      <c r="AG943" s="144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44"/>
      <c r="N944" s="1445"/>
      <c r="O944" s="1445"/>
      <c r="P944" s="1445"/>
      <c r="Q944" s="1445"/>
      <c r="R944" s="1445"/>
      <c r="S944" s="1446"/>
      <c r="T944" s="72" t="s">
        <v>949</v>
      </c>
      <c r="U944" s="9"/>
      <c r="V944" s="9"/>
      <c r="W944" s="9"/>
      <c r="X944" s="9"/>
      <c r="Y944" s="9"/>
      <c r="Z944" s="52"/>
      <c r="AA944" s="1444"/>
      <c r="AB944" s="1445"/>
      <c r="AC944" s="1445"/>
      <c r="AD944" s="1445"/>
      <c r="AE944" s="1445"/>
      <c r="AF944" s="1445"/>
      <c r="AG944" s="144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24" t="s">
        <v>124</v>
      </c>
      <c r="N945" s="1258"/>
      <c r="O945" s="1258"/>
      <c r="P945" s="1258"/>
      <c r="Q945" s="1258"/>
      <c r="R945" s="1258"/>
      <c r="S945" s="1325"/>
      <c r="T945" s="8" t="s">
        <v>566</v>
      </c>
      <c r="U945" s="9"/>
      <c r="V945" s="9"/>
      <c r="W945" s="9"/>
      <c r="X945" s="9"/>
      <c r="Y945" s="9"/>
      <c r="Z945" s="52"/>
      <c r="AA945" s="1444"/>
      <c r="AB945" s="1445"/>
      <c r="AC945" s="1445"/>
      <c r="AD945" s="1445"/>
      <c r="AE945" s="1445"/>
      <c r="AF945" s="1445"/>
      <c r="AG945" s="144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44"/>
      <c r="N946" s="1445"/>
      <c r="O946" s="1445"/>
      <c r="P946" s="1445"/>
      <c r="Q946" s="1445"/>
      <c r="R946" s="1445"/>
      <c r="S946" s="1446"/>
      <c r="T946" s="8" t="s">
        <v>567</v>
      </c>
      <c r="U946" s="9"/>
      <c r="V946" s="9"/>
      <c r="W946" s="9"/>
      <c r="X946" s="9"/>
      <c r="Y946" s="9"/>
      <c r="Z946" s="52"/>
      <c r="AA946" s="1444"/>
      <c r="AB946" s="1445"/>
      <c r="AC946" s="1445"/>
      <c r="AD946" s="1445"/>
      <c r="AE946" s="1445"/>
      <c r="AF946" s="1445"/>
      <c r="AG946" s="144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4"/>
      <c r="N947" s="1445"/>
      <c r="O947" s="1445"/>
      <c r="P947" s="1445"/>
      <c r="Q947" s="1445"/>
      <c r="R947" s="1445"/>
      <c r="S947" s="1446"/>
      <c r="T947" s="8" t="s">
        <v>493</v>
      </c>
      <c r="U947" s="9"/>
      <c r="V947" s="9"/>
      <c r="W947" s="9"/>
      <c r="X947" s="9"/>
      <c r="Y947" s="9"/>
      <c r="Z947" s="52"/>
      <c r="AA947" s="1444"/>
      <c r="AB947" s="1445"/>
      <c r="AC947" s="1445"/>
      <c r="AD947" s="1445"/>
      <c r="AE947" s="1445"/>
      <c r="AF947" s="1445"/>
      <c r="AG947" s="144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386" t="s">
        <v>79</v>
      </c>
      <c r="N948" s="1387"/>
      <c r="O948" s="1387"/>
      <c r="P948" s="1387"/>
      <c r="Q948" s="1387"/>
      <c r="R948" s="1387"/>
      <c r="S948" s="1388"/>
      <c r="T948" s="1456"/>
      <c r="U948" s="1457"/>
      <c r="V948" s="1457"/>
      <c r="W948" s="1457"/>
      <c r="X948" s="1457"/>
      <c r="Y948" s="1457"/>
      <c r="Z948" s="1458"/>
      <c r="AA948" s="1444"/>
      <c r="AB948" s="1445"/>
      <c r="AC948" s="1445"/>
      <c r="AD948" s="1445"/>
      <c r="AE948" s="1445"/>
      <c r="AF948" s="1445"/>
      <c r="AG948" s="144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4"/>
      <c r="N949" s="1445"/>
      <c r="O949" s="1445"/>
      <c r="P949" s="1445"/>
      <c r="Q949" s="1445"/>
      <c r="R949" s="1445"/>
      <c r="S949" s="1446"/>
      <c r="T949" s="1456"/>
      <c r="U949" s="1457"/>
      <c r="V949" s="1457"/>
      <c r="W949" s="1457"/>
      <c r="X949" s="1457"/>
      <c r="Y949" s="1457"/>
      <c r="Z949" s="1458"/>
      <c r="AA949" s="1444"/>
      <c r="AB949" s="1445"/>
      <c r="AC949" s="1445"/>
      <c r="AD949" s="1445"/>
      <c r="AE949" s="1445"/>
      <c r="AF949" s="1445"/>
      <c r="AG949" s="144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24" t="s">
        <v>482</v>
      </c>
      <c r="P950" s="1325"/>
      <c r="Q950" s="146"/>
      <c r="R950" s="146"/>
      <c r="S950" s="147"/>
      <c r="T950" s="6" t="s">
        <v>283</v>
      </c>
      <c r="U950" s="7"/>
      <c r="V950" s="7"/>
      <c r="W950" s="1450" t="s">
        <v>562</v>
      </c>
      <c r="X950" s="1451"/>
      <c r="Y950" s="1451"/>
      <c r="Z950" s="1451"/>
      <c r="AA950" s="1451"/>
      <c r="AB950" s="1451"/>
      <c r="AC950" s="1451"/>
      <c r="AD950" s="1451"/>
      <c r="AE950" s="1451"/>
      <c r="AF950" s="1451"/>
      <c r="AG950" s="145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1" t="s">
        <v>226</v>
      </c>
      <c r="G951" s="1260"/>
      <c r="H951" s="1260"/>
      <c r="I951" s="1260"/>
      <c r="J951" s="1260"/>
      <c r="K951" s="1260"/>
      <c r="L951" s="1260"/>
      <c r="M951" s="1444"/>
      <c r="N951" s="1445"/>
      <c r="O951" s="1445"/>
      <c r="P951" s="1445"/>
      <c r="Q951" s="1445"/>
      <c r="R951" s="1445"/>
      <c r="S951" s="1446"/>
      <c r="T951" s="53"/>
      <c r="U951" s="54"/>
      <c r="V951" s="54"/>
      <c r="W951" s="54"/>
      <c r="X951" s="54"/>
      <c r="Y951" s="54"/>
      <c r="Z951" s="226" t="s">
        <v>227</v>
      </c>
      <c r="AA951" s="1453"/>
      <c r="AB951" s="1454"/>
      <c r="AC951" s="1454"/>
      <c r="AD951" s="1454"/>
      <c r="AE951" s="1454"/>
      <c r="AF951" s="1454"/>
      <c r="AG951" s="145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7" t="s">
        <v>424</v>
      </c>
      <c r="E960" s="1448"/>
      <c r="F960" s="1448"/>
      <c r="G960" s="1448"/>
      <c r="H960" s="1448"/>
      <c r="I960" s="1448"/>
      <c r="J960" s="1448"/>
      <c r="K960" s="1448"/>
      <c r="L960" s="1448"/>
      <c r="M960" s="1448"/>
      <c r="N960" s="1448"/>
      <c r="O960" s="1448"/>
      <c r="P960" s="1448"/>
      <c r="Q960" s="1449"/>
      <c r="R960" s="1447" t="s">
        <v>425</v>
      </c>
      <c r="S960" s="1448"/>
      <c r="T960" s="1448"/>
      <c r="U960" s="1448"/>
      <c r="V960" s="1448"/>
      <c r="W960" s="1448"/>
      <c r="X960" s="1448"/>
      <c r="Y960" s="1448"/>
      <c r="Z960" s="1448"/>
      <c r="AA960" s="1449"/>
      <c r="AB960" s="1447" t="s">
        <v>426</v>
      </c>
      <c r="AC960" s="1448"/>
      <c r="AD960" s="1448"/>
      <c r="AE960" s="1448"/>
      <c r="AF960" s="1448"/>
      <c r="AG960" s="1448"/>
      <c r="AH960" s="1448"/>
      <c r="AI960" s="1449"/>
      <c r="AJ960" s="1447" t="s">
        <v>427</v>
      </c>
      <c r="AK960" s="1448"/>
      <c r="AL960" s="1448"/>
      <c r="AM960" s="1448"/>
      <c r="AN960" s="1448"/>
      <c r="AO960" s="1448"/>
      <c r="AP960" s="1448"/>
      <c r="AQ960" s="144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307732</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354812</v>
      </c>
      <c r="S962" s="1139"/>
      <c r="T962" s="1139"/>
      <c r="U962" s="1139"/>
      <c r="V962" s="1139"/>
      <c r="W962" s="1139"/>
      <c r="X962" s="1139"/>
      <c r="Y962" s="1139"/>
      <c r="Z962" s="1139"/>
      <c r="AA962" s="1139"/>
      <c r="AB962" s="1140">
        <f>BS651</f>
        <v>12</v>
      </c>
      <c r="AC962" s="1141"/>
      <c r="AD962" s="1141"/>
      <c r="AE962" s="1141"/>
      <c r="AF962" s="1141"/>
      <c r="AG962" s="1141"/>
      <c r="AH962" s="1141"/>
      <c r="AI962" s="1142"/>
      <c r="AJ962" s="1143">
        <f>IF(ISERROR((R962*AB962)),0,(R962*AB962))</f>
        <v>4257744</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428000</v>
      </c>
      <c r="S963" s="1139"/>
      <c r="T963" s="1139"/>
      <c r="U963" s="1139"/>
      <c r="V963" s="1139"/>
      <c r="W963" s="1139"/>
      <c r="X963" s="1139"/>
      <c r="Y963" s="1139"/>
      <c r="Z963" s="1139"/>
      <c r="AA963" s="1139"/>
      <c r="AB963" s="1140">
        <f>BX651</f>
        <v>28</v>
      </c>
      <c r="AC963" s="1141"/>
      <c r="AD963" s="1141"/>
      <c r="AE963" s="1141"/>
      <c r="AF963" s="1141"/>
      <c r="AG963" s="1141"/>
      <c r="AH963" s="1141"/>
      <c r="AI963" s="1142"/>
      <c r="AJ963" s="1143">
        <f>IF(ISERROR((R963*AB963)),0,(R963*AB963))</f>
        <v>11984000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547840</v>
      </c>
      <c r="S964" s="1139"/>
      <c r="T964" s="1139"/>
      <c r="U964" s="1139"/>
      <c r="V964" s="1139"/>
      <c r="W964" s="1139"/>
      <c r="X964" s="1139"/>
      <c r="Y964" s="1139"/>
      <c r="Z964" s="1139"/>
      <c r="AA964" s="1139"/>
      <c r="AB964" s="1140">
        <f>CC651</f>
        <v>15</v>
      </c>
      <c r="AC964" s="1141"/>
      <c r="AD964" s="1141"/>
      <c r="AE964" s="1141"/>
      <c r="AF964" s="1141"/>
      <c r="AG964" s="1141"/>
      <c r="AH964" s="1141"/>
      <c r="AI964" s="1142"/>
      <c r="AJ964" s="1143">
        <f>IF(ISERROR((R964*AB964)),0,(R964*AB964))</f>
        <v>8217600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610328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55</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59" t="s">
        <v>747</v>
      </c>
      <c r="C967" s="1460"/>
      <c r="D967" s="1460"/>
      <c r="E967" s="1460"/>
      <c r="F967" s="1460"/>
      <c r="G967" s="1460"/>
      <c r="H967" s="1460"/>
      <c r="I967" s="1460"/>
      <c r="J967" s="1460"/>
      <c r="K967" s="1460"/>
      <c r="L967" s="1460"/>
      <c r="M967" s="1460"/>
      <c r="N967" s="1460"/>
      <c r="O967" s="1460"/>
      <c r="P967" s="1460"/>
      <c r="Q967" s="1460"/>
      <c r="R967" s="1460"/>
      <c r="S967" s="1460"/>
      <c r="T967" s="1460"/>
      <c r="U967" s="1460"/>
      <c r="V967" s="1460"/>
      <c r="W967" s="1460"/>
      <c r="X967" s="1460"/>
      <c r="Y967" s="1460"/>
      <c r="Z967" s="1460"/>
      <c r="AA967" s="1460"/>
      <c r="AB967" s="1460"/>
      <c r="AC967" s="1460"/>
      <c r="AD967" s="1460"/>
      <c r="AE967" s="1460"/>
      <c r="AF967" s="1460"/>
      <c r="AG967" s="1460"/>
      <c r="AH967" s="1460"/>
      <c r="AI967" s="1461"/>
      <c r="AJ967" s="1143">
        <f>SUM(AJ961:AQ965)</f>
        <v>24459344</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5"/>
      <c r="C968" s="1436"/>
      <c r="D968" s="1436"/>
      <c r="E968" s="1436"/>
      <c r="F968" s="1436"/>
      <c r="G968" s="1436"/>
      <c r="H968" s="1436"/>
      <c r="I968" s="1436"/>
      <c r="J968" s="1436"/>
      <c r="K968" s="1436"/>
      <c r="L968" s="1436"/>
      <c r="M968" s="1436"/>
      <c r="N968" s="1436"/>
      <c r="O968" s="1436"/>
      <c r="P968" s="1436"/>
      <c r="Q968" s="1436"/>
      <c r="R968" s="1436"/>
      <c r="S968" s="1436"/>
      <c r="T968" s="1436"/>
      <c r="U968" s="1436"/>
      <c r="V968" s="1436"/>
      <c r="W968" s="1436"/>
      <c r="X968" s="1436"/>
      <c r="Y968" s="1436"/>
      <c r="Z968" s="1436"/>
      <c r="AA968" s="1436"/>
      <c r="AB968" s="1436"/>
      <c r="AC968" s="1436"/>
      <c r="AD968" s="1436"/>
      <c r="AE968" s="1437"/>
      <c r="AF968" s="1432" t="s">
        <v>479</v>
      </c>
      <c r="AG968" s="1433"/>
      <c r="AH968" s="1433"/>
      <c r="AI968" s="1434"/>
      <c r="AJ968" s="1435"/>
      <c r="AK968" s="1436"/>
      <c r="AL968" s="1436"/>
      <c r="AM968" s="1436"/>
      <c r="AN968" s="1436"/>
      <c r="AO968" s="1436"/>
      <c r="AP968" s="1436"/>
      <c r="AQ968" s="14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482</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8" t="s">
        <v>2274</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1" t="s">
        <v>2275</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1"/>
      <c r="E975" s="1442"/>
      <c r="F975" s="1442"/>
      <c r="G975" s="1442"/>
      <c r="H975" s="1442"/>
      <c r="I975" s="1442"/>
      <c r="J975" s="1442"/>
      <c r="K975" s="1442"/>
      <c r="L975" s="1442"/>
      <c r="M975" s="1442"/>
      <c r="N975" s="1442"/>
      <c r="O975" s="1442"/>
      <c r="P975" s="1442"/>
      <c r="Q975" s="1442"/>
      <c r="R975" s="1442"/>
      <c r="S975" s="1442"/>
      <c r="T975" s="1442"/>
      <c r="U975" s="1442"/>
      <c r="V975" s="1442"/>
      <c r="W975" s="1442"/>
      <c r="X975" s="1442"/>
      <c r="Y975" s="1442"/>
      <c r="Z975" s="1442"/>
      <c r="AA975" s="1442"/>
      <c r="AB975" s="1442"/>
      <c r="AC975" s="1442"/>
      <c r="AD975" s="1442"/>
      <c r="AE975" s="1443"/>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2"/>
      <c r="AG998" s="1532"/>
      <c r="AH998" s="1532"/>
      <c r="AI998" s="1532"/>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2"/>
      <c r="AG999" s="1532"/>
      <c r="AH999" s="1532"/>
      <c r="AI999" s="1532"/>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482</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3" t="str">
        <f>IF(AG1000="yes","Please Enter Amount:","")</f>
        <v/>
      </c>
      <c r="AG1001" s="1534"/>
      <c r="AH1001" s="1534"/>
      <c r="AI1001" s="1535"/>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2"/>
      <c r="AG1002" s="1532"/>
      <c r="AH1002" s="1532"/>
      <c r="AI1002" s="1532"/>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2"/>
      <c r="AG1003" s="1532"/>
      <c r="AH1003" s="1532"/>
      <c r="AI1003" s="1532"/>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2" t="s">
        <v>748</v>
      </c>
      <c r="E1020" s="1552"/>
      <c r="F1020" s="1552"/>
      <c r="G1020" s="1552"/>
      <c r="H1020" s="1552"/>
      <c r="I1020" s="1552"/>
      <c r="J1020" s="1552"/>
      <c r="K1020" s="1552"/>
      <c r="L1020" s="1552"/>
      <c r="M1020" s="1552"/>
      <c r="N1020" s="1552"/>
      <c r="O1020" s="1552"/>
      <c r="P1020" s="1552"/>
      <c r="Q1020" s="1552"/>
      <c r="R1020" s="1552"/>
      <c r="S1020" s="1552"/>
      <c r="T1020" s="1552"/>
      <c r="U1020" s="1552"/>
      <c r="V1020" s="1552"/>
      <c r="W1020" s="1552"/>
      <c r="X1020" s="1552"/>
      <c r="Y1020" s="1552"/>
      <c r="Z1020" s="1552"/>
      <c r="AA1020" s="1552"/>
      <c r="AB1020" s="1552"/>
      <c r="AC1020" s="1552"/>
      <c r="AD1020" s="1552"/>
      <c r="AE1020" s="1552"/>
      <c r="AF1020" s="1552"/>
      <c r="AG1020" s="1552"/>
      <c r="AH1020" s="1552"/>
      <c r="AI1020" s="1553"/>
      <c r="AJ1020" s="1554">
        <f>SUM(AJ967:AQ1019)</f>
        <v>24459344</v>
      </c>
      <c r="AK1020" s="1555"/>
      <c r="AL1020" s="1555"/>
      <c r="AM1020" s="1555"/>
      <c r="AN1020" s="1555"/>
      <c r="AO1020" s="1555"/>
      <c r="AP1020" s="1555"/>
      <c r="AQ1020" s="155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5">
        <f>'Sources and Uses Budget'!S106+'Sources and Uses Budget'!T106</f>
        <v>23364864</v>
      </c>
      <c r="Y1024" s="1385"/>
      <c r="Z1024" s="1385"/>
      <c r="AA1024" s="1385"/>
      <c r="AB1024" s="1385"/>
      <c r="AC1024" s="138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1">
        <f>IFERROR(X1024/AJ1020,"")</f>
        <v>0.95525309264222291</v>
      </c>
      <c r="Y1025" s="1382"/>
      <c r="Z1025" s="1382"/>
      <c r="AA1025" s="1382"/>
      <c r="AB1025" s="1382"/>
      <c r="AC1025" s="138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4"/>
      <c r="C1031" s="1384"/>
      <c r="D1031" s="1384"/>
      <c r="E1031" s="1384"/>
      <c r="F1031" s="1384"/>
      <c r="G1031" s="1384"/>
      <c r="H1031" s="1384"/>
      <c r="I1031" s="1384"/>
      <c r="J1031" s="1384"/>
      <c r="K1031" s="1384"/>
      <c r="L1031" s="1384"/>
      <c r="M1031" s="1384"/>
      <c r="N1031" s="1384"/>
      <c r="O1031" s="1384"/>
      <c r="P1031" s="1384"/>
      <c r="Q1031" s="1384"/>
      <c r="R1031" s="1384"/>
      <c r="S1031" s="1384"/>
      <c r="T1031" s="1384"/>
      <c r="U1031" s="1384"/>
      <c r="V1031" s="1384"/>
      <c r="W1031" s="1384"/>
      <c r="X1031" s="1384"/>
      <c r="Y1031" s="1384"/>
      <c r="Z1031" s="1384"/>
      <c r="AA1031" s="1384"/>
      <c r="AB1031" s="1384"/>
      <c r="AC1031" s="1384"/>
      <c r="AD1031" s="1384"/>
      <c r="AE1031" s="1384"/>
      <c r="AF1031" s="1384"/>
      <c r="AG1031" s="1384"/>
      <c r="AH1031" s="1384"/>
      <c r="AI1031" s="1384"/>
      <c r="AJ1031" s="1384"/>
      <c r="AK1031" s="138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8" t="s">
        <v>124</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8" t="s">
        <v>124</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26" t="s">
        <v>124</v>
      </c>
      <c r="B1075" s="1526"/>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 workbookViewId="0">
      <selection activeCell="C84" sqref="C84"/>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2)HCD PLHA</v>
      </c>
      <c r="H2" s="233" t="str">
        <f>Application!B623&amp;Application!C623</f>
        <v>3)Boston Financial Solar Equity</v>
      </c>
      <c r="I2" s="233" t="str">
        <f>Application!B624&amp;Application!C624</f>
        <v>4)Developer Note</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5000000</v>
      </c>
      <c r="C4" s="241">
        <v>5000000</v>
      </c>
      <c r="D4" s="241"/>
      <c r="E4" s="241">
        <f>+C4-SUM(F4:I4)</f>
        <v>5000000</v>
      </c>
      <c r="F4" s="241"/>
      <c r="G4" s="241"/>
      <c r="H4" s="241"/>
      <c r="I4" s="241"/>
      <c r="J4" s="241"/>
      <c r="K4" s="241"/>
      <c r="L4" s="241"/>
      <c r="M4" s="241"/>
      <c r="N4" s="241"/>
      <c r="O4" s="241"/>
      <c r="P4" s="241"/>
      <c r="Q4" s="241"/>
      <c r="R4" s="241">
        <f>C4</f>
        <v>5000000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5000000</v>
      </c>
      <c r="C8" s="240">
        <f t="shared" ref="C8:R8" si="0">SUM(C4:C7)</f>
        <v>5000000</v>
      </c>
      <c r="D8" s="240">
        <f t="shared" si="0"/>
        <v>0</v>
      </c>
      <c r="E8" s="240">
        <f t="shared" si="0"/>
        <v>5000000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5000000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5000000</v>
      </c>
      <c r="C12" s="240">
        <f t="shared" si="2"/>
        <v>5000000</v>
      </c>
      <c r="D12" s="240">
        <f t="shared" si="2"/>
        <v>0</v>
      </c>
      <c r="E12" s="240">
        <f t="shared" si="2"/>
        <v>5000000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5000000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0</v>
      </c>
      <c r="C29" s="241"/>
      <c r="D29" s="241"/>
      <c r="E29" s="241">
        <f t="shared" ref="E29:E37" si="7">+C29-SUM(F29:I29)</f>
        <v>0</v>
      </c>
      <c r="F29" s="241"/>
      <c r="G29" s="241"/>
      <c r="H29" s="241"/>
      <c r="I29" s="241"/>
      <c r="J29" s="241"/>
      <c r="K29" s="241"/>
      <c r="L29" s="241"/>
      <c r="M29" s="241"/>
      <c r="N29" s="241"/>
      <c r="O29" s="241"/>
      <c r="P29" s="241"/>
      <c r="Q29" s="241"/>
      <c r="R29" s="241">
        <f t="shared" ref="R29:R37" si="8">SUM(E29:Q29)</f>
        <v>0</v>
      </c>
      <c r="S29" s="241"/>
      <c r="T29" s="241"/>
      <c r="U29" s="237"/>
    </row>
    <row r="30" spans="1:21" s="238" customFormat="1" ht="11.4">
      <c r="A30" s="239" t="s">
        <v>911</v>
      </c>
      <c r="B30" s="240">
        <f t="shared" si="6"/>
        <v>13507750</v>
      </c>
      <c r="C30" s="241">
        <v>13507750</v>
      </c>
      <c r="D30" s="241"/>
      <c r="E30" s="241">
        <f t="shared" si="7"/>
        <v>5026183</v>
      </c>
      <c r="F30" s="241">
        <v>3477611</v>
      </c>
      <c r="G30" s="241">
        <v>4750000</v>
      </c>
      <c r="H30" s="241">
        <v>253956</v>
      </c>
      <c r="I30" s="241"/>
      <c r="J30" s="241"/>
      <c r="K30" s="241"/>
      <c r="L30" s="241"/>
      <c r="M30" s="241"/>
      <c r="N30" s="241"/>
      <c r="O30" s="241"/>
      <c r="P30" s="241"/>
      <c r="Q30" s="241"/>
      <c r="R30" s="241">
        <f t="shared" si="8"/>
        <v>13507750</v>
      </c>
      <c r="S30" s="241">
        <f>+R30</f>
        <v>13507750</v>
      </c>
      <c r="T30" s="241"/>
      <c r="U30" s="237"/>
    </row>
    <row r="31" spans="1:21" s="238" customFormat="1" ht="11.4">
      <c r="A31" s="239" t="s">
        <v>912</v>
      </c>
      <c r="B31" s="240">
        <f t="shared" si="6"/>
        <v>810465</v>
      </c>
      <c r="C31" s="241">
        <v>810465</v>
      </c>
      <c r="D31" s="241"/>
      <c r="E31" s="241">
        <f t="shared" si="7"/>
        <v>810465</v>
      </c>
      <c r="F31" s="241"/>
      <c r="G31" s="241"/>
      <c r="H31" s="241"/>
      <c r="I31" s="241"/>
      <c r="J31" s="241"/>
      <c r="K31" s="241"/>
      <c r="L31" s="241"/>
      <c r="M31" s="241"/>
      <c r="N31" s="241"/>
      <c r="O31" s="241"/>
      <c r="P31" s="241"/>
      <c r="Q31" s="241"/>
      <c r="R31" s="241">
        <f t="shared" si="8"/>
        <v>810465</v>
      </c>
      <c r="S31" s="241">
        <f t="shared" ref="S31:S36" si="9">+R31</f>
        <v>810465</v>
      </c>
      <c r="T31" s="241"/>
      <c r="U31" s="237"/>
    </row>
    <row r="32" spans="1:21" s="238" customFormat="1" ht="11.4">
      <c r="A32" s="239" t="s">
        <v>913</v>
      </c>
      <c r="B32" s="240">
        <f t="shared" si="6"/>
        <v>286364</v>
      </c>
      <c r="C32" s="241">
        <v>286364</v>
      </c>
      <c r="D32" s="241"/>
      <c r="E32" s="241">
        <f t="shared" si="7"/>
        <v>286364</v>
      </c>
      <c r="F32" s="241"/>
      <c r="G32" s="241"/>
      <c r="H32" s="241"/>
      <c r="I32" s="241"/>
      <c r="J32" s="241"/>
      <c r="K32" s="241"/>
      <c r="L32" s="241"/>
      <c r="M32" s="241"/>
      <c r="N32" s="241"/>
      <c r="O32" s="241"/>
      <c r="P32" s="241"/>
      <c r="Q32" s="241"/>
      <c r="R32" s="241">
        <f t="shared" si="8"/>
        <v>286364</v>
      </c>
      <c r="S32" s="241">
        <f t="shared" si="9"/>
        <v>286364</v>
      </c>
      <c r="T32" s="241"/>
      <c r="U32" s="237"/>
    </row>
    <row r="33" spans="1:21" s="238" customFormat="1" ht="11.4">
      <c r="A33" s="239" t="s">
        <v>914</v>
      </c>
      <c r="B33" s="240">
        <f t="shared" si="6"/>
        <v>859093</v>
      </c>
      <c r="C33" s="241">
        <v>859093</v>
      </c>
      <c r="D33" s="241"/>
      <c r="E33" s="241">
        <f t="shared" si="7"/>
        <v>859093</v>
      </c>
      <c r="F33" s="241"/>
      <c r="G33" s="241"/>
      <c r="H33" s="241"/>
      <c r="I33" s="241"/>
      <c r="J33" s="241"/>
      <c r="K33" s="241"/>
      <c r="L33" s="241"/>
      <c r="M33" s="241"/>
      <c r="N33" s="241"/>
      <c r="O33" s="241"/>
      <c r="P33" s="241"/>
      <c r="Q33" s="241"/>
      <c r="R33" s="241">
        <f t="shared" si="8"/>
        <v>859093</v>
      </c>
      <c r="S33" s="241">
        <f t="shared" si="9"/>
        <v>859093</v>
      </c>
      <c r="T33" s="241"/>
      <c r="U33" s="237"/>
    </row>
    <row r="34" spans="1:21" s="238" customFormat="1" ht="11.4">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916</v>
      </c>
      <c r="B35" s="240">
        <f t="shared" si="6"/>
        <v>541229</v>
      </c>
      <c r="C35" s="241">
        <v>541229</v>
      </c>
      <c r="D35" s="241"/>
      <c r="E35" s="241">
        <f t="shared" si="7"/>
        <v>541229</v>
      </c>
      <c r="F35" s="241"/>
      <c r="G35" s="241"/>
      <c r="H35" s="241"/>
      <c r="I35" s="241"/>
      <c r="J35" s="241"/>
      <c r="K35" s="241"/>
      <c r="L35" s="241"/>
      <c r="M35" s="241"/>
      <c r="N35" s="241"/>
      <c r="O35" s="241"/>
      <c r="P35" s="241"/>
      <c r="Q35" s="241"/>
      <c r="R35" s="241">
        <f t="shared" si="8"/>
        <v>541229</v>
      </c>
      <c r="S35" s="241">
        <f t="shared" si="9"/>
        <v>541229</v>
      </c>
      <c r="T35" s="241"/>
      <c r="U35" s="237"/>
    </row>
    <row r="36" spans="1:21" s="238" customFormat="1" ht="11.4">
      <c r="A36" s="250" t="s">
        <v>1952</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ht="11.4">
      <c r="A37" s="246" t="s">
        <v>533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919</v>
      </c>
      <c r="B38" s="240">
        <f t="shared" si="6"/>
        <v>16004901</v>
      </c>
      <c r="C38" s="240">
        <f>SUM(C29:C37)</f>
        <v>16004901</v>
      </c>
      <c r="D38" s="240">
        <f>SUM(D29:D37)</f>
        <v>0</v>
      </c>
      <c r="E38" s="240">
        <f>SUM(E29:E37)</f>
        <v>7523334</v>
      </c>
      <c r="F38" s="240">
        <f t="shared" ref="F38:T38" si="10">SUM(F29:F37)</f>
        <v>3477611</v>
      </c>
      <c r="G38" s="240">
        <f t="shared" si="10"/>
        <v>4750000</v>
      </c>
      <c r="H38" s="240">
        <f t="shared" si="10"/>
        <v>253956</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16004901</v>
      </c>
      <c r="S38" s="244">
        <f t="shared" si="10"/>
        <v>16004901</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998897</v>
      </c>
      <c r="C40" s="241">
        <v>998897</v>
      </c>
      <c r="D40" s="241"/>
      <c r="E40" s="241">
        <f t="shared" ref="E40:E41" si="11">+C40-SUM(F40:I40)</f>
        <v>998897</v>
      </c>
      <c r="F40" s="241"/>
      <c r="G40" s="241"/>
      <c r="H40" s="241"/>
      <c r="I40" s="241"/>
      <c r="J40" s="241"/>
      <c r="K40" s="241"/>
      <c r="L40" s="241"/>
      <c r="M40" s="241"/>
      <c r="N40" s="241"/>
      <c r="O40" s="241"/>
      <c r="P40" s="241"/>
      <c r="Q40" s="241"/>
      <c r="R40" s="241">
        <f>SUM(E40:Q40)</f>
        <v>998897</v>
      </c>
      <c r="S40" s="241">
        <f>+R40</f>
        <v>998897</v>
      </c>
      <c r="T40" s="241"/>
      <c r="U40" s="237"/>
    </row>
    <row r="41" spans="1:21" s="238" customFormat="1" ht="11.4">
      <c r="A41" s="239" t="s">
        <v>922</v>
      </c>
      <c r="B41" s="240">
        <f>SUM(C41+D41)</f>
        <v>0</v>
      </c>
      <c r="C41" s="241"/>
      <c r="D41" s="241"/>
      <c r="E41" s="241">
        <f t="shared" si="11"/>
        <v>0</v>
      </c>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998897</v>
      </c>
      <c r="C42" s="240">
        <f>SUM(C39:C41)</f>
        <v>998897</v>
      </c>
      <c r="D42" s="240">
        <f>SUM(D39:D41)</f>
        <v>0</v>
      </c>
      <c r="E42" s="240">
        <f t="shared" ref="E42:T42" si="12">SUM(E40:E41)</f>
        <v>998897</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998897</v>
      </c>
      <c r="S42" s="244">
        <f>SUM(S40:S41)</f>
        <v>998897</v>
      </c>
      <c r="T42" s="244">
        <f t="shared" si="12"/>
        <v>0</v>
      </c>
      <c r="U42" s="237"/>
    </row>
    <row r="43" spans="1:21" s="238" customFormat="1">
      <c r="A43" s="243" t="s">
        <v>924</v>
      </c>
      <c r="B43" s="240">
        <f>SUM(C43:D43)</f>
        <v>100000</v>
      </c>
      <c r="C43" s="241">
        <v>100000</v>
      </c>
      <c r="D43" s="241"/>
      <c r="E43" s="241">
        <f>+C43-SUM(F43:I43)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3">SUM(C45+D45)</f>
        <v>2406173</v>
      </c>
      <c r="C45" s="241">
        <f>1163970+1242203</f>
        <v>2406173</v>
      </c>
      <c r="D45" s="241"/>
      <c r="E45" s="241">
        <f t="shared" ref="E45:E52" si="14">+C45-SUM(F45:I45)</f>
        <v>2406173</v>
      </c>
      <c r="F45" s="241"/>
      <c r="G45" s="241"/>
      <c r="H45" s="241"/>
      <c r="I45" s="241"/>
      <c r="J45" s="241"/>
      <c r="K45" s="241"/>
      <c r="L45" s="241"/>
      <c r="M45" s="241"/>
      <c r="N45" s="241"/>
      <c r="O45" s="241"/>
      <c r="P45" s="241"/>
      <c r="Q45" s="241"/>
      <c r="R45" s="241">
        <f t="shared" ref="R45:R52" si="15">SUM(E45:Q45)</f>
        <v>2406173</v>
      </c>
      <c r="S45" s="241">
        <v>1163970</v>
      </c>
      <c r="T45" s="241"/>
      <c r="U45" s="237"/>
    </row>
    <row r="46" spans="1:21" s="238" customFormat="1" ht="11.4">
      <c r="A46" s="239" t="s">
        <v>927</v>
      </c>
      <c r="B46" s="240">
        <f t="shared" si="13"/>
        <v>256677</v>
      </c>
      <c r="C46" s="241">
        <v>256677</v>
      </c>
      <c r="D46" s="241"/>
      <c r="E46" s="241">
        <f t="shared" si="14"/>
        <v>256677</v>
      </c>
      <c r="F46" s="241"/>
      <c r="G46" s="241"/>
      <c r="H46" s="241"/>
      <c r="I46" s="241"/>
      <c r="J46" s="241"/>
      <c r="K46" s="241"/>
      <c r="L46" s="241"/>
      <c r="M46" s="241"/>
      <c r="N46" s="241"/>
      <c r="O46" s="241"/>
      <c r="P46" s="241"/>
      <c r="Q46" s="241"/>
      <c r="R46" s="241">
        <f t="shared" si="15"/>
        <v>256677</v>
      </c>
      <c r="S46" s="241">
        <f t="shared" ref="S46:S52" si="16">+R46</f>
        <v>256677</v>
      </c>
      <c r="T46" s="241"/>
      <c r="U46" s="237"/>
    </row>
    <row r="47" spans="1:21" s="238" customFormat="1" ht="12" customHeight="1">
      <c r="A47" s="239" t="s">
        <v>928</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ht="11.4">
      <c r="A48" s="239" t="s">
        <v>929</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ht="11.4">
      <c r="A49" s="239" t="s">
        <v>932</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ht="11.4">
      <c r="A50" s="239" t="s">
        <v>930</v>
      </c>
      <c r="B50" s="240">
        <f t="shared" si="13"/>
        <v>100000</v>
      </c>
      <c r="C50" s="241">
        <v>100000</v>
      </c>
      <c r="D50" s="241"/>
      <c r="E50" s="241">
        <f t="shared" si="14"/>
        <v>100000</v>
      </c>
      <c r="F50" s="241"/>
      <c r="G50" s="241"/>
      <c r="H50" s="241"/>
      <c r="I50" s="241"/>
      <c r="J50" s="241"/>
      <c r="K50" s="241"/>
      <c r="L50" s="241"/>
      <c r="M50" s="241"/>
      <c r="N50" s="241"/>
      <c r="O50" s="241"/>
      <c r="P50" s="241"/>
      <c r="Q50" s="241"/>
      <c r="R50" s="241">
        <f t="shared" si="15"/>
        <v>100000</v>
      </c>
      <c r="S50" s="241">
        <f t="shared" si="16"/>
        <v>100000</v>
      </c>
      <c r="T50" s="241"/>
      <c r="U50" s="237"/>
    </row>
    <row r="51" spans="1:21" s="238" customFormat="1" ht="11.4">
      <c r="A51" s="239" t="s">
        <v>931</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ht="11.4">
      <c r="A52" s="246" t="s">
        <v>2452</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933</v>
      </c>
      <c r="B53" s="244">
        <f>SUM(C53:D53)</f>
        <v>2857850</v>
      </c>
      <c r="C53" s="244">
        <f t="shared" ref="C53:T53" si="17">SUM(C45:C52)</f>
        <v>2857850</v>
      </c>
      <c r="D53" s="244">
        <f t="shared" si="17"/>
        <v>0</v>
      </c>
      <c r="E53" s="244">
        <f t="shared" si="17"/>
        <v>2857850</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2857850</v>
      </c>
      <c r="S53" s="244">
        <f t="shared" si="17"/>
        <v>1615647</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0</v>
      </c>
      <c r="C55" s="241"/>
      <c r="D55" s="241"/>
      <c r="E55" s="241">
        <f t="shared" ref="E55:E58" si="19">+C55-SUM(F55:I55)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928</v>
      </c>
      <c r="B56" s="240">
        <f t="shared" si="18"/>
        <v>10000</v>
      </c>
      <c r="C56" s="241">
        <v>10000</v>
      </c>
      <c r="D56" s="241"/>
      <c r="E56" s="241">
        <f t="shared" si="19"/>
        <v>10000</v>
      </c>
      <c r="F56" s="241"/>
      <c r="G56" s="241"/>
      <c r="H56" s="241"/>
      <c r="I56" s="241"/>
      <c r="J56" s="241"/>
      <c r="K56" s="241"/>
      <c r="L56" s="241"/>
      <c r="M56" s="241"/>
      <c r="N56" s="241"/>
      <c r="O56" s="241"/>
      <c r="P56" s="241"/>
      <c r="Q56" s="241"/>
      <c r="R56" s="241">
        <f t="shared" si="20"/>
        <v>10000</v>
      </c>
      <c r="S56" s="242"/>
      <c r="T56" s="242"/>
      <c r="U56" s="237"/>
    </row>
    <row r="57" spans="1:21" s="238" customFormat="1" ht="11.4">
      <c r="A57" s="239" t="s">
        <v>932</v>
      </c>
      <c r="B57" s="240">
        <f t="shared" si="18"/>
        <v>5000</v>
      </c>
      <c r="C57" s="241">
        <v>5000</v>
      </c>
      <c r="D57" s="241"/>
      <c r="E57" s="241">
        <f t="shared" si="19"/>
        <v>5000</v>
      </c>
      <c r="F57" s="241"/>
      <c r="G57" s="241"/>
      <c r="H57" s="241"/>
      <c r="I57" s="241"/>
      <c r="J57" s="241"/>
      <c r="K57" s="241"/>
      <c r="L57" s="241"/>
      <c r="M57" s="241"/>
      <c r="N57" s="241"/>
      <c r="O57" s="241"/>
      <c r="P57" s="241"/>
      <c r="Q57" s="241"/>
      <c r="R57" s="241">
        <f t="shared" si="20"/>
        <v>5000</v>
      </c>
      <c r="S57" s="242"/>
      <c r="T57" s="242"/>
      <c r="U57" s="237"/>
    </row>
    <row r="58" spans="1:21" s="238" customFormat="1" ht="11.4">
      <c r="A58" s="239" t="s">
        <v>930</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ht="11.4">
      <c r="A59" s="239" t="s">
        <v>931</v>
      </c>
      <c r="B59" s="240">
        <f t="shared" si="18"/>
        <v>0</v>
      </c>
      <c r="C59" s="241"/>
      <c r="D59" s="241"/>
      <c r="E59" s="241"/>
      <c r="F59" s="241"/>
      <c r="G59" s="241"/>
      <c r="H59" s="241"/>
      <c r="I59" s="241"/>
      <c r="J59" s="241"/>
      <c r="K59" s="241"/>
      <c r="L59" s="241"/>
      <c r="M59" s="241"/>
      <c r="N59" s="241"/>
      <c r="O59" s="241"/>
      <c r="P59" s="241"/>
      <c r="Q59" s="241"/>
      <c r="R59" s="241">
        <f t="shared" si="20"/>
        <v>0</v>
      </c>
      <c r="S59" s="242"/>
      <c r="T59" s="242"/>
      <c r="U59" s="237"/>
    </row>
    <row r="60" spans="1:21" s="238" customFormat="1" ht="11.4">
      <c r="A60" s="246" t="s">
        <v>533</v>
      </c>
      <c r="B60" s="240">
        <f t="shared" si="18"/>
        <v>0</v>
      </c>
      <c r="C60" s="241"/>
      <c r="D60" s="241"/>
      <c r="E60" s="241"/>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500</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ht="11.4">
      <c r="A62" s="249" t="s">
        <v>501</v>
      </c>
      <c r="B62" s="240">
        <f>SUM(C62:D62)</f>
        <v>24976648</v>
      </c>
      <c r="C62" s="240">
        <f t="shared" ref="C62:R62" si="22">SUM(C8+C11+C13+C14+C15+C26+C27+C38+C42+C43+C53+C61)</f>
        <v>24976648</v>
      </c>
      <c r="D62" s="240">
        <f t="shared" si="22"/>
        <v>0</v>
      </c>
      <c r="E62" s="240">
        <f t="shared" si="22"/>
        <v>16495081</v>
      </c>
      <c r="F62" s="240">
        <f t="shared" si="22"/>
        <v>3477611</v>
      </c>
      <c r="G62" s="240">
        <f t="shared" si="22"/>
        <v>4750000</v>
      </c>
      <c r="H62" s="240">
        <f t="shared" si="22"/>
        <v>253956</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24976648</v>
      </c>
      <c r="S62" s="240">
        <f>SUM(S10+S13+S14+S15+S26+S27+S38+S42+S43+S53)</f>
        <v>18719445</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65000</v>
      </c>
      <c r="C64" s="241">
        <v>65000</v>
      </c>
      <c r="D64" s="241"/>
      <c r="E64" s="241">
        <f t="shared" ref="E64:E68" si="23">+C64-SUM(F64:I64)</f>
        <v>65000</v>
      </c>
      <c r="F64" s="241"/>
      <c r="G64" s="241"/>
      <c r="H64" s="241"/>
      <c r="I64" s="241"/>
      <c r="J64" s="241"/>
      <c r="K64" s="241"/>
      <c r="L64" s="241"/>
      <c r="M64" s="241"/>
      <c r="N64" s="241"/>
      <c r="O64" s="241"/>
      <c r="P64" s="241"/>
      <c r="Q64" s="241"/>
      <c r="R64" s="241">
        <f>SUM(E64:Q64)</f>
        <v>65000</v>
      </c>
      <c r="S64" s="241">
        <f t="shared" ref="S64:S68" si="24">+R64</f>
        <v>65000</v>
      </c>
      <c r="T64" s="241"/>
      <c r="U64" s="237"/>
    </row>
    <row r="65" spans="1:21" s="238" customFormat="1" ht="22.8">
      <c r="A65" s="239" t="s">
        <v>1954</v>
      </c>
      <c r="B65" s="240">
        <f>SUM(C65+D65)</f>
        <v>0</v>
      </c>
      <c r="C65" s="241"/>
      <c r="D65" s="241"/>
      <c r="E65" s="241">
        <f t="shared" si="23"/>
        <v>0</v>
      </c>
      <c r="F65" s="241"/>
      <c r="G65" s="241"/>
      <c r="H65" s="241"/>
      <c r="I65" s="241"/>
      <c r="J65" s="241"/>
      <c r="K65" s="241"/>
      <c r="L65" s="241"/>
      <c r="M65" s="241"/>
      <c r="N65" s="241"/>
      <c r="O65" s="241"/>
      <c r="P65" s="241"/>
      <c r="Q65" s="241"/>
      <c r="R65" s="241">
        <f>SUM(E65:Q65)</f>
        <v>0</v>
      </c>
      <c r="S65" s="241">
        <f t="shared" si="24"/>
        <v>0</v>
      </c>
      <c r="T65" s="241"/>
      <c r="U65" s="237"/>
    </row>
    <row r="66" spans="1:21" s="238" customFormat="1" ht="22.8">
      <c r="A66" s="239" t="s">
        <v>1955</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ht="11.4">
      <c r="A68" s="246" t="s">
        <v>2453</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 t="shared" si="24"/>
        <v>50000</v>
      </c>
      <c r="T68" s="241"/>
      <c r="U68" s="237"/>
    </row>
    <row r="69" spans="1:21" s="238" customFormat="1">
      <c r="A69" s="243" t="s">
        <v>1957</v>
      </c>
      <c r="B69" s="240">
        <f>SUM(C69:D69)</f>
        <v>115000</v>
      </c>
      <c r="C69" s="240">
        <f>SUM(C63:C68)</f>
        <v>115000</v>
      </c>
      <c r="D69" s="240">
        <f>SUM(D63:D68)</f>
        <v>0</v>
      </c>
      <c r="E69" s="240">
        <f t="shared" ref="E69:T69" si="25">SUM(E64:E68)</f>
        <v>115000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115000</v>
      </c>
      <c r="S69" s="244">
        <f t="shared" si="25"/>
        <v>115000</v>
      </c>
      <c r="T69" s="244">
        <f t="shared" si="25"/>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30000</v>
      </c>
      <c r="C71" s="241">
        <v>30000</v>
      </c>
      <c r="D71" s="241"/>
      <c r="E71" s="241">
        <f t="shared" ref="E71:E75" si="26">+C71-SUM(F71:I71)</f>
        <v>30000</v>
      </c>
      <c r="F71" s="241"/>
      <c r="G71" s="241"/>
      <c r="H71" s="241"/>
      <c r="I71" s="241"/>
      <c r="J71" s="241"/>
      <c r="K71" s="241"/>
      <c r="L71" s="241"/>
      <c r="M71" s="241"/>
      <c r="N71" s="241"/>
      <c r="O71" s="241"/>
      <c r="P71" s="241"/>
      <c r="Q71" s="241"/>
      <c r="R71" s="241">
        <f>SUM(E71:Q71)</f>
        <v>30000</v>
      </c>
      <c r="S71" s="242"/>
      <c r="T71" s="242"/>
      <c r="U71" s="237"/>
    </row>
    <row r="72" spans="1:21" s="238" customFormat="1" ht="11.4">
      <c r="A72" s="239" t="s">
        <v>287</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140000</v>
      </c>
      <c r="C74" s="241">
        <v>140000</v>
      </c>
      <c r="D74" s="241"/>
      <c r="E74" s="241">
        <f t="shared" si="26"/>
        <v>140000</v>
      </c>
      <c r="F74" s="241"/>
      <c r="G74" s="241"/>
      <c r="H74" s="241"/>
      <c r="I74" s="241"/>
      <c r="J74" s="241"/>
      <c r="K74" s="241"/>
      <c r="L74" s="241"/>
      <c r="M74" s="241"/>
      <c r="N74" s="241"/>
      <c r="O74" s="241"/>
      <c r="P74" s="241"/>
      <c r="Q74" s="241"/>
      <c r="R74" s="241">
        <f>SUM(E74:Q74)</f>
        <v>140000</v>
      </c>
      <c r="S74" s="242"/>
      <c r="T74" s="242"/>
      <c r="U74" s="237"/>
    </row>
    <row r="75" spans="1:21" s="238" customFormat="1" ht="11.4">
      <c r="A75" s="246" t="s">
        <v>533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170000</v>
      </c>
      <c r="C76" s="240">
        <f t="shared" ref="C76:Q76" si="27">SUM(C71:C75)</f>
        <v>170000</v>
      </c>
      <c r="D76" s="240">
        <f t="shared" si="27"/>
        <v>0</v>
      </c>
      <c r="E76" s="240">
        <f>SUM(E71:E75)</f>
        <v>170000</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170000</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800245</v>
      </c>
      <c r="C78" s="241">
        <v>800245</v>
      </c>
      <c r="D78" s="241"/>
      <c r="E78" s="241">
        <f t="shared" ref="E78:E79" si="28">+C78-SUM(F78:I78)</f>
        <v>800245</v>
      </c>
      <c r="F78" s="241"/>
      <c r="G78" s="241"/>
      <c r="H78" s="241"/>
      <c r="I78" s="241"/>
      <c r="J78" s="241"/>
      <c r="K78" s="241"/>
      <c r="L78" s="241"/>
      <c r="M78" s="241"/>
      <c r="N78" s="241"/>
      <c r="O78" s="241"/>
      <c r="P78" s="241"/>
      <c r="Q78" s="241"/>
      <c r="R78" s="241">
        <f>SUM(E78:Q78)</f>
        <v>800245</v>
      </c>
      <c r="S78" s="241">
        <f t="shared" ref="S78:S79" si="29">+R78</f>
        <v>800245</v>
      </c>
      <c r="T78" s="241"/>
      <c r="U78" s="237"/>
    </row>
    <row r="79" spans="1:21" s="238" customFormat="1" ht="11.4">
      <c r="A79" s="239" t="s">
        <v>538</v>
      </c>
      <c r="B79" s="240">
        <f>SUM(C79+D79)</f>
        <v>141534</v>
      </c>
      <c r="C79" s="241">
        <v>141534</v>
      </c>
      <c r="D79" s="241"/>
      <c r="E79" s="241">
        <f t="shared" si="28"/>
        <v>141534</v>
      </c>
      <c r="F79" s="241"/>
      <c r="G79" s="241"/>
      <c r="H79" s="241"/>
      <c r="I79" s="241"/>
      <c r="J79" s="241"/>
      <c r="K79" s="241"/>
      <c r="L79" s="241"/>
      <c r="M79" s="241"/>
      <c r="N79" s="241"/>
      <c r="O79" s="241"/>
      <c r="P79" s="241"/>
      <c r="Q79" s="241"/>
      <c r="R79" s="241">
        <f>SUM(E79:Q79)</f>
        <v>141534</v>
      </c>
      <c r="S79" s="241">
        <f t="shared" si="29"/>
        <v>141534</v>
      </c>
      <c r="T79" s="241"/>
      <c r="U79" s="237"/>
    </row>
    <row r="80" spans="1:21" s="238" customFormat="1">
      <c r="A80" s="243" t="s">
        <v>1742</v>
      </c>
      <c r="B80" s="240">
        <f>SUM(C80:D80)</f>
        <v>941779</v>
      </c>
      <c r="C80" s="666">
        <f>SUM(C78:C79)</f>
        <v>941779</v>
      </c>
      <c r="D80" s="666">
        <f t="shared" ref="D80:R80" si="30">SUM(D78:D79)</f>
        <v>0</v>
      </c>
      <c r="E80" s="666">
        <f t="shared" si="30"/>
        <v>941779</v>
      </c>
      <c r="F80" s="666">
        <f t="shared" si="30"/>
        <v>0</v>
      </c>
      <c r="G80" s="666">
        <f t="shared" si="30"/>
        <v>0</v>
      </c>
      <c r="H80" s="666">
        <f t="shared" si="30"/>
        <v>0</v>
      </c>
      <c r="I80" s="666">
        <f t="shared" si="30"/>
        <v>0</v>
      </c>
      <c r="J80" s="666">
        <f t="shared" si="30"/>
        <v>0</v>
      </c>
      <c r="K80" s="666">
        <f t="shared" si="30"/>
        <v>0</v>
      </c>
      <c r="L80" s="666">
        <f t="shared" si="30"/>
        <v>0</v>
      </c>
      <c r="M80" s="666">
        <f t="shared" si="30"/>
        <v>0</v>
      </c>
      <c r="N80" s="666">
        <f t="shared" si="30"/>
        <v>0</v>
      </c>
      <c r="O80" s="666">
        <f t="shared" si="30"/>
        <v>0</v>
      </c>
      <c r="P80" s="666">
        <f t="shared" si="30"/>
        <v>0</v>
      </c>
      <c r="Q80" s="666">
        <f t="shared" si="30"/>
        <v>0</v>
      </c>
      <c r="R80" s="666">
        <f t="shared" si="30"/>
        <v>941779</v>
      </c>
      <c r="S80" s="666">
        <f>SUM(S78:S79)</f>
        <v>941779</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107591</v>
      </c>
      <c r="C82" s="241">
        <v>107591</v>
      </c>
      <c r="D82" s="241"/>
      <c r="E82" s="241">
        <f t="shared" ref="E82:E93" si="31">+C82-SUM(F82:I82)</f>
        <v>107591</v>
      </c>
      <c r="F82" s="241"/>
      <c r="G82" s="241"/>
      <c r="H82" s="241"/>
      <c r="I82" s="241"/>
      <c r="J82" s="241"/>
      <c r="K82" s="241"/>
      <c r="L82" s="241"/>
      <c r="M82" s="241"/>
      <c r="N82" s="241"/>
      <c r="O82" s="241"/>
      <c r="P82" s="241"/>
      <c r="Q82" s="241"/>
      <c r="R82" s="241">
        <f>SUM(E82:Q82)</f>
        <v>107591</v>
      </c>
      <c r="S82" s="242"/>
      <c r="T82" s="242"/>
      <c r="U82" s="237"/>
    </row>
    <row r="83" spans="1:21" s="238" customFormat="1" ht="11.4">
      <c r="A83" s="239" t="s">
        <v>516</v>
      </c>
      <c r="B83" s="240">
        <f t="shared" ref="B83:B93" si="32">SUM(C83+D83)</f>
        <v>7000</v>
      </c>
      <c r="C83" s="241">
        <v>7000</v>
      </c>
      <c r="D83" s="241"/>
      <c r="E83" s="241">
        <f t="shared" si="31"/>
        <v>7000</v>
      </c>
      <c r="F83" s="241"/>
      <c r="G83" s="241"/>
      <c r="H83" s="241"/>
      <c r="I83" s="241"/>
      <c r="J83" s="241"/>
      <c r="K83" s="241"/>
      <c r="L83" s="241"/>
      <c r="M83" s="241"/>
      <c r="N83" s="241"/>
      <c r="O83" s="241"/>
      <c r="P83" s="241"/>
      <c r="Q83" s="241"/>
      <c r="R83" s="241">
        <f t="shared" ref="R83:R93" si="33">SUM(E83:Q83)</f>
        <v>7000</v>
      </c>
      <c r="S83" s="241">
        <f t="shared" ref="S83:S86" si="34">+R83</f>
        <v>7000</v>
      </c>
      <c r="T83" s="241"/>
      <c r="U83" s="237"/>
    </row>
    <row r="84" spans="1:21" s="238" customFormat="1" ht="11.4">
      <c r="A84" s="239" t="s">
        <v>517</v>
      </c>
      <c r="B84" s="240">
        <f t="shared" si="32"/>
        <v>325140</v>
      </c>
      <c r="C84" s="241">
        <v>325140</v>
      </c>
      <c r="D84" s="241"/>
      <c r="E84" s="241">
        <f t="shared" si="31"/>
        <v>325140</v>
      </c>
      <c r="F84" s="241"/>
      <c r="G84" s="241"/>
      <c r="H84" s="241"/>
      <c r="I84" s="241"/>
      <c r="J84" s="241"/>
      <c r="K84" s="241"/>
      <c r="L84" s="241"/>
      <c r="M84" s="241"/>
      <c r="N84" s="241"/>
      <c r="O84" s="241"/>
      <c r="P84" s="241"/>
      <c r="Q84" s="241"/>
      <c r="R84" s="241">
        <f t="shared" si="33"/>
        <v>325140</v>
      </c>
      <c r="S84" s="241">
        <f t="shared" si="34"/>
        <v>325140</v>
      </c>
      <c r="T84" s="241"/>
      <c r="U84" s="237"/>
    </row>
    <row r="85" spans="1:21" s="238" customFormat="1" ht="11.4">
      <c r="A85" s="239" t="s">
        <v>518</v>
      </c>
      <c r="B85" s="240">
        <f t="shared" si="32"/>
        <v>480000</v>
      </c>
      <c r="C85" s="241">
        <v>480000</v>
      </c>
      <c r="D85" s="241"/>
      <c r="E85" s="241">
        <f t="shared" si="31"/>
        <v>480000</v>
      </c>
      <c r="F85" s="241"/>
      <c r="G85" s="241"/>
      <c r="H85" s="241"/>
      <c r="I85" s="241"/>
      <c r="J85" s="241"/>
      <c r="K85" s="241"/>
      <c r="L85" s="241"/>
      <c r="M85" s="241"/>
      <c r="N85" s="241"/>
      <c r="O85" s="241"/>
      <c r="P85" s="241"/>
      <c r="Q85" s="241"/>
      <c r="R85" s="241">
        <f t="shared" si="33"/>
        <v>480000</v>
      </c>
      <c r="S85" s="241">
        <f t="shared" si="34"/>
        <v>480000</v>
      </c>
      <c r="T85" s="241"/>
      <c r="U85" s="237"/>
    </row>
    <row r="86" spans="1:21" s="238" customFormat="1" ht="11.4">
      <c r="A86" s="239" t="s">
        <v>519</v>
      </c>
      <c r="B86" s="240">
        <f t="shared" si="32"/>
        <v>0</v>
      </c>
      <c r="C86" s="241"/>
      <c r="D86" s="241"/>
      <c r="E86" s="241">
        <f t="shared" si="31"/>
        <v>0</v>
      </c>
      <c r="F86" s="241"/>
      <c r="G86" s="241"/>
      <c r="H86" s="241"/>
      <c r="I86" s="241"/>
      <c r="J86" s="241"/>
      <c r="K86" s="241"/>
      <c r="L86" s="241"/>
      <c r="M86" s="241"/>
      <c r="N86" s="241"/>
      <c r="O86" s="241"/>
      <c r="P86" s="241"/>
      <c r="Q86" s="241"/>
      <c r="R86" s="241">
        <f t="shared" si="33"/>
        <v>0</v>
      </c>
      <c r="S86" s="241">
        <f t="shared" si="34"/>
        <v>0</v>
      </c>
      <c r="T86" s="241"/>
      <c r="U86" s="237"/>
    </row>
    <row r="87" spans="1:21" s="238" customFormat="1" ht="11.4">
      <c r="A87" s="239" t="s">
        <v>520</v>
      </c>
      <c r="B87" s="240">
        <f t="shared" si="32"/>
        <v>56910</v>
      </c>
      <c r="C87" s="241">
        <v>56910</v>
      </c>
      <c r="D87" s="241"/>
      <c r="E87" s="241">
        <f t="shared" si="31"/>
        <v>56910</v>
      </c>
      <c r="F87" s="241"/>
      <c r="G87" s="241"/>
      <c r="H87" s="241"/>
      <c r="I87" s="241"/>
      <c r="J87" s="241"/>
      <c r="K87" s="241"/>
      <c r="L87" s="241"/>
      <c r="M87" s="241"/>
      <c r="N87" s="241"/>
      <c r="O87" s="241"/>
      <c r="P87" s="241"/>
      <c r="Q87" s="241"/>
      <c r="R87" s="241">
        <f t="shared" si="33"/>
        <v>56910</v>
      </c>
      <c r="S87" s="242"/>
      <c r="T87" s="242"/>
      <c r="U87" s="237"/>
    </row>
    <row r="88" spans="1:21" s="238" customFormat="1" ht="11.4">
      <c r="A88" s="239" t="s">
        <v>521</v>
      </c>
      <c r="B88" s="240">
        <f t="shared" si="32"/>
        <v>64000</v>
      </c>
      <c r="C88" s="241">
        <v>64000</v>
      </c>
      <c r="D88" s="241"/>
      <c r="E88" s="241">
        <f t="shared" si="31"/>
        <v>64000</v>
      </c>
      <c r="F88" s="241"/>
      <c r="G88" s="241"/>
      <c r="H88" s="241"/>
      <c r="I88" s="241"/>
      <c r="J88" s="241"/>
      <c r="K88" s="241"/>
      <c r="L88" s="241"/>
      <c r="M88" s="241"/>
      <c r="N88" s="241"/>
      <c r="O88" s="241"/>
      <c r="P88" s="241"/>
      <c r="Q88" s="241"/>
      <c r="R88" s="241">
        <f t="shared" si="33"/>
        <v>64000</v>
      </c>
      <c r="S88" s="241">
        <f t="shared" ref="S88:S94" si="35">+R88</f>
        <v>64000</v>
      </c>
      <c r="T88" s="241"/>
      <c r="U88" s="237"/>
    </row>
    <row r="89" spans="1:21" s="238" customFormat="1" ht="11.4">
      <c r="A89" s="239" t="s">
        <v>522</v>
      </c>
      <c r="B89" s="240">
        <f t="shared" si="32"/>
        <v>10000</v>
      </c>
      <c r="C89" s="241">
        <v>10000</v>
      </c>
      <c r="D89" s="241"/>
      <c r="E89" s="241">
        <f t="shared" si="31"/>
        <v>10000</v>
      </c>
      <c r="F89" s="241"/>
      <c r="G89" s="241"/>
      <c r="H89" s="241"/>
      <c r="I89" s="241"/>
      <c r="J89" s="241"/>
      <c r="K89" s="241"/>
      <c r="L89" s="241"/>
      <c r="M89" s="241"/>
      <c r="N89" s="241"/>
      <c r="O89" s="241"/>
      <c r="P89" s="241"/>
      <c r="Q89" s="241"/>
      <c r="R89" s="241">
        <f t="shared" si="33"/>
        <v>10000</v>
      </c>
      <c r="S89" s="241">
        <f t="shared" si="35"/>
        <v>10000</v>
      </c>
      <c r="T89" s="241"/>
      <c r="U89" s="237"/>
    </row>
    <row r="90" spans="1:21" s="238" customFormat="1" ht="11.4">
      <c r="A90" s="250" t="s">
        <v>1315</v>
      </c>
      <c r="B90" s="240">
        <f t="shared" si="32"/>
        <v>45000</v>
      </c>
      <c r="C90" s="241">
        <v>45000</v>
      </c>
      <c r="D90" s="241"/>
      <c r="E90" s="241">
        <f t="shared" si="31"/>
        <v>45000</v>
      </c>
      <c r="F90" s="241"/>
      <c r="G90" s="241"/>
      <c r="H90" s="241"/>
      <c r="I90" s="241"/>
      <c r="J90" s="241"/>
      <c r="K90" s="241"/>
      <c r="L90" s="241"/>
      <c r="M90" s="241"/>
      <c r="N90" s="241"/>
      <c r="O90" s="241"/>
      <c r="P90" s="241"/>
      <c r="Q90" s="241"/>
      <c r="R90" s="241">
        <f t="shared" si="33"/>
        <v>45000</v>
      </c>
      <c r="S90" s="241">
        <f t="shared" si="35"/>
        <v>45000</v>
      </c>
      <c r="T90" s="241"/>
      <c r="U90" s="237"/>
    </row>
    <row r="91" spans="1:21" s="238" customFormat="1" ht="11.4">
      <c r="A91" s="250" t="s">
        <v>1740</v>
      </c>
      <c r="B91" s="240">
        <f t="shared" si="32"/>
        <v>7500</v>
      </c>
      <c r="C91" s="241">
        <v>7500</v>
      </c>
      <c r="D91" s="241"/>
      <c r="E91" s="241">
        <f t="shared" si="31"/>
        <v>7500</v>
      </c>
      <c r="F91" s="241"/>
      <c r="G91" s="241"/>
      <c r="H91" s="241"/>
      <c r="I91" s="241"/>
      <c r="J91" s="241"/>
      <c r="K91" s="241"/>
      <c r="L91" s="241"/>
      <c r="M91" s="241"/>
      <c r="N91" s="241"/>
      <c r="O91" s="241"/>
      <c r="P91" s="241"/>
      <c r="Q91" s="241"/>
      <c r="R91" s="241">
        <f t="shared" si="33"/>
        <v>7500</v>
      </c>
      <c r="S91" s="241">
        <f t="shared" si="35"/>
        <v>7500</v>
      </c>
      <c r="T91" s="241"/>
      <c r="U91" s="237"/>
    </row>
    <row r="92" spans="1:21" s="238" customFormat="1" ht="11.4">
      <c r="A92" s="246" t="s">
        <v>2454</v>
      </c>
      <c r="B92" s="240">
        <f t="shared" si="32"/>
        <v>150000</v>
      </c>
      <c r="C92" s="241">
        <v>150000</v>
      </c>
      <c r="D92" s="241"/>
      <c r="E92" s="241">
        <f t="shared" si="31"/>
        <v>150000</v>
      </c>
      <c r="F92" s="241"/>
      <c r="G92" s="241"/>
      <c r="H92" s="241"/>
      <c r="I92" s="241"/>
      <c r="J92" s="241"/>
      <c r="K92" s="241"/>
      <c r="L92" s="241"/>
      <c r="M92" s="241"/>
      <c r="N92" s="241"/>
      <c r="O92" s="241"/>
      <c r="P92" s="241"/>
      <c r="Q92" s="241"/>
      <c r="R92" s="241">
        <f t="shared" si="33"/>
        <v>150000</v>
      </c>
      <c r="S92" s="241">
        <f t="shared" si="35"/>
        <v>150000</v>
      </c>
      <c r="T92" s="241"/>
      <c r="U92" s="237"/>
    </row>
    <row r="93" spans="1:21" s="238" customFormat="1" ht="11.4">
      <c r="A93" s="246" t="s">
        <v>533</v>
      </c>
      <c r="B93" s="240">
        <f t="shared" si="32"/>
        <v>0</v>
      </c>
      <c r="C93" s="241"/>
      <c r="D93" s="241"/>
      <c r="E93" s="241">
        <f t="shared" si="31"/>
        <v>0</v>
      </c>
      <c r="F93" s="241"/>
      <c r="G93" s="241"/>
      <c r="H93" s="241"/>
      <c r="I93" s="241"/>
      <c r="J93" s="241"/>
      <c r="K93" s="241"/>
      <c r="L93" s="241"/>
      <c r="M93" s="241"/>
      <c r="N93" s="241"/>
      <c r="O93" s="241"/>
      <c r="P93" s="241"/>
      <c r="Q93" s="241"/>
      <c r="R93" s="241">
        <f t="shared" si="33"/>
        <v>0</v>
      </c>
      <c r="S93" s="241">
        <f t="shared" si="35"/>
        <v>0</v>
      </c>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f t="shared" si="35"/>
        <v>0</v>
      </c>
      <c r="T94" s="241"/>
      <c r="U94" s="237"/>
    </row>
    <row r="95" spans="1:21" s="238" customFormat="1">
      <c r="A95" s="243" t="s">
        <v>523</v>
      </c>
      <c r="B95" s="240">
        <f>SUM(C95:D95)</f>
        <v>1253141</v>
      </c>
      <c r="C95" s="240">
        <f t="shared" ref="C95:R95" si="36">SUM(C82:C94)</f>
        <v>1253141</v>
      </c>
      <c r="D95" s="240">
        <f t="shared" si="36"/>
        <v>0</v>
      </c>
      <c r="E95" s="240">
        <f t="shared" si="36"/>
        <v>1253141</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1253141</v>
      </c>
      <c r="S95" s="244">
        <f>SUM(S83:S86,S88:S94)</f>
        <v>1088640</v>
      </c>
      <c r="T95" s="240">
        <f>SUM(T83:T86,T88:T94)</f>
        <v>0</v>
      </c>
      <c r="U95" s="237"/>
    </row>
    <row r="96" spans="1:21" s="238" customFormat="1">
      <c r="A96" s="243" t="s">
        <v>524</v>
      </c>
      <c r="B96" s="240">
        <f>SUM(C96:D96)</f>
        <v>27456568</v>
      </c>
      <c r="C96" s="240">
        <f t="shared" ref="C96:R96" si="37">SUM(C62+C69+C76+C80+C95)</f>
        <v>27456568</v>
      </c>
      <c r="D96" s="240">
        <f t="shared" si="37"/>
        <v>0</v>
      </c>
      <c r="E96" s="240">
        <f t="shared" si="37"/>
        <v>18975001</v>
      </c>
      <c r="F96" s="240">
        <f t="shared" si="37"/>
        <v>3477611</v>
      </c>
      <c r="G96" s="240">
        <f t="shared" si="37"/>
        <v>4750000</v>
      </c>
      <c r="H96" s="240">
        <f t="shared" si="37"/>
        <v>253956</v>
      </c>
      <c r="I96" s="240">
        <f t="shared" si="37"/>
        <v>0</v>
      </c>
      <c r="J96" s="240">
        <f t="shared" si="37"/>
        <v>0</v>
      </c>
      <c r="K96" s="240">
        <f t="shared" si="37"/>
        <v>0</v>
      </c>
      <c r="L96" s="240">
        <f t="shared" si="37"/>
        <v>0</v>
      </c>
      <c r="M96" s="240">
        <f t="shared" si="37"/>
        <v>0</v>
      </c>
      <c r="N96" s="240">
        <f t="shared" si="37"/>
        <v>0</v>
      </c>
      <c r="O96" s="240">
        <f t="shared" si="37"/>
        <v>0</v>
      </c>
      <c r="P96" s="240">
        <f t="shared" si="37"/>
        <v>0</v>
      </c>
      <c r="Q96" s="240">
        <f t="shared" si="37"/>
        <v>0</v>
      </c>
      <c r="R96" s="240">
        <f t="shared" si="37"/>
        <v>27456568</v>
      </c>
      <c r="S96" s="244">
        <f>SUM(+S62+S69+S80+S95)</f>
        <v>20864864</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+C98-SUM(F98:I98)</f>
        <v>1531556</v>
      </c>
      <c r="F98" s="241"/>
      <c r="G98" s="241"/>
      <c r="H98" s="241"/>
      <c r="I98" s="241">
        <v>968444</v>
      </c>
      <c r="J98" s="241"/>
      <c r="K98" s="241"/>
      <c r="L98" s="241"/>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8">SUM(C98:C102)</f>
        <v>2500000</v>
      </c>
      <c r="D103" s="240">
        <f t="shared" si="38"/>
        <v>0</v>
      </c>
      <c r="E103" s="240">
        <f t="shared" si="38"/>
        <v>1531556</v>
      </c>
      <c r="F103" s="240">
        <f t="shared" si="38"/>
        <v>0</v>
      </c>
      <c r="G103" s="240">
        <f t="shared" si="38"/>
        <v>0</v>
      </c>
      <c r="H103" s="240">
        <f t="shared" si="38"/>
        <v>0</v>
      </c>
      <c r="I103" s="240">
        <f t="shared" si="38"/>
        <v>968444</v>
      </c>
      <c r="J103" s="240">
        <f t="shared" si="38"/>
        <v>0</v>
      </c>
      <c r="K103" s="240">
        <f t="shared" si="38"/>
        <v>0</v>
      </c>
      <c r="L103" s="240">
        <f t="shared" si="38"/>
        <v>0</v>
      </c>
      <c r="M103" s="240">
        <f t="shared" si="38"/>
        <v>0</v>
      </c>
      <c r="N103" s="240">
        <f t="shared" si="38"/>
        <v>0</v>
      </c>
      <c r="O103" s="240">
        <f t="shared" si="38"/>
        <v>0</v>
      </c>
      <c r="P103" s="240">
        <f t="shared" si="38"/>
        <v>0</v>
      </c>
      <c r="Q103" s="240">
        <f t="shared" si="38"/>
        <v>0</v>
      </c>
      <c r="R103" s="240">
        <f t="shared" si="38"/>
        <v>2500000</v>
      </c>
      <c r="S103" s="244">
        <f t="shared" si="38"/>
        <v>2500000</v>
      </c>
      <c r="T103" s="244">
        <f t="shared" si="38"/>
        <v>0</v>
      </c>
      <c r="U103" s="237"/>
    </row>
    <row r="104" spans="1:21" s="238" customFormat="1">
      <c r="A104" s="243" t="s">
        <v>1156</v>
      </c>
      <c r="B104" s="244">
        <f>SUM(C104:D104)</f>
        <v>29956568</v>
      </c>
      <c r="C104" s="244">
        <f t="shared" ref="C104:R104" si="39">SUM(C96+C103)</f>
        <v>29956568</v>
      </c>
      <c r="D104" s="244">
        <f t="shared" si="39"/>
        <v>0</v>
      </c>
      <c r="E104" s="244">
        <f t="shared" si="39"/>
        <v>20506557</v>
      </c>
      <c r="F104" s="244">
        <f t="shared" si="39"/>
        <v>3477611</v>
      </c>
      <c r="G104" s="244">
        <f t="shared" si="39"/>
        <v>4750000</v>
      </c>
      <c r="H104" s="244">
        <f t="shared" si="39"/>
        <v>253956</v>
      </c>
      <c r="I104" s="244">
        <f t="shared" si="39"/>
        <v>968444</v>
      </c>
      <c r="J104" s="244">
        <f t="shared" si="39"/>
        <v>0</v>
      </c>
      <c r="K104" s="244">
        <f t="shared" si="39"/>
        <v>0</v>
      </c>
      <c r="L104" s="244">
        <f t="shared" si="39"/>
        <v>0</v>
      </c>
      <c r="M104" s="244">
        <f t="shared" si="39"/>
        <v>0</v>
      </c>
      <c r="N104" s="244">
        <f t="shared" si="39"/>
        <v>0</v>
      </c>
      <c r="O104" s="244">
        <f t="shared" si="39"/>
        <v>0</v>
      </c>
      <c r="P104" s="244">
        <f t="shared" si="39"/>
        <v>0</v>
      </c>
      <c r="Q104" s="244">
        <f t="shared" si="39"/>
        <v>0</v>
      </c>
      <c r="R104" s="240">
        <f t="shared" si="39"/>
        <v>29956568</v>
      </c>
      <c r="S104" s="244">
        <f>S96+S103</f>
        <v>23364864</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23364864</v>
      </c>
      <c r="T106" s="244">
        <f>T104+T105</f>
        <v>0</v>
      </c>
      <c r="U106" s="256"/>
    </row>
    <row r="107" spans="1:21" s="258" customFormat="1">
      <c r="A107" s="257" t="s">
        <v>1107</v>
      </c>
      <c r="B107" s="252"/>
      <c r="C107" s="252"/>
      <c r="D107" s="252"/>
      <c r="E107" s="240">
        <f>Application!AO634</f>
        <v>20506557</v>
      </c>
      <c r="F107" s="240">
        <f>Application!AO621</f>
        <v>3477611</v>
      </c>
      <c r="G107" s="240">
        <f>Application!AO622</f>
        <v>4750000</v>
      </c>
      <c r="H107" s="240">
        <f>Application!AO623</f>
        <v>253956</v>
      </c>
      <c r="I107" s="240">
        <f>Application!AO624</f>
        <v>968444</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8" t="s">
        <v>1291</v>
      </c>
      <c r="E122" s="1588"/>
      <c r="F122" s="1588"/>
      <c r="U122" s="256"/>
    </row>
    <row r="123" spans="1:21" s="253" customFormat="1" ht="11.4">
      <c r="A123" s="253" t="s">
        <v>1292</v>
      </c>
      <c r="B123" s="546"/>
      <c r="D123" s="1580" t="s">
        <v>1316</v>
      </c>
      <c r="E123" s="1576"/>
      <c r="F123" s="1576"/>
      <c r="G123" s="1576"/>
      <c r="H123" s="1576"/>
      <c r="I123" s="1576"/>
      <c r="J123" s="1576"/>
      <c r="K123" s="1576"/>
      <c r="L123" s="1576"/>
      <c r="M123" s="1576"/>
      <c r="N123" s="1576"/>
      <c r="O123" s="1576"/>
      <c r="P123" s="1576"/>
      <c r="Q123" s="1576"/>
      <c r="R123" s="1576"/>
      <c r="S123" s="1576"/>
      <c r="U123" s="256"/>
    </row>
    <row r="124" spans="1:21" s="253" customFormat="1" ht="13.2">
      <c r="A124" s="209" t="s">
        <v>1293</v>
      </c>
      <c r="B124" s="546"/>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3.2">
      <c r="A125" s="209" t="s">
        <v>1294</v>
      </c>
      <c r="B125" s="546"/>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3.2">
      <c r="A129" s="209" t="s">
        <v>499</v>
      </c>
      <c r="B129" s="546"/>
      <c r="C129" s="209"/>
      <c r="D129" s="1587" t="s">
        <v>1298</v>
      </c>
      <c r="E129" s="1587"/>
      <c r="F129" s="1587"/>
      <c r="G129" s="1587"/>
      <c r="H129" s="1587"/>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67"/>
      <c r="E131" s="1467"/>
      <c r="F131" s="1467"/>
      <c r="G131" s="1467"/>
      <c r="H131" s="1467"/>
      <c r="I131" s="209"/>
      <c r="J131" s="1467"/>
      <c r="K131" s="1467"/>
      <c r="L131" s="1467"/>
      <c r="M131" s="1467"/>
      <c r="N131" s="209"/>
      <c r="O131" s="209"/>
      <c r="P131" s="209"/>
      <c r="Q131" s="209"/>
      <c r="R131" s="209"/>
      <c r="S131" s="209"/>
      <c r="U131" s="256"/>
    </row>
    <row r="132" spans="1:21" s="253" customFormat="1" ht="13.2">
      <c r="A132" s="548"/>
      <c r="B132" s="209"/>
      <c r="C132" s="209"/>
      <c r="D132" s="1581" t="s">
        <v>1301</v>
      </c>
      <c r="E132" s="1581"/>
      <c r="F132" s="1581"/>
      <c r="G132" s="1581"/>
      <c r="H132" s="1581"/>
      <c r="I132" s="209"/>
      <c r="J132" s="1581" t="s">
        <v>1302</v>
      </c>
      <c r="K132" s="1581"/>
      <c r="L132" s="1581"/>
      <c r="M132" s="158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1304</v>
      </c>
      <c r="B139" s="1578"/>
      <c r="C139" s="157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P41" sqref="AP41"/>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2" t="s">
        <v>1746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DDA/QCT
Building(s)</v>
      </c>
      <c r="U7" s="1608"/>
      <c r="V7" s="1608"/>
      <c r="W7" s="1608"/>
      <c r="X7" s="1608"/>
      <c r="Y7" s="1608" t="str">
        <f>IF(T25=100%,"",'Sources and Basis Breakdown'!G2)</f>
        <v>70% PVC for New Const/
Rehabilitation
NON-DDA/
NON-QCT Building(s)</v>
      </c>
      <c r="Z7" s="1608"/>
      <c r="AA7" s="1608"/>
      <c r="AB7" s="1608"/>
      <c r="AC7" s="1608"/>
      <c r="AD7" s="1608" t="str">
        <f>IF(T25=100%,'Sources and Basis Breakdown'!J2,'Sources and Basis Breakdown'!I2)</f>
        <v>30% PVC for Acquisition
DDA/QCT Building(s)</v>
      </c>
      <c r="AE7" s="1608"/>
      <c r="AF7" s="1608"/>
      <c r="AG7" s="1608"/>
      <c r="AH7" s="1608"/>
      <c r="AI7" s="1608" t="str">
        <f>IF(T25=100%,"",'Sources and Basis Breakdown'!J2)</f>
        <v>30% PVC for Acquisition
NON-DDA/
NON-QCT Building(s)</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23364864</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2.9" customHeight="1">
      <c r="B18" s="941"/>
      <c r="C18" s="1589" t="s">
        <v>1217</v>
      </c>
      <c r="D18" s="1589"/>
      <c r="E18" s="1589"/>
      <c r="F18" s="1589"/>
      <c r="G18" s="1589"/>
      <c r="H18" s="1589"/>
      <c r="I18" s="1589"/>
      <c r="J18" s="1589"/>
      <c r="K18" s="1589"/>
      <c r="L18" s="1589"/>
      <c r="M18" s="1589"/>
      <c r="N18" s="1589"/>
      <c r="O18" s="1589"/>
      <c r="P18" s="1589"/>
      <c r="Q18" s="1589"/>
      <c r="R18" s="1589"/>
      <c r="S18" s="1590"/>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2.9" customHeight="1">
      <c r="B19" s="484"/>
      <c r="C19" s="1589" t="s">
        <v>1217</v>
      </c>
      <c r="D19" s="1589"/>
      <c r="E19" s="1589"/>
      <c r="F19" s="1589"/>
      <c r="G19" s="1589"/>
      <c r="H19" s="1589"/>
      <c r="I19" s="1589"/>
      <c r="J19" s="1589"/>
      <c r="K19" s="1589"/>
      <c r="L19" s="1589"/>
      <c r="M19" s="1589"/>
      <c r="N19" s="1589"/>
      <c r="O19" s="1589"/>
      <c r="P19" s="1589"/>
      <c r="Q19" s="1589"/>
      <c r="R19" s="1589"/>
      <c r="S19" s="1590"/>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v>3102466</v>
      </c>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(ABS(T20)+ABS(T21))*-1</f>
        <v>-3102466</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2.9" customHeight="1">
      <c r="B23" s="1182" t="s">
        <v>1905</v>
      </c>
      <c r="C23" s="1183"/>
      <c r="D23" s="1183"/>
      <c r="E23" s="1183"/>
      <c r="F23" s="1183"/>
      <c r="G23" s="1183"/>
      <c r="H23" s="1183"/>
      <c r="I23" s="1183"/>
      <c r="J23" s="1183"/>
      <c r="K23" s="1183"/>
      <c r="L23" s="1183"/>
      <c r="M23" s="1183"/>
      <c r="N23" s="1183"/>
      <c r="O23" s="1183"/>
      <c r="P23" s="1183"/>
      <c r="Q23" s="1183"/>
      <c r="R23" s="1183"/>
      <c r="S23" s="1184"/>
      <c r="T23" s="1601">
        <f>T11+T22</f>
        <v>20262398</v>
      </c>
      <c r="U23" s="1202"/>
      <c r="V23" s="1202"/>
      <c r="W23" s="1202"/>
      <c r="X23" s="1202"/>
      <c r="Y23" s="1601">
        <f>Y11+Y22</f>
        <v>0</v>
      </c>
      <c r="Z23" s="1202"/>
      <c r="AA23" s="1202"/>
      <c r="AB23" s="1202"/>
      <c r="AC23" s="1202"/>
      <c r="AD23" s="1601">
        <f>IF(AD11=AD21,0,AD11)</f>
        <v>0</v>
      </c>
      <c r="AE23" s="1202"/>
      <c r="AF23" s="1202"/>
      <c r="AG23" s="1202"/>
      <c r="AH23" s="1202"/>
      <c r="AI23" s="1601">
        <f>IF(AI11=AI21,0,AI11)</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Application!AJ1020</f>
        <v>24459344</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1907</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1.3</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26341117.400000002</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26341117.400000002</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26341117.400000002</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635" t="s">
        <v>1906</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2.9" customHeight="1">
      <c r="B31" s="1636" t="s">
        <v>1908</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4" ht="12.9" customHeight="1">
      <c r="B36" s="204"/>
      <c r="X36" s="71"/>
      <c r="Y36" s="1608"/>
      <c r="Z36" s="1608"/>
      <c r="AA36" s="1608"/>
      <c r="AB36" s="1608"/>
      <c r="AC36" s="1608"/>
      <c r="AD36" s="1494"/>
      <c r="AE36" s="1494"/>
      <c r="AF36" s="1494"/>
      <c r="AG36" s="1494"/>
      <c r="AH36" s="1494"/>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4"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26341117.400000002</v>
      </c>
      <c r="Z38" s="1202"/>
      <c r="AA38" s="1202"/>
      <c r="AB38" s="1202"/>
      <c r="AC38" s="1202"/>
      <c r="AD38" s="1202">
        <f>IF(T24&gt;=(T23+Y23+AD23+AI23),AD28+AI28,0)</f>
        <v>0</v>
      </c>
      <c r="AE38" s="1202"/>
      <c r="AF38" s="1202"/>
      <c r="AG38" s="1202"/>
      <c r="AH38" s="1202"/>
    </row>
    <row r="39" spans="1:44" ht="12.9"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39">
        <v>0.09</v>
      </c>
      <c r="Z39" s="1639"/>
      <c r="AA39" s="1639"/>
      <c r="AB39" s="1639"/>
      <c r="AC39" s="1639"/>
      <c r="AD39" s="1639">
        <v>0.04</v>
      </c>
      <c r="AE39" s="1639"/>
      <c r="AF39" s="1639"/>
      <c r="AG39" s="1639"/>
      <c r="AH39" s="1639"/>
    </row>
    <row r="40" spans="1:44"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2370701</v>
      </c>
      <c r="Z40" s="1202"/>
      <c r="AA40" s="1202"/>
      <c r="AB40" s="1202"/>
      <c r="AC40" s="1202"/>
      <c r="AD40" s="1601">
        <f>ROUND(AD38*AD39,0)</f>
        <v>0</v>
      </c>
      <c r="AE40" s="1202"/>
      <c r="AF40" s="1202"/>
      <c r="AG40" s="1202"/>
      <c r="AH40" s="1202"/>
    </row>
    <row r="41" spans="1:44"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IF(Application!Y211="No",'Basis &amp; Credits'!AR42,AR43)</f>
        <v>2370701</v>
      </c>
      <c r="Z41" s="1600"/>
      <c r="AA41" s="1600"/>
      <c r="AB41" s="1600"/>
      <c r="AC41" s="1600"/>
      <c r="AD41" s="1600"/>
      <c r="AE41" s="1600"/>
      <c r="AF41" s="1600"/>
      <c r="AG41" s="1600"/>
      <c r="AH41" s="1601"/>
    </row>
    <row r="42" spans="1:44" ht="12.9" customHeight="1">
      <c r="A42" s="3"/>
      <c r="B42" s="1633" t="s">
        <v>1816</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2370701</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2370701</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3">
        <f>'Sources and Uses Budget'!B104-(MAX(IF('Sources and Uses Budget'!B15="",0,'Sources and Uses Budget'!B15),IF(Application!AG387="",0,Application!AG387)))</f>
        <v>29956568</v>
      </c>
      <c r="AC46" s="1194"/>
      <c r="AD46" s="1194"/>
      <c r="AE46" s="1194"/>
      <c r="AF46" s="1195"/>
    </row>
    <row r="47" spans="1:44" ht="12.9" customHeight="1">
      <c r="D47" s="3" t="s">
        <v>837</v>
      </c>
      <c r="AB47" s="1193">
        <f>Application!AO633-MAX(IF('Sources and Uses Budget'!B15="",0,'Sources and Uses Budget'!B15),IF(Application!AG387="",0,Application!AG387))</f>
        <v>9450011</v>
      </c>
      <c r="AC47" s="1194"/>
      <c r="AD47" s="1194"/>
      <c r="AE47" s="1194"/>
      <c r="AF47" s="1195"/>
    </row>
    <row r="48" spans="1:44" ht="12.9" customHeight="1">
      <c r="D48" s="3" t="s">
        <v>378</v>
      </c>
      <c r="AB48" s="1193">
        <f>AB46-AB47</f>
        <v>20506557</v>
      </c>
      <c r="AC48" s="1194"/>
      <c r="AD48" s="1194"/>
      <c r="AE48" s="1194"/>
      <c r="AF48" s="1195"/>
    </row>
    <row r="49" spans="1:40" ht="12.9" customHeight="1">
      <c r="D49" s="3" t="s">
        <v>872</v>
      </c>
      <c r="AA49" s="34"/>
      <c r="AB49" s="1628">
        <v>0.86499999999999999</v>
      </c>
      <c r="AC49" s="1629"/>
      <c r="AD49" s="1629"/>
      <c r="AE49" s="1629"/>
      <c r="AF49" s="1630"/>
    </row>
    <row r="50" spans="1:40" s="323" customFormat="1" ht="12.9" customHeight="1">
      <c r="A50"/>
      <c r="B50"/>
      <c r="C50"/>
      <c r="D50"/>
      <c r="E50" s="1634" t="s">
        <v>1951</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23707002</v>
      </c>
      <c r="AC53" s="1194"/>
      <c r="AD53" s="1194"/>
      <c r="AE53" s="1194"/>
      <c r="AF53" s="1195"/>
    </row>
    <row r="54" spans="1:40" ht="12.9" customHeight="1">
      <c r="D54" s="3" t="s">
        <v>561</v>
      </c>
      <c r="AB54" s="1193">
        <f>(AB53/10)</f>
        <v>2370700.2000000002</v>
      </c>
      <c r="AC54" s="1194"/>
      <c r="AD54" s="1194"/>
      <c r="AE54" s="1194"/>
      <c r="AF54" s="1195"/>
    </row>
    <row r="55" spans="1:40" ht="12.9" customHeight="1">
      <c r="D55" s="3" t="s">
        <v>341</v>
      </c>
      <c r="AB55" s="1193">
        <f>(IF((Y41&lt;AB54),Y41,AB54))</f>
        <v>2370700.2000000002</v>
      </c>
      <c r="AC55" s="1194"/>
      <c r="AD55" s="1194"/>
      <c r="AE55" s="1194"/>
      <c r="AF55" s="1195"/>
    </row>
    <row r="56" spans="1:40" ht="12.9" customHeight="1">
      <c r="D56" s="3" t="s">
        <v>107</v>
      </c>
      <c r="AB56" s="1193">
        <f>ROUND((10*AB55*AB49),0)</f>
        <v>20506557</v>
      </c>
      <c r="AC56" s="1194"/>
      <c r="AD56" s="1194"/>
      <c r="AE56" s="1194"/>
      <c r="AF56" s="1195"/>
    </row>
    <row r="57" spans="1:40" ht="12.9" customHeight="1">
      <c r="D57" s="3"/>
      <c r="AB57" s="276"/>
      <c r="AC57" s="276"/>
      <c r="AD57" s="276"/>
      <c r="AE57" s="276"/>
      <c r="AF57" s="276"/>
    </row>
    <row r="58" spans="1:40" ht="12.9" customHeight="1">
      <c r="D58" s="3" t="s">
        <v>106</v>
      </c>
      <c r="AB58" s="1215">
        <f>AB48-AB56</f>
        <v>0</v>
      </c>
      <c r="AC58" s="1215"/>
      <c r="AD58" s="1215"/>
      <c r="AE58" s="1215"/>
      <c r="AF58" s="121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31"/>
      <c r="AA63" s="1631"/>
      <c r="AB63" s="1631"/>
      <c r="AC63" s="1631"/>
      <c r="AD63" s="1202">
        <f>IF(AND(T25=1.3,Application!D214="At-Risk"),AI28,IF(Application!D214&lt;&gt;"At-Risk",0,AD28))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28"/>
      <c r="AC70" s="1629"/>
      <c r="AD70" s="1629"/>
      <c r="AE70" s="1629"/>
      <c r="AF70" s="1630"/>
    </row>
    <row r="71" spans="1:34" ht="12.9" customHeight="1">
      <c r="A71" s="3"/>
      <c r="C71" s="3"/>
      <c r="D71" s="3"/>
      <c r="E71" s="1632" t="s">
        <v>2249</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0</v>
      </c>
      <c r="AC79" s="1215"/>
      <c r="AD79" s="1215"/>
      <c r="AE79" s="1215"/>
      <c r="AF79" s="121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2" workbookViewId="0">
      <selection activeCell="F97" sqref="F97"/>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5000000</v>
      </c>
      <c r="C4" s="585">
        <f>+B4</f>
        <v>5000000</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5000000</v>
      </c>
      <c r="C8" s="584">
        <f>SUM(C4:C7)</f>
        <v>5000000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5000000</v>
      </c>
      <c r="C12" s="584">
        <f>SUM(C8+C11)</f>
        <v>5000000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911</v>
      </c>
      <c r="B29" s="584">
        <f>'Sources and Uses Budget'!C30</f>
        <v>13507750</v>
      </c>
      <c r="C29" s="585">
        <f>+B29</f>
        <v>13507750</v>
      </c>
      <c r="D29" s="585"/>
      <c r="E29" s="584">
        <f>'Sources and Uses Budget'!S30</f>
        <v>13507750</v>
      </c>
      <c r="F29" s="585">
        <f t="shared" ref="F29:F36" si="0">+E29</f>
        <v>13507750</v>
      </c>
      <c r="G29" s="585"/>
      <c r="H29" s="584">
        <f>'Sources and Uses Budget'!T30</f>
        <v>0</v>
      </c>
      <c r="I29" s="585"/>
      <c r="J29" s="585"/>
      <c r="K29" s="579"/>
    </row>
    <row r="30" spans="1:11" s="253" customFormat="1" ht="11.4">
      <c r="A30" s="239" t="s">
        <v>912</v>
      </c>
      <c r="B30" s="584">
        <f>'Sources and Uses Budget'!C31</f>
        <v>810465</v>
      </c>
      <c r="C30" s="585">
        <f t="shared" ref="C30:C35" si="1">+B30</f>
        <v>810465</v>
      </c>
      <c r="D30" s="585"/>
      <c r="E30" s="584">
        <f>'Sources and Uses Budget'!S31</f>
        <v>810465</v>
      </c>
      <c r="F30" s="585">
        <f t="shared" si="0"/>
        <v>810465</v>
      </c>
      <c r="G30" s="585"/>
      <c r="H30" s="584">
        <f>'Sources and Uses Budget'!T31</f>
        <v>0</v>
      </c>
      <c r="I30" s="585"/>
      <c r="J30" s="585"/>
      <c r="K30" s="579"/>
    </row>
    <row r="31" spans="1:11" s="253" customFormat="1" ht="11.4">
      <c r="A31" s="239" t="s">
        <v>913</v>
      </c>
      <c r="B31" s="584">
        <f>'Sources and Uses Budget'!C32</f>
        <v>286364</v>
      </c>
      <c r="C31" s="585">
        <f t="shared" si="1"/>
        <v>286364</v>
      </c>
      <c r="D31" s="585"/>
      <c r="E31" s="584">
        <f>'Sources and Uses Budget'!S32</f>
        <v>286364</v>
      </c>
      <c r="F31" s="585">
        <f t="shared" si="0"/>
        <v>286364</v>
      </c>
      <c r="G31" s="585"/>
      <c r="H31" s="584">
        <f>'Sources and Uses Budget'!T32</f>
        <v>0</v>
      </c>
      <c r="I31" s="585"/>
      <c r="J31" s="585"/>
      <c r="K31" s="579"/>
    </row>
    <row r="32" spans="1:11" s="253" customFormat="1" ht="11.4">
      <c r="A32" s="239" t="s">
        <v>914</v>
      </c>
      <c r="B32" s="584">
        <f>'Sources and Uses Budget'!C33</f>
        <v>859093</v>
      </c>
      <c r="C32" s="585">
        <f t="shared" si="1"/>
        <v>859093</v>
      </c>
      <c r="D32" s="585"/>
      <c r="E32" s="584">
        <f>'Sources and Uses Budget'!S33</f>
        <v>859093</v>
      </c>
      <c r="F32" s="585">
        <f t="shared" si="0"/>
        <v>859093</v>
      </c>
      <c r="G32" s="585"/>
      <c r="H32" s="584">
        <f>'Sources and Uses Budget'!T33</f>
        <v>0</v>
      </c>
      <c r="I32" s="585"/>
      <c r="J32" s="585"/>
      <c r="K32" s="579"/>
    </row>
    <row r="33" spans="1:11" s="253" customFormat="1" ht="11.4">
      <c r="A33" s="239" t="s">
        <v>915</v>
      </c>
      <c r="B33" s="584">
        <f>'Sources and Uses Budget'!C34</f>
        <v>0</v>
      </c>
      <c r="C33" s="585">
        <f t="shared" si="1"/>
        <v>0</v>
      </c>
      <c r="D33" s="585"/>
      <c r="E33" s="584">
        <f>'Sources and Uses Budget'!S34</f>
        <v>0</v>
      </c>
      <c r="F33" s="585">
        <f t="shared" si="0"/>
        <v>0</v>
      </c>
      <c r="G33" s="585"/>
      <c r="H33" s="584">
        <f>'Sources and Uses Budget'!T34</f>
        <v>0</v>
      </c>
      <c r="I33" s="585"/>
      <c r="J33" s="585"/>
      <c r="K33" s="579"/>
    </row>
    <row r="34" spans="1:11" s="253" customFormat="1" ht="11.4">
      <c r="A34" s="239" t="s">
        <v>916</v>
      </c>
      <c r="B34" s="584">
        <f>'Sources and Uses Budget'!C35</f>
        <v>541229</v>
      </c>
      <c r="C34" s="585">
        <f t="shared" si="1"/>
        <v>541229</v>
      </c>
      <c r="D34" s="585"/>
      <c r="E34" s="584">
        <f>'Sources and Uses Budget'!S35</f>
        <v>541229</v>
      </c>
      <c r="F34" s="585">
        <f t="shared" si="0"/>
        <v>541229</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1"/>
        <v>0</v>
      </c>
      <c r="D35" s="585"/>
      <c r="E35" s="584">
        <f>'Sources and Uses Budget'!S36</f>
        <v>0</v>
      </c>
      <c r="F35" s="585">
        <f t="shared" si="0"/>
        <v>0</v>
      </c>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f t="shared" si="0"/>
        <v>0</v>
      </c>
      <c r="G36" s="585"/>
      <c r="H36" s="584">
        <f>'Sources and Uses Budget'!T37</f>
        <v>0</v>
      </c>
      <c r="I36" s="585"/>
      <c r="J36" s="585"/>
      <c r="K36" s="579"/>
    </row>
    <row r="37" spans="1:11" s="253" customFormat="1">
      <c r="A37" s="243" t="s">
        <v>919</v>
      </c>
      <c r="B37" s="584">
        <f>'Sources and Uses Budget'!C38</f>
        <v>16004901</v>
      </c>
      <c r="C37" s="584">
        <f>SUM(C28:C36)</f>
        <v>16004901</v>
      </c>
      <c r="D37" s="584">
        <f>SUM(D28:D36)</f>
        <v>0</v>
      </c>
      <c r="E37" s="584">
        <f>'Sources and Uses Budget'!S38</f>
        <v>16004901</v>
      </c>
      <c r="F37" s="587">
        <f>SUM(F28:F36)</f>
        <v>16004901</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998897</v>
      </c>
      <c r="C39" s="585">
        <f t="shared" ref="C39:C40" si="2">+B39</f>
        <v>998897</v>
      </c>
      <c r="D39" s="585"/>
      <c r="E39" s="584">
        <f>'Sources and Uses Budget'!S40</f>
        <v>998897</v>
      </c>
      <c r="F39" s="585">
        <f t="shared" ref="F39:F40" si="3">+E39</f>
        <v>998897</v>
      </c>
      <c r="G39" s="585"/>
      <c r="H39" s="584">
        <f>'Sources and Uses Budget'!T40</f>
        <v>0</v>
      </c>
      <c r="I39" s="585"/>
      <c r="J39" s="585"/>
      <c r="K39" s="579"/>
    </row>
    <row r="40" spans="1:11" s="253" customFormat="1" ht="11.4">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998897</v>
      </c>
      <c r="C41" s="584">
        <f>SUM(C38:C40)</f>
        <v>998897</v>
      </c>
      <c r="D41" s="584">
        <f>SUM(D38:D40)</f>
        <v>0</v>
      </c>
      <c r="E41" s="584">
        <f>'Sources and Uses Budget'!S42</f>
        <v>998897</v>
      </c>
      <c r="F41" s="587">
        <f>SUM(F39:F40)</f>
        <v>998897</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 t="shared" ref="C42" si="4">+B42</f>
        <v>100000</v>
      </c>
      <c r="D42" s="585"/>
      <c r="E42" s="584">
        <f>'Sources and Uses Budget'!S43</f>
        <v>100000</v>
      </c>
      <c r="F42" s="585">
        <f t="shared" ref="F42" si="5">+E42</f>
        <v>100000</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2406173</v>
      </c>
      <c r="C44" s="585">
        <f t="shared" ref="C44:C51" si="6">+B44</f>
        <v>2406173</v>
      </c>
      <c r="D44" s="585"/>
      <c r="E44" s="584">
        <f>'Sources and Uses Budget'!S45</f>
        <v>1163970</v>
      </c>
      <c r="F44" s="585">
        <f t="shared" ref="F44:F51" si="7">+E44</f>
        <v>1163970</v>
      </c>
      <c r="G44" s="585"/>
      <c r="H44" s="584">
        <f>'Sources and Uses Budget'!T45</f>
        <v>0</v>
      </c>
      <c r="I44" s="585"/>
      <c r="J44" s="585"/>
      <c r="K44" s="579"/>
    </row>
    <row r="45" spans="1:11" s="253" customFormat="1" ht="11.4">
      <c r="A45" s="239" t="s">
        <v>927</v>
      </c>
      <c r="B45" s="584">
        <f>'Sources and Uses Budget'!C46</f>
        <v>256677</v>
      </c>
      <c r="C45" s="585">
        <f t="shared" si="6"/>
        <v>256677</v>
      </c>
      <c r="D45" s="585"/>
      <c r="E45" s="584">
        <f>'Sources and Uses Budget'!S46</f>
        <v>256677</v>
      </c>
      <c r="F45" s="585">
        <f t="shared" si="7"/>
        <v>256677</v>
      </c>
      <c r="G45" s="585"/>
      <c r="H45" s="584">
        <f>'Sources and Uses Budget'!T46</f>
        <v>0</v>
      </c>
      <c r="I45" s="585"/>
      <c r="J45" s="585"/>
      <c r="K45" s="579"/>
    </row>
    <row r="46" spans="1:11" s="253" customFormat="1" ht="12" customHeight="1">
      <c r="A46" s="239" t="s">
        <v>928</v>
      </c>
      <c r="B46" s="584">
        <f>'Sources and Uses Budget'!C47</f>
        <v>35000</v>
      </c>
      <c r="C46" s="585">
        <f t="shared" si="6"/>
        <v>35000</v>
      </c>
      <c r="D46" s="585"/>
      <c r="E46" s="584">
        <f>'Sources and Uses Budget'!S47</f>
        <v>35000</v>
      </c>
      <c r="F46" s="585">
        <f t="shared" si="7"/>
        <v>35000</v>
      </c>
      <c r="G46" s="585"/>
      <c r="H46" s="584">
        <f>'Sources and Uses Budget'!T47</f>
        <v>0</v>
      </c>
      <c r="I46" s="585"/>
      <c r="J46" s="585"/>
      <c r="K46" s="579"/>
    </row>
    <row r="47" spans="1:11" s="253" customFormat="1" ht="11.4">
      <c r="A47" s="239" t="s">
        <v>929</v>
      </c>
      <c r="B47" s="584">
        <f>'Sources and Uses Budget'!C48</f>
        <v>0</v>
      </c>
      <c r="C47" s="585">
        <f t="shared" si="6"/>
        <v>0</v>
      </c>
      <c r="D47" s="585"/>
      <c r="E47" s="584">
        <f>'Sources and Uses Budget'!S48</f>
        <v>0</v>
      </c>
      <c r="F47" s="585">
        <f t="shared" si="7"/>
        <v>0</v>
      </c>
      <c r="G47" s="585"/>
      <c r="H47" s="584">
        <f>'Sources and Uses Budget'!T48</f>
        <v>0</v>
      </c>
      <c r="I47" s="585"/>
      <c r="J47" s="585"/>
      <c r="K47" s="579"/>
    </row>
    <row r="48" spans="1:11" s="253" customFormat="1" ht="11.4">
      <c r="A48" s="239" t="s">
        <v>932</v>
      </c>
      <c r="B48" s="584">
        <f>'Sources and Uses Budget'!C49</f>
        <v>40000</v>
      </c>
      <c r="C48" s="585">
        <f t="shared" si="6"/>
        <v>40000</v>
      </c>
      <c r="D48" s="585"/>
      <c r="E48" s="584">
        <f>'Sources and Uses Budget'!S49</f>
        <v>40000</v>
      </c>
      <c r="F48" s="585">
        <f t="shared" si="7"/>
        <v>40000</v>
      </c>
      <c r="G48" s="585"/>
      <c r="H48" s="584">
        <f>'Sources and Uses Budget'!T49</f>
        <v>0</v>
      </c>
      <c r="I48" s="585"/>
      <c r="J48" s="585"/>
      <c r="K48" s="579"/>
    </row>
    <row r="49" spans="1:11" s="253" customFormat="1" ht="11.4">
      <c r="A49" s="239" t="s">
        <v>930</v>
      </c>
      <c r="B49" s="584">
        <f>'Sources and Uses Budget'!C50</f>
        <v>100000</v>
      </c>
      <c r="C49" s="585">
        <f t="shared" si="6"/>
        <v>100000</v>
      </c>
      <c r="D49" s="585"/>
      <c r="E49" s="584">
        <f>'Sources and Uses Budget'!S50</f>
        <v>100000</v>
      </c>
      <c r="F49" s="585">
        <f t="shared" si="7"/>
        <v>100000</v>
      </c>
      <c r="G49" s="585"/>
      <c r="H49" s="584">
        <f>'Sources and Uses Budget'!T50</f>
        <v>0</v>
      </c>
      <c r="I49" s="585"/>
      <c r="J49" s="585"/>
      <c r="K49" s="579"/>
    </row>
    <row r="50" spans="1:11" s="253" customFormat="1" ht="11.4">
      <c r="A50" s="239" t="s">
        <v>931</v>
      </c>
      <c r="B50" s="584">
        <f>'Sources and Uses Budget'!C51</f>
        <v>0</v>
      </c>
      <c r="C50" s="585">
        <f t="shared" si="6"/>
        <v>0</v>
      </c>
      <c r="D50" s="585"/>
      <c r="E50" s="584">
        <f>'Sources and Uses Budget'!S51</f>
        <v>0</v>
      </c>
      <c r="F50" s="585">
        <f t="shared" si="7"/>
        <v>0</v>
      </c>
      <c r="G50" s="585"/>
      <c r="H50" s="584">
        <f>'Sources and Uses Budget'!T51</f>
        <v>0</v>
      </c>
      <c r="I50" s="585"/>
      <c r="J50" s="585"/>
      <c r="K50" s="579"/>
    </row>
    <row r="51" spans="1:11" s="253" customFormat="1" ht="11.4">
      <c r="A51" s="239" t="str">
        <f>'Sources and Uses Budget'!$A52</f>
        <v>Inspection Fees</v>
      </c>
      <c r="B51" s="584">
        <f>'Sources and Uses Budget'!C52</f>
        <v>20000</v>
      </c>
      <c r="C51" s="585">
        <f t="shared" si="6"/>
        <v>20000</v>
      </c>
      <c r="D51" s="585"/>
      <c r="E51" s="584">
        <f>'Sources and Uses Budget'!S52</f>
        <v>20000</v>
      </c>
      <c r="F51" s="585">
        <f t="shared" si="7"/>
        <v>20000</v>
      </c>
      <c r="G51" s="585"/>
      <c r="H51" s="584">
        <f>'Sources and Uses Budget'!T52</f>
        <v>0</v>
      </c>
      <c r="I51" s="585"/>
      <c r="J51" s="585"/>
      <c r="K51" s="579"/>
    </row>
    <row r="52" spans="1:11" s="577" customFormat="1">
      <c r="A52" s="243" t="s">
        <v>933</v>
      </c>
      <c r="B52" s="584">
        <f>'Sources and Uses Budget'!C53</f>
        <v>2857850</v>
      </c>
      <c r="C52" s="587">
        <f>SUM(C44:C51)</f>
        <v>2857850</v>
      </c>
      <c r="D52" s="587">
        <f>SUM(D44:D51)</f>
        <v>0</v>
      </c>
      <c r="E52" s="584">
        <f>'Sources and Uses Budget'!S53</f>
        <v>1615647</v>
      </c>
      <c r="F52" s="587">
        <f>SUM(F44:F51)</f>
        <v>1615647</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7" si="8">+B55</f>
        <v>10000</v>
      </c>
      <c r="D55" s="585"/>
      <c r="E55" s="586"/>
      <c r="F55" s="586"/>
      <c r="G55" s="586"/>
      <c r="H55" s="586"/>
      <c r="I55" s="586"/>
      <c r="J55" s="586"/>
      <c r="K55" s="579"/>
    </row>
    <row r="56" spans="1:11" s="253" customFormat="1" ht="11.4">
      <c r="A56" s="239" t="s">
        <v>932</v>
      </c>
      <c r="B56" s="584">
        <f>'Sources and Uses Budget'!C57</f>
        <v>5000</v>
      </c>
      <c r="C56" s="585">
        <f t="shared" si="8"/>
        <v>5000</v>
      </c>
      <c r="D56" s="585"/>
      <c r="E56" s="586"/>
      <c r="F56" s="586"/>
      <c r="G56" s="586"/>
      <c r="H56" s="586"/>
      <c r="I56" s="586"/>
      <c r="J56" s="586"/>
      <c r="K56" s="579"/>
    </row>
    <row r="57" spans="1:11" s="253" customFormat="1" ht="11.4">
      <c r="A57" s="239" t="s">
        <v>930</v>
      </c>
      <c r="B57" s="584">
        <f>'Sources and Uses Budget'!C58</f>
        <v>0</v>
      </c>
      <c r="C57" s="585">
        <f t="shared" si="8"/>
        <v>0</v>
      </c>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15000</v>
      </c>
      <c r="C60" s="584">
        <f>SUM(C54:C59)</f>
        <v>15000</v>
      </c>
      <c r="D60" s="584">
        <f>SUM(D54:D59)</f>
        <v>0</v>
      </c>
      <c r="E60" s="586"/>
      <c r="F60" s="586"/>
      <c r="G60" s="586"/>
      <c r="H60" s="586"/>
      <c r="I60" s="586"/>
      <c r="J60" s="586"/>
      <c r="K60" s="579"/>
    </row>
    <row r="61" spans="1:11" s="253" customFormat="1" ht="11.4">
      <c r="A61" s="249" t="s">
        <v>501</v>
      </c>
      <c r="B61" s="584">
        <f>'Sources and Uses Budget'!C62</f>
        <v>24976648</v>
      </c>
      <c r="C61" s="584">
        <f>SUM(C8+C11+C13+C14+C15+C25+C26+C37+C41+C42+C52+C60)</f>
        <v>24976648</v>
      </c>
      <c r="D61" s="584">
        <f>SUM(D8+D11+D13+D14+D15+D25+D26+D37+D41+D42+D52+D60)</f>
        <v>0</v>
      </c>
      <c r="E61" s="584">
        <f>'Sources and Uses Budget'!S62</f>
        <v>18719445</v>
      </c>
      <c r="F61" s="584">
        <f>SUM(F10+F13+F14+F15+F25+F26+F37+F41+F42+F52)</f>
        <v>18719445</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65000</v>
      </c>
      <c r="C63" s="585">
        <f t="shared" ref="C63:C67" si="9">+B63</f>
        <v>65000</v>
      </c>
      <c r="D63" s="585"/>
      <c r="E63" s="584">
        <f>'Sources and Uses Budget'!S64</f>
        <v>65000</v>
      </c>
      <c r="F63" s="585">
        <f t="shared" ref="F63:F67" si="10">+E63</f>
        <v>65000</v>
      </c>
      <c r="G63" s="585"/>
      <c r="H63" s="584">
        <f>'Sources and Uses Budget'!T64</f>
        <v>0</v>
      </c>
      <c r="I63" s="585"/>
      <c r="J63" s="585"/>
      <c r="K63" s="579"/>
    </row>
    <row r="64" spans="1:11" s="253" customFormat="1" ht="22.8">
      <c r="A64" s="239" t="s">
        <v>1954</v>
      </c>
      <c r="B64" s="584">
        <f>'Sources and Uses Budget'!C65</f>
        <v>0</v>
      </c>
      <c r="C64" s="585">
        <f t="shared" si="9"/>
        <v>0</v>
      </c>
      <c r="D64" s="585"/>
      <c r="E64" s="584">
        <f>'Sources and Uses Budget'!S65</f>
        <v>0</v>
      </c>
      <c r="F64" s="585">
        <f t="shared" si="10"/>
        <v>0</v>
      </c>
      <c r="G64" s="585"/>
      <c r="H64" s="584">
        <f>'Sources and Uses Budget'!T65</f>
        <v>0</v>
      </c>
      <c r="I64" s="585"/>
      <c r="J64" s="585"/>
      <c r="K64" s="579"/>
    </row>
    <row r="65" spans="1:11" s="253" customFormat="1" ht="22.8">
      <c r="A65" s="239" t="s">
        <v>1955</v>
      </c>
      <c r="B65" s="584">
        <f>'Sources and Uses Budget'!C66</f>
        <v>0</v>
      </c>
      <c r="C65" s="585">
        <f t="shared" si="9"/>
        <v>0</v>
      </c>
      <c r="D65" s="585"/>
      <c r="E65" s="584">
        <f>'Sources and Uses Budget'!S66</f>
        <v>0</v>
      </c>
      <c r="F65" s="585">
        <f t="shared" si="10"/>
        <v>0</v>
      </c>
      <c r="G65" s="585"/>
      <c r="H65" s="584">
        <f>'Sources and Uses Budget'!T66</f>
        <v>0</v>
      </c>
      <c r="I65" s="585"/>
      <c r="J65" s="585"/>
      <c r="K65" s="579"/>
    </row>
    <row r="66" spans="1:11" s="253" customFormat="1" ht="11.4">
      <c r="A66" s="239" t="s">
        <v>1956</v>
      </c>
      <c r="B66" s="584">
        <f>'Sources and Uses Budget'!C67</f>
        <v>0</v>
      </c>
      <c r="C66" s="585">
        <f t="shared" si="9"/>
        <v>0</v>
      </c>
      <c r="D66" s="585"/>
      <c r="E66" s="584">
        <f>'Sources and Uses Budget'!S67</f>
        <v>0</v>
      </c>
      <c r="F66" s="585">
        <f t="shared" si="10"/>
        <v>0</v>
      </c>
      <c r="G66" s="585"/>
      <c r="H66" s="584">
        <f>'Sources and Uses Budget'!T67</f>
        <v>0</v>
      </c>
      <c r="I66" s="585"/>
      <c r="J66" s="585"/>
      <c r="K66" s="579"/>
    </row>
    <row r="67" spans="1:11" s="253" customFormat="1" ht="11.4">
      <c r="A67" s="239" t="str">
        <f>'Sources and Uses Budget'!$A68</f>
        <v>Borrower's Attorney</v>
      </c>
      <c r="B67" s="584">
        <f>'Sources and Uses Budget'!C68</f>
        <v>50000</v>
      </c>
      <c r="C67" s="585">
        <f t="shared" si="9"/>
        <v>50000</v>
      </c>
      <c r="D67" s="585"/>
      <c r="E67" s="584">
        <f>'Sources and Uses Budget'!S68</f>
        <v>50000</v>
      </c>
      <c r="F67" s="585">
        <f t="shared" si="10"/>
        <v>50000</v>
      </c>
      <c r="G67" s="585"/>
      <c r="H67" s="584">
        <f>'Sources and Uses Budget'!T68</f>
        <v>0</v>
      </c>
      <c r="I67" s="585"/>
      <c r="J67" s="585"/>
      <c r="K67" s="579"/>
    </row>
    <row r="68" spans="1:11" s="253" customFormat="1">
      <c r="A68" s="243" t="s">
        <v>1957</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30000</v>
      </c>
      <c r="C70" s="585">
        <f t="shared" ref="C70:C74" si="11">+B70</f>
        <v>30000</v>
      </c>
      <c r="D70" s="585"/>
      <c r="E70" s="586"/>
      <c r="F70" s="586"/>
      <c r="G70" s="586"/>
      <c r="H70" s="586"/>
      <c r="I70" s="586"/>
      <c r="J70" s="586"/>
      <c r="K70" s="579"/>
    </row>
    <row r="71" spans="1:11" s="253" customFormat="1" ht="11.4">
      <c r="A71" s="239" t="s">
        <v>287</v>
      </c>
      <c r="B71" s="584">
        <f>'Sources and Uses Budget'!C72</f>
        <v>0</v>
      </c>
      <c r="C71" s="585">
        <f t="shared" si="11"/>
        <v>0</v>
      </c>
      <c r="D71" s="585"/>
      <c r="E71" s="586"/>
      <c r="F71" s="586"/>
      <c r="G71" s="586"/>
      <c r="H71" s="586"/>
      <c r="I71" s="586"/>
      <c r="J71" s="586"/>
      <c r="K71" s="579"/>
    </row>
    <row r="72" spans="1:11" s="253" customFormat="1" ht="11.4">
      <c r="A72" s="456" t="s">
        <v>1239</v>
      </c>
      <c r="B72" s="584">
        <f>'Sources and Uses Budget'!C73</f>
        <v>0</v>
      </c>
      <c r="C72" s="585">
        <f t="shared" si="11"/>
        <v>0</v>
      </c>
      <c r="D72" s="585"/>
      <c r="E72" s="586"/>
      <c r="F72" s="586"/>
      <c r="G72" s="586"/>
      <c r="H72" s="586"/>
      <c r="I72" s="586"/>
      <c r="J72" s="586"/>
      <c r="K72" s="579"/>
    </row>
    <row r="73" spans="1:11" s="253" customFormat="1" ht="11.4">
      <c r="A73" s="239" t="s">
        <v>288</v>
      </c>
      <c r="B73" s="584">
        <f>'Sources and Uses Budget'!C74</f>
        <v>140000</v>
      </c>
      <c r="C73" s="585">
        <f t="shared" si="11"/>
        <v>140000</v>
      </c>
      <c r="D73" s="585"/>
      <c r="E73" s="586"/>
      <c r="F73" s="586"/>
      <c r="G73" s="586"/>
      <c r="H73" s="586"/>
      <c r="I73" s="586"/>
      <c r="J73" s="586"/>
      <c r="K73" s="579"/>
    </row>
    <row r="74" spans="1:11" s="253" customFormat="1" ht="11.4">
      <c r="A74" s="239" t="str">
        <f>'Sources and Uses Budget'!$A75</f>
        <v>Other: (Specify)</v>
      </c>
      <c r="B74" s="584">
        <f>'Sources and Uses Budget'!C75</f>
        <v>0</v>
      </c>
      <c r="C74" s="585">
        <f t="shared" si="11"/>
        <v>0</v>
      </c>
      <c r="D74" s="585"/>
      <c r="E74" s="586"/>
      <c r="F74" s="586"/>
      <c r="G74" s="586"/>
      <c r="H74" s="586"/>
      <c r="I74" s="586"/>
      <c r="J74" s="586"/>
      <c r="K74" s="579"/>
    </row>
    <row r="75" spans="1:11" s="253" customFormat="1">
      <c r="A75" s="243" t="s">
        <v>289</v>
      </c>
      <c r="B75" s="584">
        <f>'Sources and Uses Budget'!C76</f>
        <v>170000</v>
      </c>
      <c r="C75" s="584">
        <f>SUM(C70:C74)</f>
        <v>170000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800245</v>
      </c>
      <c r="C77" s="585">
        <f t="shared" ref="C77:C78" si="12">+B77</f>
        <v>800245</v>
      </c>
      <c r="D77" s="585"/>
      <c r="E77" s="584">
        <f>'Sources and Uses Budget'!S78</f>
        <v>800245</v>
      </c>
      <c r="F77" s="585">
        <f t="shared" ref="F77:F78" si="13">+E77</f>
        <v>800245</v>
      </c>
      <c r="G77" s="585"/>
      <c r="H77" s="584">
        <f>'Sources and Uses Budget'!T78</f>
        <v>0</v>
      </c>
      <c r="I77" s="585"/>
      <c r="J77" s="585"/>
      <c r="K77" s="579"/>
    </row>
    <row r="78" spans="1:11" s="253" customFormat="1" ht="11.4">
      <c r="A78" s="239" t="s">
        <v>538</v>
      </c>
      <c r="B78" s="584">
        <f>'Sources and Uses Budget'!C79</f>
        <v>141534</v>
      </c>
      <c r="C78" s="585">
        <f t="shared" si="12"/>
        <v>141534</v>
      </c>
      <c r="D78" s="585"/>
      <c r="E78" s="584">
        <f>'Sources and Uses Budget'!S79</f>
        <v>141534</v>
      </c>
      <c r="F78" s="585">
        <f t="shared" si="13"/>
        <v>141534</v>
      </c>
      <c r="G78" s="585"/>
      <c r="H78" s="584">
        <f>'Sources and Uses Budget'!T79</f>
        <v>0</v>
      </c>
      <c r="I78" s="585"/>
      <c r="J78" s="585"/>
      <c r="K78" s="579"/>
    </row>
    <row r="79" spans="1:11" s="253" customFormat="1">
      <c r="A79" s="243" t="s">
        <v>1742</v>
      </c>
      <c r="B79" s="584">
        <f>'Sources and Uses Budget'!C80</f>
        <v>941779</v>
      </c>
      <c r="C79" s="667">
        <f>SUM(C77:C78)</f>
        <v>941779</v>
      </c>
      <c r="D79" s="667">
        <f>SUM(D77:D78)</f>
        <v>0</v>
      </c>
      <c r="E79" s="584">
        <f>'Sources and Uses Budget'!S80</f>
        <v>941779</v>
      </c>
      <c r="F79" s="667">
        <f>SUM(F77:F78)</f>
        <v>941779</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107591</v>
      </c>
      <c r="C81" s="585">
        <f t="shared" ref="C81:C93" si="14">+B81</f>
        <v>107591</v>
      </c>
      <c r="D81" s="585"/>
      <c r="E81" s="586"/>
      <c r="F81" s="586"/>
      <c r="G81" s="586"/>
      <c r="H81" s="586"/>
      <c r="I81" s="586"/>
      <c r="J81" s="586"/>
      <c r="K81" s="579"/>
    </row>
    <row r="82" spans="1:11" s="253" customFormat="1" ht="11.4">
      <c r="A82" s="239" t="s">
        <v>516</v>
      </c>
      <c r="B82" s="584">
        <f>'Sources and Uses Budget'!C83</f>
        <v>7000</v>
      </c>
      <c r="C82" s="585">
        <f t="shared" si="14"/>
        <v>7000</v>
      </c>
      <c r="D82" s="585"/>
      <c r="E82" s="584">
        <f>'Sources and Uses Budget'!S83</f>
        <v>7000</v>
      </c>
      <c r="F82" s="585">
        <f t="shared" ref="F82:F85" si="15">+E82</f>
        <v>7000</v>
      </c>
      <c r="G82" s="585"/>
      <c r="H82" s="584">
        <f>'Sources and Uses Budget'!T83</f>
        <v>0</v>
      </c>
      <c r="I82" s="585"/>
      <c r="J82" s="585"/>
      <c r="K82" s="579"/>
    </row>
    <row r="83" spans="1:11" s="253" customFormat="1" ht="11.4">
      <c r="A83" s="239" t="s">
        <v>517</v>
      </c>
      <c r="B83" s="584">
        <f>'Sources and Uses Budget'!C84</f>
        <v>325140</v>
      </c>
      <c r="C83" s="585">
        <f t="shared" si="14"/>
        <v>325140</v>
      </c>
      <c r="D83" s="585"/>
      <c r="E83" s="584">
        <f>'Sources and Uses Budget'!S84</f>
        <v>325140</v>
      </c>
      <c r="F83" s="585">
        <f t="shared" si="15"/>
        <v>325140</v>
      </c>
      <c r="G83" s="585"/>
      <c r="H83" s="584">
        <f>'Sources and Uses Budget'!T84</f>
        <v>0</v>
      </c>
      <c r="I83" s="585"/>
      <c r="J83" s="585"/>
      <c r="K83" s="579"/>
    </row>
    <row r="84" spans="1:11" s="253" customFormat="1" ht="11.4">
      <c r="A84" s="239" t="s">
        <v>518</v>
      </c>
      <c r="B84" s="584">
        <f>'Sources and Uses Budget'!C85</f>
        <v>480000</v>
      </c>
      <c r="C84" s="585">
        <f t="shared" si="14"/>
        <v>480000</v>
      </c>
      <c r="D84" s="585"/>
      <c r="E84" s="584">
        <f>'Sources and Uses Budget'!S85</f>
        <v>480000</v>
      </c>
      <c r="F84" s="585">
        <f t="shared" si="15"/>
        <v>480000</v>
      </c>
      <c r="G84" s="585"/>
      <c r="H84" s="584">
        <f>'Sources and Uses Budget'!T85</f>
        <v>0</v>
      </c>
      <c r="I84" s="585"/>
      <c r="J84" s="585"/>
      <c r="K84" s="579"/>
    </row>
    <row r="85" spans="1:11" s="253" customFormat="1" ht="11.4">
      <c r="A85" s="239" t="s">
        <v>519</v>
      </c>
      <c r="B85" s="584">
        <f>'Sources and Uses Budget'!C86</f>
        <v>0</v>
      </c>
      <c r="C85" s="585">
        <f t="shared" si="14"/>
        <v>0</v>
      </c>
      <c r="D85" s="585"/>
      <c r="E85" s="584">
        <f>'Sources and Uses Budget'!S86</f>
        <v>0</v>
      </c>
      <c r="F85" s="585">
        <f t="shared" si="15"/>
        <v>0</v>
      </c>
      <c r="G85" s="585"/>
      <c r="H85" s="584">
        <f>'Sources and Uses Budget'!T86</f>
        <v>0</v>
      </c>
      <c r="I85" s="585"/>
      <c r="J85" s="585"/>
      <c r="K85" s="579"/>
    </row>
    <row r="86" spans="1:11" s="253" customFormat="1" ht="11.4">
      <c r="A86" s="239" t="s">
        <v>520</v>
      </c>
      <c r="B86" s="584">
        <f>'Sources and Uses Budget'!C87</f>
        <v>56910</v>
      </c>
      <c r="C86" s="585">
        <f t="shared" si="14"/>
        <v>56910</v>
      </c>
      <c r="D86" s="585"/>
      <c r="E86" s="586"/>
      <c r="F86" s="586"/>
      <c r="G86" s="586"/>
      <c r="H86" s="586"/>
      <c r="I86" s="586"/>
      <c r="J86" s="586"/>
      <c r="K86" s="579"/>
    </row>
    <row r="87" spans="1:11" s="253" customFormat="1" ht="11.4">
      <c r="A87" s="239" t="s">
        <v>521</v>
      </c>
      <c r="B87" s="584">
        <f>'Sources and Uses Budget'!C88</f>
        <v>64000</v>
      </c>
      <c r="C87" s="585">
        <f t="shared" si="14"/>
        <v>64000</v>
      </c>
      <c r="D87" s="585"/>
      <c r="E87" s="584">
        <f>'Sources and Uses Budget'!S88</f>
        <v>64000</v>
      </c>
      <c r="F87" s="585">
        <f t="shared" ref="F87:F93" si="16">+E87</f>
        <v>64000</v>
      </c>
      <c r="G87" s="585"/>
      <c r="H87" s="584">
        <f>'Sources and Uses Budget'!T88</f>
        <v>0</v>
      </c>
      <c r="I87" s="585"/>
      <c r="J87" s="585"/>
      <c r="K87" s="579"/>
    </row>
    <row r="88" spans="1:11" s="253" customFormat="1" ht="11.4">
      <c r="A88" s="239" t="s">
        <v>522</v>
      </c>
      <c r="B88" s="584">
        <f>'Sources and Uses Budget'!C89</f>
        <v>10000</v>
      </c>
      <c r="C88" s="585">
        <f t="shared" si="14"/>
        <v>10000</v>
      </c>
      <c r="D88" s="585"/>
      <c r="E88" s="584">
        <f>'Sources and Uses Budget'!S89</f>
        <v>10000</v>
      </c>
      <c r="F88" s="585">
        <f t="shared" si="16"/>
        <v>10000</v>
      </c>
      <c r="G88" s="585"/>
      <c r="H88" s="584">
        <f>'Sources and Uses Budget'!T89</f>
        <v>0</v>
      </c>
      <c r="I88" s="585"/>
      <c r="J88" s="585"/>
      <c r="K88" s="579"/>
    </row>
    <row r="89" spans="1:11" s="253" customFormat="1" ht="11.4">
      <c r="A89" s="239" t="s">
        <v>1315</v>
      </c>
      <c r="B89" s="584">
        <f>'Sources and Uses Budget'!C90</f>
        <v>45000</v>
      </c>
      <c r="C89" s="585">
        <f t="shared" si="14"/>
        <v>45000</v>
      </c>
      <c r="D89" s="585"/>
      <c r="E89" s="584">
        <f>'Sources and Uses Budget'!S90</f>
        <v>45000</v>
      </c>
      <c r="F89" s="585">
        <f t="shared" si="16"/>
        <v>45000</v>
      </c>
      <c r="G89" s="585"/>
      <c r="H89" s="584">
        <f>'Sources and Uses Budget'!T90</f>
        <v>0</v>
      </c>
      <c r="I89" s="585"/>
      <c r="J89" s="585"/>
      <c r="K89" s="579"/>
    </row>
    <row r="90" spans="1:11" s="253" customFormat="1" ht="11.4">
      <c r="A90" s="239" t="s">
        <v>1740</v>
      </c>
      <c r="B90" s="584">
        <f>'Sources and Uses Budget'!C91</f>
        <v>7500</v>
      </c>
      <c r="C90" s="585">
        <f t="shared" si="14"/>
        <v>7500</v>
      </c>
      <c r="D90" s="585"/>
      <c r="E90" s="584">
        <f>'Sources and Uses Budget'!S91</f>
        <v>7500</v>
      </c>
      <c r="F90" s="585">
        <f t="shared" si="16"/>
        <v>7500</v>
      </c>
      <c r="G90" s="585"/>
      <c r="H90" s="584">
        <f>'Sources and Uses Budget'!T91</f>
        <v>0</v>
      </c>
      <c r="I90" s="585"/>
      <c r="J90" s="585"/>
      <c r="K90" s="579"/>
    </row>
    <row r="91" spans="1:11" s="253" customFormat="1" ht="11.4">
      <c r="A91" s="239" t="str">
        <f>'Sources and Uses Budget'!$A92</f>
        <v>PG&amp;E Fees</v>
      </c>
      <c r="B91" s="584">
        <f>'Sources and Uses Budget'!C92</f>
        <v>150000</v>
      </c>
      <c r="C91" s="585">
        <f t="shared" si="14"/>
        <v>150000</v>
      </c>
      <c r="D91" s="585"/>
      <c r="E91" s="584">
        <f>'Sources and Uses Budget'!S92</f>
        <v>150000</v>
      </c>
      <c r="F91" s="585">
        <f t="shared" si="16"/>
        <v>150000</v>
      </c>
      <c r="G91" s="585"/>
      <c r="H91" s="584">
        <f>'Sources and Uses Budget'!T92</f>
        <v>0</v>
      </c>
      <c r="I91" s="585"/>
      <c r="J91" s="585"/>
      <c r="K91" s="579"/>
    </row>
    <row r="92" spans="1:11" s="253" customFormat="1" ht="11.4">
      <c r="A92" s="239" t="str">
        <f>'Sources and Uses Budget'!$A93</f>
        <v>Other: (Specify)</v>
      </c>
      <c r="B92" s="584">
        <f>'Sources and Uses Budget'!C93</f>
        <v>0</v>
      </c>
      <c r="C92" s="585">
        <f t="shared" si="14"/>
        <v>0</v>
      </c>
      <c r="D92" s="585"/>
      <c r="E92" s="584">
        <f>'Sources and Uses Budget'!S93</f>
        <v>0</v>
      </c>
      <c r="F92" s="585">
        <f t="shared" si="16"/>
        <v>0</v>
      </c>
      <c r="G92" s="585"/>
      <c r="H92" s="584">
        <f>'Sources and Uses Budget'!T93</f>
        <v>0</v>
      </c>
      <c r="I92" s="585"/>
      <c r="J92" s="585"/>
      <c r="K92" s="579"/>
    </row>
    <row r="93" spans="1:11" s="253" customFormat="1" ht="11.4">
      <c r="A93" s="239" t="str">
        <f>'Sources and Uses Budget'!$A94</f>
        <v>Other: (Specify)</v>
      </c>
      <c r="B93" s="584">
        <f>'Sources and Uses Budget'!C94</f>
        <v>0</v>
      </c>
      <c r="C93" s="585">
        <f t="shared" si="14"/>
        <v>0</v>
      </c>
      <c r="D93" s="585"/>
      <c r="E93" s="584">
        <f>'Sources and Uses Budget'!S94</f>
        <v>0</v>
      </c>
      <c r="F93" s="585">
        <f t="shared" si="16"/>
        <v>0</v>
      </c>
      <c r="G93" s="585"/>
      <c r="H93" s="584">
        <f>'Sources and Uses Budget'!T94</f>
        <v>0</v>
      </c>
      <c r="I93" s="585"/>
      <c r="J93" s="585"/>
      <c r="K93" s="579"/>
    </row>
    <row r="94" spans="1:11" s="253" customFormat="1">
      <c r="A94" s="243" t="s">
        <v>523</v>
      </c>
      <c r="B94" s="584">
        <f>'Sources and Uses Budget'!C95</f>
        <v>1253141</v>
      </c>
      <c r="C94" s="584">
        <f>SUM(C81:C93)</f>
        <v>1253141</v>
      </c>
      <c r="D94" s="584">
        <f>SUM(D81:D93)</f>
        <v>0</v>
      </c>
      <c r="E94" s="584">
        <f>'Sources and Uses Budget'!S95</f>
        <v>1088640</v>
      </c>
      <c r="F94" s="587">
        <f>SUM(F82:F85,F87:F93)</f>
        <v>1088640</v>
      </c>
      <c r="G94" s="587">
        <f>SUM(G82:G85,G87:G93)</f>
        <v>0</v>
      </c>
      <c r="H94" s="584">
        <f>'Sources and Uses Budget'!T95</f>
        <v>0</v>
      </c>
      <c r="I94" s="584">
        <f>SUM(I82:I85,I87:I93)</f>
        <v>0</v>
      </c>
      <c r="J94" s="584">
        <f>SUM(J82:J85,J87:J93)</f>
        <v>0</v>
      </c>
      <c r="K94" s="579"/>
    </row>
    <row r="95" spans="1:11" s="253" customFormat="1">
      <c r="A95" s="243" t="s">
        <v>1356</v>
      </c>
      <c r="B95" s="584">
        <f>'Sources and Uses Budget'!C96</f>
        <v>27456568</v>
      </c>
      <c r="C95" s="584">
        <f>SUM(C61+C68+C75+C79+C94)</f>
        <v>27456568</v>
      </c>
      <c r="D95" s="584">
        <f>SUM(D61+D68+D75+D79+D94)</f>
        <v>0</v>
      </c>
      <c r="E95" s="584">
        <f>'Sources and Uses Budget'!S96</f>
        <v>20864864</v>
      </c>
      <c r="F95" s="587">
        <f>SUM(+F61+F68+F79+F94)</f>
        <v>20864864</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f t="shared" ref="C97" si="17">+B97</f>
        <v>2500000</v>
      </c>
      <c r="D97" s="585"/>
      <c r="E97" s="584">
        <f>'Sources and Uses Budget'!S98</f>
        <v>2500000</v>
      </c>
      <c r="F97" s="585">
        <f t="shared" ref="F97" si="18">+E97</f>
        <v>2500000</v>
      </c>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29956568</v>
      </c>
      <c r="C103" s="587">
        <f>SUM(C95+C102)</f>
        <v>29956568</v>
      </c>
      <c r="D103" s="587">
        <f>SUM(D95+D102)</f>
        <v>0</v>
      </c>
      <c r="E103" s="584">
        <f>'Sources and Uses Budget'!S104</f>
        <v>23364864</v>
      </c>
      <c r="F103" s="587">
        <f>F95+F102</f>
        <v>23364864</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23364864</v>
      </c>
      <c r="F105" s="587">
        <f>F103+F104</f>
        <v>23364864</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J411" sqref="J411"/>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8" t="s">
        <v>364</v>
      </c>
      <c r="AF4" s="1718"/>
      <c r="AG4" s="1718"/>
      <c r="AH4" s="1718"/>
      <c r="AI4" s="1718"/>
      <c r="AJ4" s="1718"/>
      <c r="AK4" s="1718"/>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6" t="s">
        <v>854</v>
      </c>
      <c r="AG6" s="1706"/>
      <c r="AH6" s="1706"/>
      <c r="AI6" s="1706"/>
      <c r="AJ6" s="1706"/>
      <c r="AK6" s="1706"/>
      <c r="AL6" s="170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3" t="s">
        <v>2343</v>
      </c>
      <c r="C8" s="1643"/>
      <c r="D8" s="1643"/>
      <c r="E8" s="1643"/>
      <c r="F8" s="1643"/>
      <c r="G8" s="1643"/>
      <c r="H8" s="1643"/>
      <c r="I8" s="1643"/>
      <c r="J8" s="1643"/>
      <c r="K8" s="1643"/>
      <c r="L8" s="1643"/>
      <c r="M8" s="1643"/>
      <c r="N8" s="1643"/>
      <c r="O8" s="1643"/>
      <c r="P8" s="1643"/>
      <c r="Q8" s="1643"/>
      <c r="R8" s="1643"/>
      <c r="S8" s="1643"/>
      <c r="T8" s="1643"/>
      <c r="U8" s="1643"/>
      <c r="V8" s="1643"/>
      <c r="W8" s="1643"/>
      <c r="X8" s="1643"/>
      <c r="Y8" s="1643"/>
      <c r="Z8" s="1643"/>
      <c r="AA8" s="1643"/>
      <c r="AB8" s="1643"/>
      <c r="AC8" s="164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3" t="s">
        <v>1243</v>
      </c>
      <c r="C11" s="1643"/>
      <c r="D11" s="1643"/>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3"/>
      <c r="AF11" s="1643"/>
      <c r="AG11" s="1643"/>
      <c r="AH11" s="1643"/>
      <c r="AI11" s="164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3" t="s">
        <v>1119</v>
      </c>
      <c r="C16" s="1643"/>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0" t="s">
        <v>2207</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0"/>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0"/>
      <c r="AP21" s="340"/>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0"/>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2"/>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2"/>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14"/>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14"/>
    </row>
    <row r="29" spans="1:42" s="4" customFormat="1" ht="31.65"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14"/>
    </row>
    <row r="30" spans="1:42" s="4" customFormat="1" ht="12.75" customHeight="1">
      <c r="A30" s="5"/>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3" t="str">
        <f>Application!AA329</f>
        <v>Danco Property Management</v>
      </c>
      <c r="C35" s="1813"/>
      <c r="D35" s="181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3" t="s">
        <v>1247</v>
      </c>
      <c r="C38" s="1643"/>
      <c r="D38" s="1643"/>
      <c r="E38" s="1643"/>
      <c r="F38" s="1643"/>
      <c r="G38" s="1643"/>
      <c r="H38" s="1643"/>
      <c r="I38" s="1643"/>
      <c r="J38" s="1643"/>
      <c r="K38" s="1643"/>
      <c r="L38" s="1643"/>
      <c r="M38" s="1643"/>
      <c r="N38" s="1643"/>
      <c r="O38" s="1643"/>
      <c r="P38" s="1643"/>
      <c r="Q38" s="1643"/>
      <c r="R38" s="1643"/>
      <c r="S38" s="1643"/>
      <c r="T38" s="1643"/>
      <c r="U38" s="1643"/>
      <c r="V38" s="1643"/>
      <c r="W38" s="1643"/>
      <c r="X38" s="1643"/>
      <c r="Y38" s="1643"/>
      <c r="Z38" s="1643"/>
      <c r="AA38" s="1643"/>
      <c r="AB38" s="1643"/>
      <c r="AC38" s="164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3" t="s">
        <v>124</v>
      </c>
      <c r="AA40" s="164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3" t="s">
        <v>1119</v>
      </c>
      <c r="C43" s="1643"/>
      <c r="D43" s="1643"/>
      <c r="E43" s="1643"/>
      <c r="F43" s="1643"/>
      <c r="G43" s="1643"/>
      <c r="H43" s="1643"/>
      <c r="I43" s="1643"/>
      <c r="J43" s="1643"/>
      <c r="K43" s="1643"/>
      <c r="L43" s="1643"/>
      <c r="M43" s="1643"/>
      <c r="N43" s="1643"/>
      <c r="O43" s="1643"/>
      <c r="P43" s="1643"/>
      <c r="Q43" s="1643"/>
      <c r="R43" s="1643"/>
      <c r="S43" s="1643"/>
      <c r="T43" s="1643"/>
      <c r="U43" s="1643"/>
      <c r="V43" s="1643"/>
      <c r="W43" s="1643"/>
      <c r="X43" s="1643"/>
      <c r="Y43" s="1643"/>
      <c r="Z43" s="1643"/>
      <c r="AA43" s="1643"/>
      <c r="AB43" s="1643"/>
      <c r="AC43" s="164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5"/>
      <c r="AL47" s="319"/>
      <c r="AM47" s="90"/>
      <c r="AN47" s="281"/>
    </row>
    <row r="48" spans="1:42" s="4" customFormat="1" ht="12.75" customHeight="1">
      <c r="A48" s="5"/>
      <c r="B48" s="42"/>
      <c r="R48" s="5"/>
      <c r="S48" s="42"/>
      <c r="AN48" s="281"/>
    </row>
    <row r="49" spans="1:46" s="4" customFormat="1" ht="12.75" customHeight="1">
      <c r="B49" s="1670" t="s">
        <v>1470</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6" s="4" customFormat="1" ht="33.450000000000003"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0" t="s">
        <v>2200</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6" s="4" customFormat="1" ht="22.95" customHeight="1">
      <c r="A59" s="426"/>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5">
        <f>$AJ$31+$AJ$47</f>
        <v>10</v>
      </c>
      <c r="AL61" s="1746"/>
      <c r="AM61" s="174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8" t="s">
        <v>364</v>
      </c>
      <c r="AF64" s="1718"/>
      <c r="AG64" s="1718"/>
      <c r="AH64" s="1718"/>
      <c r="AI64" s="1718"/>
      <c r="AJ64" s="1718"/>
      <c r="AK64" s="171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3" t="s">
        <v>663</v>
      </c>
      <c r="C66" s="1643"/>
      <c r="D66" s="1643"/>
      <c r="E66" s="1643"/>
      <c r="F66" s="1643"/>
      <c r="G66" s="1643"/>
      <c r="H66" s="1643"/>
      <c r="I66" s="1643"/>
      <c r="J66" s="1643"/>
      <c r="K66" s="1643"/>
      <c r="AF66" s="1706" t="s">
        <v>938</v>
      </c>
      <c r="AG66" s="1706"/>
      <c r="AH66" s="1706"/>
      <c r="AI66" s="1706"/>
      <c r="AJ66" s="1706"/>
      <c r="AK66" s="1706"/>
      <c r="AL66" s="1706"/>
      <c r="AN66" s="281"/>
      <c r="AP66" s="4" t="s">
        <v>124</v>
      </c>
      <c r="AS66" s="4" t="s">
        <v>665</v>
      </c>
      <c r="AT66" s="4">
        <v>10</v>
      </c>
    </row>
    <row r="67" spans="1:46" s="4" customFormat="1" ht="12.75" customHeight="1">
      <c r="B67" s="1812" t="s">
        <v>1319</v>
      </c>
      <c r="C67" s="1812"/>
      <c r="D67" s="1812"/>
      <c r="E67" s="1812"/>
      <c r="F67" s="1812"/>
      <c r="G67" s="1812"/>
      <c r="H67" s="1812"/>
      <c r="I67" s="1812"/>
      <c r="J67" s="1812"/>
      <c r="K67" s="1812"/>
      <c r="L67" s="1812"/>
      <c r="M67" s="1812"/>
      <c r="N67" s="1812"/>
      <c r="O67" s="1812"/>
      <c r="P67" s="1812"/>
      <c r="Q67" s="1812"/>
      <c r="R67" s="1812"/>
      <c r="S67" s="1812"/>
      <c r="T67" s="1643" t="s">
        <v>124</v>
      </c>
      <c r="U67" s="1643"/>
      <c r="V67" s="1643"/>
      <c r="W67" s="1643"/>
      <c r="X67" s="1643"/>
      <c r="Y67" s="1643"/>
      <c r="Z67" s="1643"/>
      <c r="AA67" s="1643"/>
      <c r="AB67" s="1643"/>
      <c r="AC67" s="164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5">
        <f>VLOOKUP($B$66,$AS$64:$AU$69,2,FALSE)</f>
        <v>10</v>
      </c>
      <c r="AL68" s="1266"/>
      <c r="AM68" s="1266"/>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977</v>
      </c>
      <c r="AF73" s="1718"/>
      <c r="AG73" s="1718"/>
      <c r="AH73" s="1718"/>
      <c r="AI73" s="1718"/>
      <c r="AJ73" s="1718"/>
      <c r="AK73" s="171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0" t="s">
        <v>2115</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6" t="s">
        <v>854</v>
      </c>
      <c r="AG90" s="1706"/>
      <c r="AH90" s="1706"/>
      <c r="AI90" s="1706"/>
      <c r="AJ90" s="1706"/>
      <c r="AK90" s="1706"/>
      <c r="AL90" s="170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6" t="s">
        <v>58</v>
      </c>
      <c r="AG95" s="1706"/>
      <c r="AH95" s="1706"/>
      <c r="AI95" s="1706"/>
      <c r="AJ95" s="1706"/>
      <c r="AK95" s="1706"/>
      <c r="AL95" s="170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6" t="s">
        <v>59</v>
      </c>
      <c r="AG100" s="1706"/>
      <c r="AH100" s="1706"/>
      <c r="AI100" s="1706"/>
      <c r="AJ100" s="1706"/>
      <c r="AK100" s="1706"/>
      <c r="AL100" s="170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6" t="s">
        <v>60</v>
      </c>
      <c r="AG105" s="1706"/>
      <c r="AH105" s="1706"/>
      <c r="AI105" s="1706"/>
      <c r="AJ105" s="1706"/>
      <c r="AK105" s="1706"/>
      <c r="AL105" s="170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6" t="s">
        <v>61</v>
      </c>
      <c r="AG109" s="1706"/>
      <c r="AH109" s="1706"/>
      <c r="AI109" s="1706"/>
      <c r="AJ109" s="1706"/>
      <c r="AK109" s="1706"/>
      <c r="AL109" s="1706"/>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7" t="s">
        <v>890</v>
      </c>
      <c r="I112" s="1807"/>
      <c r="J112" s="116"/>
      <c r="K112" s="116"/>
      <c r="L112" s="116"/>
      <c r="M112" s="937" t="s">
        <v>2099</v>
      </c>
      <c r="R112" s="1811"/>
      <c r="S112" s="1811"/>
      <c r="T112" s="1811"/>
      <c r="U112" s="1811"/>
      <c r="V112" s="1811"/>
      <c r="W112" s="1811"/>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5"/>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5"/>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46" t="s">
        <v>2248</v>
      </c>
      <c r="E116" s="1646"/>
      <c r="F116" s="1646"/>
      <c r="G116" s="1646"/>
      <c r="H116" s="1646"/>
      <c r="I116" s="164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N116" s="281"/>
      <c r="AO116" s="4" t="s">
        <v>124</v>
      </c>
      <c r="AP116" s="472">
        <v>0</v>
      </c>
    </row>
    <row r="117" spans="1:47" s="4" customFormat="1" ht="12.75" customHeight="1">
      <c r="B117" s="5"/>
      <c r="C117" s="115"/>
      <c r="D117" s="1646"/>
      <c r="E117" s="1646"/>
      <c r="F117" s="1646"/>
      <c r="G117" s="1646"/>
      <c r="H117" s="1646"/>
      <c r="I117" s="164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N117" s="281"/>
      <c r="AO117" s="4" t="s">
        <v>1471</v>
      </c>
      <c r="AP117" s="4">
        <v>3</v>
      </c>
    </row>
    <row r="118" spans="1:47" s="4" customFormat="1" ht="12.75" customHeight="1">
      <c r="B118" s="5"/>
      <c r="C118" s="115"/>
      <c r="E118" s="4" t="s">
        <v>147</v>
      </c>
      <c r="F118" s="116"/>
      <c r="G118" s="116"/>
      <c r="H118" s="1810" t="s">
        <v>124</v>
      </c>
      <c r="I118" s="1810"/>
      <c r="J118" s="1810"/>
      <c r="K118" s="1810"/>
      <c r="L118" s="1810"/>
      <c r="M118" s="1810"/>
      <c r="N118" s="1810"/>
      <c r="O118" s="1810"/>
      <c r="P118" s="1810"/>
      <c r="Q118" s="1810"/>
      <c r="R118" s="1810"/>
      <c r="S118" s="1810"/>
      <c r="T118" s="1810"/>
      <c r="U118" s="1810"/>
      <c r="V118" s="1810"/>
      <c r="W118" s="1810"/>
      <c r="X118" s="1810"/>
      <c r="Y118" s="1810"/>
      <c r="Z118" s="1810"/>
      <c r="AA118" s="1810"/>
      <c r="AB118" s="1810"/>
      <c r="AC118" s="1810"/>
      <c r="AD118" s="1810"/>
      <c r="AE118" s="181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3" t="s">
        <v>124</v>
      </c>
      <c r="C120" s="1643"/>
      <c r="D120" s="49"/>
      <c r="E120" s="1670" t="s">
        <v>1769</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809"/>
      <c r="F123" s="1809"/>
      <c r="G123" s="1809"/>
      <c r="H123" s="1809"/>
      <c r="I123" s="1809"/>
      <c r="J123" s="1809"/>
      <c r="K123" s="1809"/>
      <c r="L123" s="1809"/>
      <c r="M123" s="1809"/>
      <c r="N123" s="1809"/>
      <c r="O123" s="1809"/>
      <c r="P123" s="1809"/>
      <c r="Q123" s="1809"/>
      <c r="R123" s="1809"/>
      <c r="S123" s="1809"/>
      <c r="T123" s="1809"/>
      <c r="U123" s="1809"/>
      <c r="V123" s="1809"/>
      <c r="W123" s="1809"/>
      <c r="X123" s="1809"/>
      <c r="Y123" s="1809"/>
      <c r="Z123" s="1809"/>
      <c r="AA123" s="1809"/>
      <c r="AB123" s="1809"/>
      <c r="AC123" s="1809"/>
      <c r="AD123" s="1809"/>
      <c r="AE123" s="1809"/>
      <c r="AF123" s="1809"/>
      <c r="AG123" s="18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5">
        <f>VLOOKUP($H$112,$AO$96:$AP$101,2,FALSE)+IF(R112=AO108,0,VLOOKUP($H$118,$AO$116:$AP$118,2,FALSE))</f>
        <v>5</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8" t="s">
        <v>1837</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706" t="s">
        <v>61</v>
      </c>
      <c r="AG128" s="1706"/>
      <c r="AH128" s="1706"/>
      <c r="AI128" s="1706"/>
      <c r="AJ128" s="1706"/>
      <c r="AK128" s="1706"/>
      <c r="AL128" s="1706"/>
      <c r="AM128" s="4"/>
      <c r="AN128" s="298"/>
      <c r="AO128" s="4" t="str">
        <f>S133</f>
        <v>N/A</v>
      </c>
    </row>
    <row r="129" spans="1:42" s="4" customFormat="1" ht="12.75" customHeight="1">
      <c r="A129" s="120"/>
      <c r="B129" s="5"/>
      <c r="C129" s="115"/>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81"/>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81"/>
    </row>
    <row r="131" spans="1:42" s="4" customFormat="1" ht="12.75" customHeight="1">
      <c r="A131" s="35"/>
      <c r="B131" s="102"/>
      <c r="C131" s="121"/>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2"/>
      <c r="AG131" s="19"/>
      <c r="AH131" s="19"/>
      <c r="AI131" s="19"/>
      <c r="AJ131" s="19"/>
      <c r="AN131" s="281"/>
    </row>
    <row r="132" spans="1:42" s="4" customFormat="1" ht="22.95" customHeight="1">
      <c r="B132" s="102"/>
      <c r="C132" s="121"/>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6" t="s">
        <v>103</v>
      </c>
      <c r="AG135" s="1706"/>
      <c r="AH135" s="1706"/>
      <c r="AI135" s="1706"/>
      <c r="AJ135" s="1706"/>
      <c r="AK135" s="1706"/>
      <c r="AL135" s="170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7" t="s">
        <v>197</v>
      </c>
      <c r="I137" s="180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5">
        <f>VLOOKUP($H$137,$AO$133:$AP$135,2,FALSE)</f>
        <v>2</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6" t="s">
        <v>61</v>
      </c>
      <c r="AG143" s="1706"/>
      <c r="AH143" s="1706"/>
      <c r="AI143" s="1706"/>
      <c r="AJ143" s="1706"/>
      <c r="AK143" s="1706"/>
      <c r="AL143" s="170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7" t="s">
        <v>581</v>
      </c>
      <c r="I149" s="180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5">
        <f>VLOOKUP(H149,AO140:AP142,2,FALSE)</f>
        <v>3</v>
      </c>
      <c r="AK151" s="126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2"/>
      <c r="AF156" s="1462" t="s">
        <v>59</v>
      </c>
      <c r="AG156" s="1462"/>
      <c r="AH156" s="1462"/>
      <c r="AI156" s="1462"/>
      <c r="AJ156" s="1462"/>
      <c r="AK156" s="1462"/>
      <c r="AL156" s="1462"/>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2"/>
      <c r="AF157" s="342"/>
      <c r="AG157" s="342"/>
      <c r="AH157" s="342"/>
      <c r="AI157" s="342"/>
      <c r="AJ157" s="342"/>
      <c r="AK157" s="342"/>
      <c r="AL157" s="342"/>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0" t="s">
        <v>1713</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2"/>
      <c r="AF160" s="1462" t="s">
        <v>60</v>
      </c>
      <c r="AG160" s="1462"/>
      <c r="AH160" s="1462"/>
      <c r="AI160" s="1462"/>
      <c r="AJ160" s="1462"/>
      <c r="AK160" s="1462"/>
      <c r="AL160" s="1462"/>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2"/>
      <c r="AF161" s="342"/>
      <c r="AG161" s="342"/>
      <c r="AH161" s="342"/>
      <c r="AI161" s="342"/>
      <c r="AJ161" s="342"/>
      <c r="AK161" s="342"/>
      <c r="AL161" s="342"/>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0" t="s">
        <v>1714</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2"/>
      <c r="AF164" s="1462" t="s">
        <v>61</v>
      </c>
      <c r="AG164" s="1462"/>
      <c r="AH164" s="1462"/>
      <c r="AI164" s="1462"/>
      <c r="AJ164" s="1462"/>
      <c r="AK164" s="1462"/>
      <c r="AL164" s="1462"/>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462"/>
      <c r="AF165" s="1462"/>
      <c r="AG165" s="1462"/>
      <c r="AH165" s="1462"/>
      <c r="AI165" s="1462"/>
      <c r="AJ165" s="1462"/>
      <c r="AK165" s="1462"/>
      <c r="AL165" s="967"/>
      <c r="AN165" s="281"/>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0" t="s">
        <v>1715</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2"/>
      <c r="AF168" s="1462" t="s">
        <v>60</v>
      </c>
      <c r="AG168" s="1462"/>
      <c r="AH168" s="1462"/>
      <c r="AI168" s="1462"/>
      <c r="AJ168" s="1462"/>
      <c r="AK168" s="1462"/>
      <c r="AL168" s="1462"/>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0" t="s">
        <v>1716</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2"/>
      <c r="AF172" s="1462" t="s">
        <v>61</v>
      </c>
      <c r="AG172" s="1462"/>
      <c r="AH172" s="1462"/>
      <c r="AI172" s="1462"/>
      <c r="AJ172" s="1462"/>
      <c r="AK172" s="1462"/>
      <c r="AL172" s="1462"/>
      <c r="AM172" s="20"/>
      <c r="AN172" s="281"/>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0" t="s">
        <v>1473</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2"/>
      <c r="AF176" s="1462" t="s">
        <v>103</v>
      </c>
      <c r="AG176" s="1462"/>
      <c r="AH176" s="1462"/>
      <c r="AI176" s="1462"/>
      <c r="AJ176" s="1462"/>
      <c r="AK176" s="1462"/>
      <c r="AL176" s="1462"/>
      <c r="AM176" s="20"/>
      <c r="AN176" s="281"/>
      <c r="AO176" s="26" t="s">
        <v>281</v>
      </c>
      <c r="AP176" s="4">
        <v>1</v>
      </c>
    </row>
    <row r="177" spans="1:61" s="4" customFormat="1" ht="22.95"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0" t="s">
        <v>1474</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2"/>
      <c r="AF179" s="1462" t="s">
        <v>318</v>
      </c>
      <c r="AG179" s="1462"/>
      <c r="AH179" s="1462"/>
      <c r="AI179" s="1462"/>
      <c r="AJ179" s="1462"/>
      <c r="AK179" s="1462"/>
      <c r="AL179" s="1462"/>
      <c r="AM179" s="20"/>
      <c r="AN179" s="281"/>
    </row>
    <row r="180" spans="1:61" s="4" customFormat="1" ht="22.95"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7" t="s">
        <v>197</v>
      </c>
      <c r="I182" s="180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5">
        <f>VLOOKUP($H$182,$AO$169:$AP$176,2,FALSE)</f>
        <v>4</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4" t="s">
        <v>2311</v>
      </c>
      <c r="F188" s="1644"/>
      <c r="G188" s="1644"/>
      <c r="H188" s="1644"/>
      <c r="I188" s="1644"/>
      <c r="J188" s="1644"/>
      <c r="K188" s="1644"/>
      <c r="L188" s="1644"/>
      <c r="M188" s="1644"/>
      <c r="N188" s="1644"/>
      <c r="O188" s="1644"/>
      <c r="P188" s="1644"/>
      <c r="Q188" s="1644"/>
      <c r="R188" s="1644"/>
      <c r="S188" s="1644"/>
      <c r="T188" s="1644"/>
      <c r="U188" s="1644"/>
      <c r="V188" s="1644"/>
      <c r="W188" s="1644"/>
      <c r="X188" s="1644"/>
      <c r="Y188" s="1644"/>
      <c r="Z188" s="1644"/>
      <c r="AA188" s="1644"/>
      <c r="AB188" s="1644"/>
      <c r="AD188" s="5"/>
      <c r="AF188" s="1301" t="s">
        <v>61</v>
      </c>
      <c r="AG188" s="1301"/>
      <c r="AH188" s="1301"/>
      <c r="AI188" s="1301"/>
      <c r="AJ188" s="1301"/>
      <c r="AK188" s="1301"/>
      <c r="AL188" s="1301"/>
      <c r="AN188" s="281"/>
    </row>
    <row r="189" spans="1:61" s="4" customFormat="1" ht="12.75" customHeight="1">
      <c r="A189" s="120"/>
      <c r="B189" s="5"/>
      <c r="C189" s="130"/>
      <c r="D189" s="26"/>
      <c r="E189" s="1644"/>
      <c r="F189" s="1644"/>
      <c r="G189" s="1644"/>
      <c r="H189" s="1644"/>
      <c r="I189" s="1644"/>
      <c r="J189" s="1644"/>
      <c r="K189" s="1644"/>
      <c r="L189" s="1644"/>
      <c r="M189" s="1644"/>
      <c r="N189" s="1644"/>
      <c r="O189" s="1644"/>
      <c r="P189" s="1644"/>
      <c r="Q189" s="1644"/>
      <c r="R189" s="1644"/>
      <c r="S189" s="1644"/>
      <c r="T189" s="1644"/>
      <c r="U189" s="1644"/>
      <c r="V189" s="1644"/>
      <c r="W189" s="1644"/>
      <c r="X189" s="1644"/>
      <c r="Y189" s="1644"/>
      <c r="Z189" s="1644"/>
      <c r="AA189" s="1644"/>
      <c r="AB189" s="1644"/>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0" t="s">
        <v>2234</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462" t="s">
        <v>61</v>
      </c>
      <c r="AG191" s="1462"/>
      <c r="AH191" s="1462"/>
      <c r="AI191" s="1462"/>
      <c r="AJ191" s="1462"/>
      <c r="AK191" s="1462"/>
      <c r="AL191" s="1462"/>
      <c r="AN191" s="281"/>
      <c r="AO191" s="26" t="s">
        <v>581</v>
      </c>
      <c r="AP191" s="4">
        <v>3</v>
      </c>
    </row>
    <row r="192" spans="1:61" s="4" customFormat="1" ht="12.75" customHeight="1">
      <c r="B192" s="5"/>
      <c r="C192" s="121"/>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462"/>
      <c r="AG192" s="1462"/>
      <c r="AH192" s="1462"/>
      <c r="AI192" s="1462"/>
      <c r="AJ192" s="1462"/>
      <c r="AK192" s="1462"/>
      <c r="AL192" s="1462"/>
      <c r="AN192" s="281"/>
      <c r="AO192" s="26" t="s">
        <v>197</v>
      </c>
      <c r="AP192" s="26">
        <f>3*$AO$197</f>
        <v>3</v>
      </c>
    </row>
    <row r="193" spans="1:53" s="4" customFormat="1" ht="12.75" customHeight="1">
      <c r="B193" s="5"/>
      <c r="C193" s="121"/>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2"/>
      <c r="AG193" s="19"/>
      <c r="AH193" s="19"/>
      <c r="AI193" s="19"/>
      <c r="AJ193" s="19"/>
      <c r="AK193" s="19"/>
      <c r="AL193" s="19"/>
      <c r="AN193" s="281"/>
      <c r="AO193" s="4" t="s">
        <v>890</v>
      </c>
      <c r="AP193" s="26">
        <f>2*$AO$197</f>
        <v>2</v>
      </c>
    </row>
    <row r="194" spans="1:53" s="4" customFormat="1" ht="6.75" customHeight="1">
      <c r="B194" s="5"/>
      <c r="C194" s="121"/>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0" t="s">
        <v>2235</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462" t="s">
        <v>103</v>
      </c>
      <c r="AG196" s="1462"/>
      <c r="AH196" s="1462"/>
      <c r="AI196" s="1462"/>
      <c r="AJ196" s="1462"/>
      <c r="AK196" s="1462"/>
      <c r="AL196" s="1462"/>
      <c r="AN196" s="281"/>
      <c r="AY196" s="4" t="s">
        <v>2236</v>
      </c>
      <c r="AZ196" s="959">
        <f>Application!AC215</f>
        <v>0</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462"/>
      <c r="AG197" s="1462"/>
      <c r="AH197" s="1462"/>
      <c r="AI197" s="1462"/>
      <c r="AJ197" s="1462"/>
      <c r="AK197" s="1462"/>
      <c r="AL197" s="1462"/>
      <c r="AN197" s="281"/>
      <c r="AO197" s="127" t="b">
        <f>IF(OR(Application!D214="Special Needs",Application!D211="At-Risk and Special Needs"),IF(BA203&gt;=0.25,TRUE,FALSE),IF(AZ203&gt;=0.25,TRUE,FALSE))</f>
        <v>1</v>
      </c>
      <c r="AY197" s="4" t="s">
        <v>2237</v>
      </c>
      <c r="AZ197" s="959">
        <f>Application!G730</f>
        <v>54</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81"/>
      <c r="AY198" s="4" t="s">
        <v>2239</v>
      </c>
      <c r="AZ198" s="4">
        <f>Application!CC626</f>
        <v>14</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8" t="s">
        <v>2293</v>
      </c>
      <c r="F201" s="1708"/>
      <c r="G201" s="1708"/>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08"/>
      <c r="F202" s="1708"/>
      <c r="G202" s="1708"/>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4"/>
      <c r="AD202" s="5"/>
      <c r="AE202" s="19"/>
      <c r="AF202" s="19"/>
      <c r="AG202" s="19"/>
      <c r="AH202" s="19"/>
      <c r="AI202" s="19"/>
      <c r="AJ202" s="4"/>
      <c r="AK202" s="4"/>
      <c r="AL202" s="4"/>
      <c r="AM202" s="4"/>
      <c r="AN202" s="204"/>
      <c r="AY202" s="4" t="s">
        <v>2242</v>
      </c>
      <c r="AZ202">
        <f>AZ198+AZ199+AZ201</f>
        <v>14</v>
      </c>
    </row>
    <row r="203" spans="1:53" customFormat="1" ht="18" customHeight="1">
      <c r="A203" s="4"/>
      <c r="B203" s="5"/>
      <c r="C203" s="45"/>
      <c r="D203" s="4"/>
      <c r="E203" s="1708"/>
      <c r="F203" s="1708"/>
      <c r="G203" s="1708"/>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4"/>
      <c r="AD203" s="5"/>
      <c r="AE203" s="19"/>
      <c r="AF203" s="19"/>
      <c r="AG203" s="19"/>
      <c r="AH203" s="19"/>
      <c r="AI203" s="19"/>
      <c r="AJ203" s="4"/>
      <c r="AK203" s="4"/>
      <c r="AL203" s="4"/>
      <c r="AM203" s="4"/>
      <c r="AN203" s="204"/>
      <c r="AY203" s="4" t="s">
        <v>2243</v>
      </c>
      <c r="AZ203">
        <f>IFERROR(AZ202/AZ197,0)</f>
        <v>0.25925925925925924</v>
      </c>
      <c r="BA203">
        <f>IFERROR(AZ202/(AZ197-AZ196),0)</f>
        <v>0.25925925925925924</v>
      </c>
    </row>
    <row r="204" spans="1:53" customFormat="1" ht="12.75" customHeight="1">
      <c r="A204" s="4"/>
      <c r="B204" s="5"/>
      <c r="C204" s="45"/>
      <c r="D204" s="4" t="s">
        <v>147</v>
      </c>
      <c r="E204" s="116"/>
      <c r="F204" s="116"/>
      <c r="G204" s="116"/>
      <c r="H204" s="1807" t="s">
        <v>581</v>
      </c>
      <c r="I204" s="180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5">
        <f>VLOOKUP($H$204,$AO$190:$AP$193,2,FALSE)</f>
        <v>3</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706" t="s">
        <v>61</v>
      </c>
      <c r="AG210" s="1706"/>
      <c r="AH210" s="1706"/>
      <c r="AI210" s="1706"/>
      <c r="AJ210" s="1706"/>
      <c r="AK210" s="1706"/>
      <c r="AL210" s="1706"/>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5"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5" customHeight="1">
      <c r="A213" s="4"/>
      <c r="B213" s="5"/>
      <c r="C213" s="45"/>
      <c r="D213" s="26" t="s">
        <v>197</v>
      </c>
      <c r="E213" s="1871" t="s">
        <v>1255</v>
      </c>
      <c r="F213" s="1871"/>
      <c r="G213" s="1871"/>
      <c r="H213" s="1871"/>
      <c r="I213" s="1871"/>
      <c r="J213" s="1871"/>
      <c r="K213" s="1871"/>
      <c r="L213" s="1871"/>
      <c r="M213" s="1871"/>
      <c r="N213" s="1871"/>
      <c r="O213" s="1871"/>
      <c r="P213" s="1871"/>
      <c r="Q213" s="1871"/>
      <c r="R213" s="1871"/>
      <c r="S213" s="1871"/>
      <c r="T213" s="1871"/>
      <c r="U213" s="1871"/>
      <c r="V213" s="1871"/>
      <c r="W213" s="1871"/>
      <c r="X213" s="1871"/>
      <c r="Y213" s="1871"/>
      <c r="Z213" s="1871"/>
      <c r="AA213" s="1871"/>
      <c r="AB213" s="1871"/>
      <c r="AC213" s="4"/>
      <c r="AD213" s="4"/>
      <c r="AF213" s="1706" t="s">
        <v>103</v>
      </c>
      <c r="AG213" s="1706"/>
      <c r="AH213" s="1706"/>
      <c r="AI213" s="1706"/>
      <c r="AJ213" s="1706"/>
      <c r="AK213" s="1706"/>
      <c r="AL213" s="1706"/>
      <c r="AM213" s="4"/>
      <c r="AN213" s="673"/>
      <c r="AP213" s="21"/>
    </row>
    <row r="214" spans="1:52" customFormat="1" ht="12.75" customHeight="1">
      <c r="A214" s="4"/>
      <c r="B214" s="5"/>
      <c r="C214" s="115"/>
      <c r="D214" s="4"/>
      <c r="E214" s="1871"/>
      <c r="F214" s="1871"/>
      <c r="G214" s="1871"/>
      <c r="H214" s="1871"/>
      <c r="I214" s="1871"/>
      <c r="J214" s="1871"/>
      <c r="K214" s="1871"/>
      <c r="L214" s="1871"/>
      <c r="M214" s="1871"/>
      <c r="N214" s="1871"/>
      <c r="O214" s="1871"/>
      <c r="P214" s="1871"/>
      <c r="Q214" s="1871"/>
      <c r="R214" s="1871"/>
      <c r="S214" s="1871"/>
      <c r="T214" s="1871"/>
      <c r="U214" s="1871"/>
      <c r="V214" s="1871"/>
      <c r="W214" s="1871"/>
      <c r="X214" s="1871"/>
      <c r="Y214" s="1871"/>
      <c r="Z214" s="1871"/>
      <c r="AA214" s="1871"/>
      <c r="AB214" s="1871"/>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1"/>
      <c r="F215" s="1871"/>
      <c r="G215" s="1871"/>
      <c r="H215" s="1871"/>
      <c r="I215" s="1871"/>
      <c r="J215" s="1871"/>
      <c r="K215" s="1871"/>
      <c r="L215" s="1871"/>
      <c r="M215" s="1871"/>
      <c r="N215" s="1871"/>
      <c r="O215" s="1871"/>
      <c r="P215" s="1871"/>
      <c r="Q215" s="1871"/>
      <c r="R215" s="1871"/>
      <c r="S215" s="1871"/>
      <c r="T215" s="1871"/>
      <c r="U215" s="1871"/>
      <c r="V215" s="1871"/>
      <c r="W215" s="1871"/>
      <c r="X215" s="1871"/>
      <c r="Y215" s="1871"/>
      <c r="Z215" s="1871"/>
      <c r="AA215" s="1871"/>
      <c r="AB215" s="1871"/>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7" t="s">
        <v>124</v>
      </c>
      <c r="I216" s="180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0" t="s">
        <v>1490</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706" t="s">
        <v>61</v>
      </c>
      <c r="AG222" s="1706"/>
      <c r="AH222" s="1706"/>
      <c r="AI222" s="1706"/>
      <c r="AJ222" s="1706"/>
      <c r="AK222" s="1706"/>
      <c r="AL222" s="1706"/>
      <c r="AM222" s="4"/>
      <c r="AN222" s="204"/>
      <c r="AO222" s="38"/>
      <c r="AP222" s="21"/>
      <c r="AT222" s="21"/>
      <c r="AU222" s="21"/>
      <c r="AV222" s="21"/>
      <c r="AW222" s="21"/>
      <c r="AX222" s="21"/>
      <c r="AY222" s="21"/>
      <c r="AZ222" s="21"/>
    </row>
    <row r="223" spans="1:52" customFormat="1">
      <c r="A223" s="4"/>
      <c r="B223" s="5"/>
      <c r="C223" s="115"/>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706" t="s">
        <v>103</v>
      </c>
      <c r="AG225" s="1706"/>
      <c r="AH225" s="1706"/>
      <c r="AI225" s="1706"/>
      <c r="AJ225" s="1706"/>
      <c r="AK225" s="1706"/>
      <c r="AL225" s="1706"/>
      <c r="AM225" s="4"/>
      <c r="AN225" s="204"/>
      <c r="AO225" s="4" t="s">
        <v>124</v>
      </c>
      <c r="AP225" s="472">
        <v>0</v>
      </c>
      <c r="AT225" s="21"/>
      <c r="AU225" s="21"/>
      <c r="AV225" s="21"/>
      <c r="AW225" s="21"/>
      <c r="AX225" s="21"/>
      <c r="AY225" s="21"/>
      <c r="AZ225" s="21"/>
    </row>
    <row r="226" spans="1:82" customFormat="1">
      <c r="A226" s="4"/>
      <c r="B226" s="5"/>
      <c r="C226" s="115"/>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7" t="s">
        <v>124</v>
      </c>
      <c r="I228" s="180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706" t="s">
        <v>61</v>
      </c>
      <c r="AG234" s="1706"/>
      <c r="AH234" s="1706"/>
      <c r="AI234" s="1706"/>
      <c r="AJ234" s="1706"/>
      <c r="AK234" s="1706"/>
      <c r="AL234" s="1706"/>
      <c r="AM234" s="4"/>
      <c r="AN234" s="204"/>
      <c r="AT234" s="21"/>
      <c r="AU234" s="21"/>
      <c r="AV234" s="21"/>
      <c r="AW234" s="21"/>
      <c r="AX234" s="21"/>
      <c r="AY234" s="21"/>
      <c r="AZ234" s="21"/>
    </row>
    <row r="235" spans="1:82" customFormat="1">
      <c r="A235" s="4"/>
      <c r="B235" s="5"/>
      <c r="C235" s="115"/>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4"/>
    </row>
    <row r="236" spans="1:82" customFormat="1" ht="12.75" customHeight="1">
      <c r="A236" s="4"/>
      <c r="B236" s="5"/>
      <c r="C236" s="115"/>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3"/>
      <c r="AC238" s="4"/>
      <c r="AD238" s="4"/>
      <c r="AF238" s="1706" t="s">
        <v>103</v>
      </c>
      <c r="AG238" s="1706"/>
      <c r="AH238" s="1706"/>
      <c r="AI238" s="1706"/>
      <c r="AJ238" s="1706"/>
      <c r="AK238" s="1706"/>
      <c r="AL238" s="1706"/>
      <c r="AM238" s="4"/>
      <c r="AN238" s="204"/>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7" t="s">
        <v>124</v>
      </c>
      <c r="I242" s="180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5">
        <f>VLOOKUP($H$242,$AO$225:$AP$227,2,FALSE)</f>
        <v>0</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706" t="s">
        <v>103</v>
      </c>
      <c r="AG248" s="1706"/>
      <c r="AH248" s="1706"/>
      <c r="AI248" s="1706"/>
      <c r="AJ248" s="1706"/>
      <c r="AK248" s="1706"/>
      <c r="AL248" s="170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706" t="s">
        <v>318</v>
      </c>
      <c r="AG251" s="1706"/>
      <c r="AH251" s="1706"/>
      <c r="AI251" s="1706"/>
      <c r="AJ251" s="1706"/>
      <c r="AK251" s="1706"/>
      <c r="AL251" s="170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7" t="s">
        <v>581</v>
      </c>
      <c r="I254" s="180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2</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70" t="s">
        <v>1949</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706" t="s">
        <v>103</v>
      </c>
      <c r="AG260" s="1706"/>
      <c r="AH260" s="1706"/>
      <c r="AI260" s="1706"/>
      <c r="AJ260" s="1706"/>
      <c r="AK260" s="1706"/>
      <c r="AL260" s="1706"/>
      <c r="AM260" s="104"/>
      <c r="AN260" s="204"/>
      <c r="AO260" s="4" t="s">
        <v>124</v>
      </c>
      <c r="AP260" s="472">
        <v>0</v>
      </c>
    </row>
    <row r="261" spans="1:82" customFormat="1">
      <c r="A261" s="4"/>
      <c r="B261" s="102"/>
      <c r="C261" s="137"/>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6" t="s">
        <v>1950</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6" t="s">
        <v>61</v>
      </c>
      <c r="AG264" s="1706"/>
      <c r="AH264" s="1706"/>
      <c r="AI264" s="1706"/>
      <c r="AJ264" s="1706"/>
      <c r="AK264" s="1706"/>
      <c r="AL264" s="1706"/>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7" t="s">
        <v>124</v>
      </c>
      <c r="I269" s="180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70" t="s">
        <v>2209</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706" t="s">
        <v>1633</v>
      </c>
      <c r="AG275" s="1706"/>
      <c r="AH275" s="1706"/>
      <c r="AI275" s="1706"/>
      <c r="AJ275" s="1706"/>
      <c r="AK275" s="1706"/>
      <c r="AL275" s="1706"/>
      <c r="AM275" s="104"/>
      <c r="AN275" s="204"/>
      <c r="AO275" s="26" t="s">
        <v>108</v>
      </c>
      <c r="AP275" s="4">
        <v>8</v>
      </c>
      <c r="AT275" s="428"/>
      <c r="AU275" s="428"/>
      <c r="AV275" s="428"/>
      <c r="AW275" s="428"/>
      <c r="AX275" s="428"/>
      <c r="AY275" s="428"/>
      <c r="AZ275" s="428"/>
    </row>
    <row r="276" spans="1:82" customFormat="1">
      <c r="A276" s="4"/>
      <c r="B276" s="102"/>
      <c r="C276" s="137"/>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7" t="s">
        <v>124</v>
      </c>
      <c r="I279" s="180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19</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2418</v>
      </c>
      <c r="I287" s="1107"/>
      <c r="J287" s="1107"/>
      <c r="K287" s="1107"/>
      <c r="L287" s="1107"/>
      <c r="M287" s="1107"/>
      <c r="N287" s="1107"/>
      <c r="O287" s="1107"/>
      <c r="P287" s="1107"/>
      <c r="Q287" s="1107"/>
      <c r="R287" s="1107"/>
      <c r="S287"/>
      <c r="T287" s="41" t="s">
        <v>89</v>
      </c>
      <c r="U287"/>
      <c r="V287" s="41"/>
      <c r="W287" s="41"/>
      <c r="X287" s="41"/>
      <c r="Y287" s="41"/>
      <c r="Z287"/>
      <c r="AA287" s="1107" t="s">
        <v>2424</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2419</v>
      </c>
      <c r="I288" s="1258"/>
      <c r="J288" s="1258"/>
      <c r="K288" s="1258"/>
      <c r="L288" s="1258"/>
      <c r="M288" s="1258"/>
      <c r="N288" s="1258"/>
      <c r="O288" s="1258"/>
      <c r="P288" s="1258"/>
      <c r="Q288" s="1258"/>
      <c r="R288" s="1258"/>
      <c r="S288"/>
      <c r="T288" s="41" t="s">
        <v>699</v>
      </c>
      <c r="U288"/>
      <c r="V288" s="41"/>
      <c r="W288" s="41"/>
      <c r="X288" s="41"/>
      <c r="Y288" s="41"/>
      <c r="Z288"/>
      <c r="AA288" s="1258" t="s">
        <v>2425</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2420</v>
      </c>
      <c r="I289" s="1258"/>
      <c r="J289" s="1258"/>
      <c r="K289" s="1258"/>
      <c r="L289" s="1258"/>
      <c r="M289" s="1258"/>
      <c r="N289" s="1258"/>
      <c r="O289" s="1258"/>
      <c r="P289" s="1258"/>
      <c r="Q289" s="1258"/>
      <c r="R289" s="1258"/>
      <c r="S289"/>
      <c r="T289" s="41" t="s">
        <v>99</v>
      </c>
      <c r="U289"/>
      <c r="V289" s="41"/>
      <c r="W289" s="41"/>
      <c r="X289" s="41"/>
      <c r="Y289" s="41"/>
      <c r="Z289"/>
      <c r="AA289" s="1258" t="s">
        <v>2420</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c r="I290" s="1258"/>
      <c r="J290" s="1258"/>
      <c r="K290" s="1258"/>
      <c r="L290" s="1258"/>
      <c r="M290" s="1258"/>
      <c r="N290" s="1258"/>
      <c r="O290" s="1258"/>
      <c r="P290" s="1258"/>
      <c r="Q290" s="1258"/>
      <c r="R290" s="1258"/>
      <c r="S290"/>
      <c r="T290" s="41" t="s">
        <v>374</v>
      </c>
      <c r="U290"/>
      <c r="V290" s="41"/>
      <c r="W290" s="41"/>
      <c r="X290" s="41"/>
      <c r="Y290" s="41"/>
      <c r="Z290"/>
      <c r="AA290" s="1258"/>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0" t="s">
        <v>2421</v>
      </c>
      <c r="I291" s="1400"/>
      <c r="J291" s="1400"/>
      <c r="K291" s="1400"/>
      <c r="L291" s="1400"/>
      <c r="M291" s="1400"/>
      <c r="N291" s="5" t="s">
        <v>818</v>
      </c>
      <c r="O291" s="5"/>
      <c r="P291" s="1389"/>
      <c r="Q291" s="1389"/>
      <c r="R291" s="1389"/>
      <c r="S291" s="41"/>
      <c r="T291" s="41" t="s">
        <v>375</v>
      </c>
      <c r="U291"/>
      <c r="V291" s="41"/>
      <c r="W291" s="41"/>
      <c r="X291" s="41"/>
      <c r="Y291" s="41"/>
      <c r="Z291"/>
      <c r="AA291" s="1400" t="s">
        <v>2426</v>
      </c>
      <c r="AB291" s="1400"/>
      <c r="AC291" s="1400"/>
      <c r="AD291" s="1400"/>
      <c r="AE291" s="1400"/>
      <c r="AF291" s="1400"/>
      <c r="AG291" s="5" t="s">
        <v>818</v>
      </c>
      <c r="AH291" s="5"/>
      <c r="AI291" s="1389"/>
      <c r="AJ291" s="1389"/>
      <c r="AK291" s="1389"/>
      <c r="AL291" s="10"/>
      <c r="AN291" s="281"/>
      <c r="AO291" s="211"/>
      <c r="AP291" t="s">
        <v>2317</v>
      </c>
    </row>
    <row r="292" spans="1:42" s="4" customFormat="1" ht="12.75" customHeight="1">
      <c r="B292" s="41" t="s">
        <v>88</v>
      </c>
      <c r="C292" s="41"/>
      <c r="D292" s="41"/>
      <c r="E292" s="41"/>
      <c r="F292" s="41"/>
      <c r="G292" s="41"/>
      <c r="H292" s="1258" t="s">
        <v>96</v>
      </c>
      <c r="I292" s="1258"/>
      <c r="J292" s="1258"/>
      <c r="K292" s="1258"/>
      <c r="L292" s="1258"/>
      <c r="M292" s="1258"/>
      <c r="N292" s="1258"/>
      <c r="O292" s="1258"/>
      <c r="P292" s="1258"/>
      <c r="Q292" s="1258"/>
      <c r="R292" s="1258"/>
      <c r="S292" s="41"/>
      <c r="T292" s="41" t="s">
        <v>88</v>
      </c>
      <c r="U292"/>
      <c r="V292" s="41"/>
      <c r="W292" s="41"/>
      <c r="X292" s="41"/>
      <c r="Y292" s="41"/>
      <c r="Z292"/>
      <c r="AA292" s="1258" t="s">
        <v>347</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2422</v>
      </c>
      <c r="I293" s="1258"/>
      <c r="J293" s="1258"/>
      <c r="K293" s="1258"/>
      <c r="L293" s="1258"/>
      <c r="M293" s="1258"/>
      <c r="N293" s="1258"/>
      <c r="O293" s="1258"/>
      <c r="P293" s="1258"/>
      <c r="Q293" s="1258"/>
      <c r="R293" s="1258"/>
      <c r="S293" s="41"/>
      <c r="T293" s="41" t="s">
        <v>90</v>
      </c>
      <c r="U293"/>
      <c r="V293" s="41"/>
      <c r="W293" s="41"/>
      <c r="X293" s="41"/>
      <c r="Y293" s="41"/>
      <c r="Z293"/>
      <c r="AA293" s="1258" t="s">
        <v>2427</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69" t="s">
        <v>2423</v>
      </c>
      <c r="I294" s="1669"/>
      <c r="J294" s="1669"/>
      <c r="K294" s="1669"/>
      <c r="L294" s="1669"/>
      <c r="M294" s="1669"/>
      <c r="N294" s="1669"/>
      <c r="O294" s="1669"/>
      <c r="P294" s="1669"/>
      <c r="Q294" s="1669"/>
      <c r="R294" s="1669"/>
      <c r="S294" s="41"/>
      <c r="T294" s="41" t="s">
        <v>101</v>
      </c>
      <c r="U294" s="41"/>
      <c r="V294" s="41"/>
      <c r="W294" s="41"/>
      <c r="X294" s="41"/>
      <c r="Y294" s="41"/>
      <c r="Z294" s="12"/>
      <c r="AA294" s="1669" t="s">
        <v>2428</v>
      </c>
      <c r="AB294" s="1669"/>
      <c r="AC294" s="1669"/>
      <c r="AD294" s="1669"/>
      <c r="AE294" s="1669"/>
      <c r="AF294" s="1669"/>
      <c r="AG294" s="1669"/>
      <c r="AH294" s="1669"/>
      <c r="AI294" s="1669"/>
      <c r="AJ294" s="1669"/>
      <c r="AK294" s="166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2429</v>
      </c>
      <c r="I296" s="1107"/>
      <c r="J296" s="1107"/>
      <c r="K296" s="1107"/>
      <c r="L296" s="1107"/>
      <c r="M296" s="1107"/>
      <c r="N296" s="1107"/>
      <c r="O296" s="1107"/>
      <c r="P296" s="1107"/>
      <c r="Q296" s="1107"/>
      <c r="R296" s="1107"/>
      <c r="S296"/>
      <c r="T296" s="41" t="s">
        <v>89</v>
      </c>
      <c r="U296"/>
      <c r="V296" s="41"/>
      <c r="W296" s="41"/>
      <c r="X296" s="41"/>
      <c r="Y296" s="41"/>
      <c r="Z296"/>
      <c r="AA296" s="1107" t="s">
        <v>2434</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2430</v>
      </c>
      <c r="I297" s="1258"/>
      <c r="J297" s="1258"/>
      <c r="K297" s="1258"/>
      <c r="L297" s="1258"/>
      <c r="M297" s="1258"/>
      <c r="N297" s="1258"/>
      <c r="O297" s="1258"/>
      <c r="P297" s="1258"/>
      <c r="Q297" s="1258"/>
      <c r="R297" s="1258"/>
      <c r="S297"/>
      <c r="T297" s="41" t="s">
        <v>699</v>
      </c>
      <c r="U297"/>
      <c r="V297" s="41"/>
      <c r="W297" s="41"/>
      <c r="X297" s="41"/>
      <c r="Y297" s="41"/>
      <c r="Z297"/>
      <c r="AA297" s="1258" t="s">
        <v>2435</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2420</v>
      </c>
      <c r="I298" s="1258"/>
      <c r="J298" s="1258"/>
      <c r="K298" s="1258"/>
      <c r="L298" s="1258"/>
      <c r="M298" s="1258"/>
      <c r="N298" s="1258"/>
      <c r="O298" s="1258"/>
      <c r="P298" s="1258"/>
      <c r="Q298" s="1258"/>
      <c r="R298" s="1258"/>
      <c r="S298"/>
      <c r="T298" s="41" t="s">
        <v>99</v>
      </c>
      <c r="U298"/>
      <c r="V298" s="41"/>
      <c r="W298" s="41"/>
      <c r="X298" s="41"/>
      <c r="Y298" s="41"/>
      <c r="Z298"/>
      <c r="AA298" s="1258" t="s">
        <v>2420</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c r="I299" s="1258"/>
      <c r="J299" s="1258"/>
      <c r="K299" s="1258"/>
      <c r="L299" s="1258"/>
      <c r="M299" s="1258"/>
      <c r="N299" s="1258"/>
      <c r="O299" s="1258"/>
      <c r="P299" s="1258"/>
      <c r="Q299" s="1258"/>
      <c r="R299" s="1258"/>
      <c r="S299"/>
      <c r="T299" s="41" t="s">
        <v>374</v>
      </c>
      <c r="U299"/>
      <c r="V299" s="41"/>
      <c r="W299" s="41"/>
      <c r="X299" s="41"/>
      <c r="Y299" s="41"/>
      <c r="Z299"/>
      <c r="AA299" s="1258"/>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0" t="s">
        <v>2431</v>
      </c>
      <c r="I300" s="1400"/>
      <c r="J300" s="1400"/>
      <c r="K300" s="1400"/>
      <c r="L300" s="1400"/>
      <c r="M300" s="1400"/>
      <c r="N300" s="5" t="s">
        <v>818</v>
      </c>
      <c r="O300" s="5"/>
      <c r="P300" s="1389"/>
      <c r="Q300" s="1389"/>
      <c r="R300" s="1389"/>
      <c r="S300" s="41"/>
      <c r="T300" s="41" t="s">
        <v>375</v>
      </c>
      <c r="U300"/>
      <c r="V300" s="41"/>
      <c r="W300" s="41"/>
      <c r="X300" s="41"/>
      <c r="Y300" s="41"/>
      <c r="Z300"/>
      <c r="AA300" s="1400"/>
      <c r="AB300" s="1400"/>
      <c r="AC300" s="1400"/>
      <c r="AD300" s="1400"/>
      <c r="AE300" s="1400"/>
      <c r="AF300" s="1400"/>
      <c r="AG300" s="5" t="s">
        <v>818</v>
      </c>
      <c r="AH300" s="5"/>
      <c r="AI300" s="1389"/>
      <c r="AJ300" s="1389"/>
      <c r="AK300" s="1389"/>
      <c r="AL300" s="10"/>
      <c r="AN300" s="281"/>
    </row>
    <row r="301" spans="1:42" s="4" customFormat="1" ht="12.75" customHeight="1">
      <c r="B301" s="41" t="s">
        <v>88</v>
      </c>
      <c r="C301" s="41"/>
      <c r="D301" s="41"/>
      <c r="E301" s="41"/>
      <c r="F301" s="41"/>
      <c r="G301" s="41"/>
      <c r="H301" s="1258" t="s">
        <v>100</v>
      </c>
      <c r="I301" s="1258"/>
      <c r="J301" s="1258"/>
      <c r="K301" s="1258"/>
      <c r="L301" s="1258"/>
      <c r="M301" s="1258"/>
      <c r="N301" s="1258"/>
      <c r="O301" s="1258"/>
      <c r="P301" s="1258"/>
      <c r="Q301" s="1258"/>
      <c r="R301" s="1258"/>
      <c r="S301" s="41"/>
      <c r="T301" s="41" t="s">
        <v>88</v>
      </c>
      <c r="U301"/>
      <c r="V301" s="41"/>
      <c r="W301" s="41"/>
      <c r="X301" s="41"/>
      <c r="Y301" s="41"/>
      <c r="Z301"/>
      <c r="AA301" s="1258" t="s">
        <v>92</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2432</v>
      </c>
      <c r="I302" s="1258"/>
      <c r="J302" s="1258"/>
      <c r="K302" s="1258"/>
      <c r="L302" s="1258"/>
      <c r="M302" s="1258"/>
      <c r="N302" s="1258"/>
      <c r="O302" s="1258"/>
      <c r="P302" s="1258"/>
      <c r="Q302" s="1258"/>
      <c r="R302" s="1258"/>
      <c r="S302" s="41"/>
      <c r="T302" s="41" t="s">
        <v>90</v>
      </c>
      <c r="U302"/>
      <c r="V302" s="41"/>
      <c r="W302" s="41"/>
      <c r="X302" s="41"/>
      <c r="Y302" s="41"/>
      <c r="Z302"/>
      <c r="AA302" s="1258" t="s">
        <v>124</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69" t="s">
        <v>2433</v>
      </c>
      <c r="I303" s="1669"/>
      <c r="J303" s="1669"/>
      <c r="K303" s="1669"/>
      <c r="L303" s="1669"/>
      <c r="M303" s="1669"/>
      <c r="N303" s="1669"/>
      <c r="O303" s="1669"/>
      <c r="P303" s="1669"/>
      <c r="Q303" s="1669"/>
      <c r="R303" s="1669"/>
      <c r="S303" s="41"/>
      <c r="T303" s="41" t="s">
        <v>101</v>
      </c>
      <c r="U303" s="41"/>
      <c r="V303" s="41"/>
      <c r="W303" s="41"/>
      <c r="X303" s="41"/>
      <c r="Y303" s="41"/>
      <c r="Z303" s="12"/>
      <c r="AA303" s="1669" t="s">
        <v>2436</v>
      </c>
      <c r="AB303" s="1669"/>
      <c r="AC303" s="1669"/>
      <c r="AD303" s="1669"/>
      <c r="AE303" s="1669"/>
      <c r="AF303" s="1669"/>
      <c r="AG303" s="1669"/>
      <c r="AH303" s="1669"/>
      <c r="AI303" s="1669"/>
      <c r="AJ303" s="1669"/>
      <c r="AK303" s="166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c r="I305" s="1107"/>
      <c r="J305" s="1107"/>
      <c r="K305" s="1107"/>
      <c r="L305" s="1107"/>
      <c r="M305" s="1107"/>
      <c r="N305" s="1107"/>
      <c r="O305" s="1107"/>
      <c r="P305" s="1107"/>
      <c r="Q305" s="1107"/>
      <c r="R305" s="1107"/>
      <c r="S305"/>
      <c r="T305" s="41" t="s">
        <v>89</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c r="I306" s="1258"/>
      <c r="J306" s="1258"/>
      <c r="K306" s="1258"/>
      <c r="L306" s="1258"/>
      <c r="M306" s="1258"/>
      <c r="N306" s="1258"/>
      <c r="O306" s="1258"/>
      <c r="P306" s="1258"/>
      <c r="Q306" s="1258"/>
      <c r="R306" s="1258"/>
      <c r="S306"/>
      <c r="T306" s="41" t="s">
        <v>699</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c r="I307" s="1258"/>
      <c r="J307" s="1258"/>
      <c r="K307" s="1258"/>
      <c r="L307" s="1258"/>
      <c r="M307" s="1258"/>
      <c r="N307" s="1258"/>
      <c r="O307" s="1258"/>
      <c r="P307" s="1258"/>
      <c r="Q307" s="1258"/>
      <c r="R307" s="1258"/>
      <c r="S307"/>
      <c r="T307" s="41" t="s">
        <v>99</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c r="I308" s="1258"/>
      <c r="J308" s="1258"/>
      <c r="K308" s="1258"/>
      <c r="L308" s="1258"/>
      <c r="M308" s="1258"/>
      <c r="N308" s="1258"/>
      <c r="O308" s="1258"/>
      <c r="P308" s="1258"/>
      <c r="Q308" s="1258"/>
      <c r="R308" s="1258"/>
      <c r="S308"/>
      <c r="T308" s="41" t="s">
        <v>374</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0"/>
      <c r="I309" s="1400"/>
      <c r="J309" s="1400"/>
      <c r="K309" s="1400"/>
      <c r="L309" s="1400"/>
      <c r="M309" s="1400"/>
      <c r="N309" s="5" t="s">
        <v>818</v>
      </c>
      <c r="O309" s="5"/>
      <c r="P309" s="1389"/>
      <c r="Q309" s="1389"/>
      <c r="R309" s="1389"/>
      <c r="S309" s="41"/>
      <c r="T309" s="41" t="s">
        <v>375</v>
      </c>
      <c r="U309"/>
      <c r="V309" s="41"/>
      <c r="W309" s="41"/>
      <c r="X309" s="41"/>
      <c r="Y309" s="41"/>
      <c r="Z309"/>
      <c r="AA309" s="1400"/>
      <c r="AB309" s="1400"/>
      <c r="AC309" s="1400"/>
      <c r="AD309" s="1400"/>
      <c r="AE309" s="1400"/>
      <c r="AF309" s="1400"/>
      <c r="AG309" s="5" t="s">
        <v>818</v>
      </c>
      <c r="AH309" s="5"/>
      <c r="AI309" s="1389"/>
      <c r="AJ309" s="1389"/>
      <c r="AK309" s="1389"/>
      <c r="AL309" s="10"/>
      <c r="AN309" s="281"/>
    </row>
    <row r="310" spans="2:40" s="4" customFormat="1" ht="12.75" customHeight="1">
      <c r="B310" s="41" t="s">
        <v>88</v>
      </c>
      <c r="C310" s="41"/>
      <c r="D310" s="41"/>
      <c r="E310" s="41"/>
      <c r="F310" s="41"/>
      <c r="G310" s="41"/>
      <c r="H310" s="1258"/>
      <c r="I310" s="1258"/>
      <c r="J310" s="1258"/>
      <c r="K310" s="1258"/>
      <c r="L310" s="1258"/>
      <c r="M310" s="1258"/>
      <c r="N310" s="1258"/>
      <c r="O310" s="1258"/>
      <c r="P310" s="1258"/>
      <c r="Q310" s="1258"/>
      <c r="R310" s="1258"/>
      <c r="S310" s="41"/>
      <c r="T310" s="41" t="s">
        <v>88</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69"/>
      <c r="I312" s="1669"/>
      <c r="J312" s="1669"/>
      <c r="K312" s="1669"/>
      <c r="L312" s="1669"/>
      <c r="M312" s="1669"/>
      <c r="N312" s="1669"/>
      <c r="O312" s="1669"/>
      <c r="P312" s="1669"/>
      <c r="Q312" s="1669"/>
      <c r="R312" s="1669"/>
      <c r="S312" s="41"/>
      <c r="T312" s="41" t="s">
        <v>101</v>
      </c>
      <c r="U312" s="41"/>
      <c r="V312" s="41"/>
      <c r="W312" s="41"/>
      <c r="X312" s="41"/>
      <c r="Y312" s="41"/>
      <c r="Z312" s="12"/>
      <c r="AA312" s="1669"/>
      <c r="AB312" s="1669"/>
      <c r="AC312" s="1669"/>
      <c r="AD312" s="1669"/>
      <c r="AE312" s="1669"/>
      <c r="AF312" s="1669"/>
      <c r="AG312" s="1669"/>
      <c r="AH312" s="1669"/>
      <c r="AI312" s="1669"/>
      <c r="AJ312" s="1669"/>
      <c r="AK312" s="166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0"/>
      <c r="I318" s="1400"/>
      <c r="J318" s="1400"/>
      <c r="K318" s="1400"/>
      <c r="L318" s="1400"/>
      <c r="M318" s="1400"/>
      <c r="N318" s="5" t="s">
        <v>818</v>
      </c>
      <c r="O318" s="5"/>
      <c r="P318" s="1389"/>
      <c r="Q318" s="1389"/>
      <c r="R318" s="1389"/>
      <c r="S318" s="41"/>
      <c r="T318" s="41" t="s">
        <v>375</v>
      </c>
      <c r="U318"/>
      <c r="V318" s="41"/>
      <c r="W318" s="41"/>
      <c r="X318" s="41"/>
      <c r="Y318" s="41"/>
      <c r="Z318"/>
      <c r="AA318" s="1400"/>
      <c r="AB318" s="1400"/>
      <c r="AC318" s="1400"/>
      <c r="AD318" s="1400"/>
      <c r="AE318" s="1400"/>
      <c r="AF318" s="1400"/>
      <c r="AG318" s="5" t="s">
        <v>818</v>
      </c>
      <c r="AH318" s="5"/>
      <c r="AI318" s="1389"/>
      <c r="AJ318" s="1389"/>
      <c r="AK318" s="1389"/>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69"/>
      <c r="I321" s="1669"/>
      <c r="J321" s="1669"/>
      <c r="K321" s="1669"/>
      <c r="L321" s="1669"/>
      <c r="M321" s="1669"/>
      <c r="N321" s="1669"/>
      <c r="O321" s="1669"/>
      <c r="P321" s="1669"/>
      <c r="Q321" s="1669"/>
      <c r="R321" s="1669"/>
      <c r="S321" s="41"/>
      <c r="T321" s="41" t="s">
        <v>101</v>
      </c>
      <c r="U321" s="41"/>
      <c r="V321" s="41"/>
      <c r="W321" s="41"/>
      <c r="X321" s="41"/>
      <c r="Y321" s="41"/>
      <c r="Z321" s="12"/>
      <c r="AA321" s="1669"/>
      <c r="AB321" s="1669"/>
      <c r="AC321" s="1669"/>
      <c r="AD321" s="1669"/>
      <c r="AE321" s="1669"/>
      <c r="AF321" s="1669"/>
      <c r="AG321" s="1669"/>
      <c r="AH321" s="1669"/>
      <c r="AI321" s="1669"/>
      <c r="AJ321" s="1669"/>
      <c r="AK321" s="166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0"/>
      <c r="I327" s="1400"/>
      <c r="J327" s="1400"/>
      <c r="K327" s="1400"/>
      <c r="L327" s="1400"/>
      <c r="M327" s="1400"/>
      <c r="N327" s="5" t="s">
        <v>818</v>
      </c>
      <c r="O327" s="5"/>
      <c r="P327" s="1389"/>
      <c r="Q327" s="1389"/>
      <c r="R327" s="1389"/>
      <c r="S327" s="41"/>
      <c r="T327" s="41" t="s">
        <v>375</v>
      </c>
      <c r="U327"/>
      <c r="V327" s="41"/>
      <c r="W327" s="41"/>
      <c r="X327" s="41"/>
      <c r="Y327" s="41"/>
      <c r="Z327"/>
      <c r="AA327" s="1400"/>
      <c r="AB327" s="1400"/>
      <c r="AC327" s="1400"/>
      <c r="AD327" s="1400"/>
      <c r="AE327" s="1400"/>
      <c r="AF327" s="1400"/>
      <c r="AG327" s="5" t="s">
        <v>818</v>
      </c>
      <c r="AH327" s="5"/>
      <c r="AI327" s="1389"/>
      <c r="AJ327" s="1389"/>
      <c r="AK327" s="1389"/>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69"/>
      <c r="I330" s="1669"/>
      <c r="J330" s="1669"/>
      <c r="K330" s="1669"/>
      <c r="L330" s="1669"/>
      <c r="M330" s="1669"/>
      <c r="N330" s="1669"/>
      <c r="O330" s="1669"/>
      <c r="P330" s="1669"/>
      <c r="Q330" s="1669"/>
      <c r="R330" s="1669"/>
      <c r="S330" s="41"/>
      <c r="T330" s="41" t="s">
        <v>101</v>
      </c>
      <c r="U330" s="41"/>
      <c r="V330" s="41"/>
      <c r="W330" s="41"/>
      <c r="X330" s="41"/>
      <c r="Y330" s="41"/>
      <c r="Z330" s="12"/>
      <c r="AA330" s="1669"/>
      <c r="AB330" s="1669"/>
      <c r="AC330" s="1669"/>
      <c r="AD330" s="1669"/>
      <c r="AE330" s="1669"/>
      <c r="AF330" s="1669"/>
      <c r="AG330" s="1669"/>
      <c r="AH330" s="1669"/>
      <c r="AI330" s="1669"/>
      <c r="AJ330" s="1669"/>
      <c r="AK330" s="166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8" t="s">
        <v>364</v>
      </c>
      <c r="AF333" s="1718"/>
      <c r="AG333" s="1718"/>
      <c r="AH333" s="1718"/>
      <c r="AI333" s="1718"/>
      <c r="AJ333" s="1718"/>
      <c r="AK333" s="1718"/>
      <c r="AL333" s="3"/>
      <c r="AM333" s="827"/>
      <c r="AN333" s="3"/>
    </row>
    <row r="334" spans="1:76" s="4" customFormat="1" ht="12.75" customHeight="1">
      <c r="A334" s="3"/>
      <c r="B334" s="5"/>
      <c r="C334" s="1709" t="s">
        <v>1838</v>
      </c>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9"/>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O341" s="185"/>
    </row>
    <row r="342" spans="1:76" s="4" customFormat="1" ht="12.75" customHeight="1">
      <c r="A342" s="27"/>
      <c r="B342" s="26"/>
      <c r="C342" s="1709" t="s">
        <v>1839</v>
      </c>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row>
    <row r="343" spans="1:76" s="4" customFormat="1" ht="12.7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row>
    <row r="344" spans="1:76" s="4" customFormat="1" ht="12.75" customHeight="1">
      <c r="A344" s="27"/>
      <c r="B344" s="26"/>
      <c r="C344" s="1709"/>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Q345"/>
    </row>
    <row r="346" spans="1:76" s="4" customFormat="1" ht="12.4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Q346"/>
      <c r="AR346"/>
    </row>
    <row r="347" spans="1:76" s="4" customFormat="1" ht="12.75" customHeight="1">
      <c r="A347" s="27"/>
      <c r="B347" s="26"/>
      <c r="C347" s="1709" t="s">
        <v>2294</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R348"/>
    </row>
    <row r="349" spans="1:76" s="4" customFormat="1" ht="12.7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R349"/>
    </row>
    <row r="350" spans="1:76" s="4" customFormat="1" ht="12.75" customHeight="1">
      <c r="A350" s="27"/>
      <c r="B350" s="26"/>
      <c r="C350" s="1709" t="s">
        <v>1840</v>
      </c>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Q350"/>
      <c r="AR350"/>
    </row>
    <row r="351" spans="1:76" s="4" customFormat="1" ht="12.7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Q351"/>
      <c r="AR351"/>
    </row>
    <row r="352" spans="1:76" s="4" customFormat="1" ht="13.2"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Q352"/>
      <c r="AR352"/>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170"/>
      <c r="AP353" s="170"/>
      <c r="AQ353"/>
    </row>
    <row r="354" spans="1:46" s="4" customFormat="1" ht="11.8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88" t="s">
        <v>900</v>
      </c>
      <c r="AP354" s="71">
        <f>IF(C379="Yes",5,0)</f>
        <v>0</v>
      </c>
      <c r="AS354" s="3" t="s">
        <v>1776</v>
      </c>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88"/>
      <c r="AP355" s="71"/>
      <c r="AS355" s="1687">
        <f>IF(AQ368=0,AQ381,AQ368)</f>
        <v>10</v>
      </c>
      <c r="AT355" s="1687"/>
    </row>
    <row r="356" spans="1:46" s="4" customFormat="1" ht="12.75" customHeight="1">
      <c r="A356" s="27"/>
      <c r="B356" s="26"/>
      <c r="C356" s="1709"/>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688" t="s">
        <v>901</v>
      </c>
      <c r="AP356" s="71">
        <f>IF(C389="Yes",5,0)</f>
        <v>0</v>
      </c>
      <c r="AS356" s="3" t="s">
        <v>1809</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688"/>
      <c r="AP357" s="71"/>
      <c r="AS357" s="1687">
        <f>IF(AND(AQ368&gt;0,AQ381&gt;0),(AQ368+AQ381)/2,0)</f>
        <v>0</v>
      </c>
      <c r="AT357" s="1687"/>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88" t="s">
        <v>907</v>
      </c>
      <c r="AP358" s="71">
        <f>IF(C399="Yes",7,0)</f>
        <v>7</v>
      </c>
    </row>
    <row r="359" spans="1:46" s="4" customFormat="1" ht="12.75" customHeight="1">
      <c r="A359" s="27"/>
      <c r="B359" s="26"/>
      <c r="C359" s="1709" t="s">
        <v>1841</v>
      </c>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IF(C401="Yes",5,0)</f>
        <v>0</v>
      </c>
    </row>
    <row r="360" spans="1:46" s="4" customFormat="1" ht="12.7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88" t="s">
        <v>431</v>
      </c>
      <c r="AP361" s="71">
        <f>IF(C409="Yes",5,0)</f>
        <v>0</v>
      </c>
    </row>
    <row r="362" spans="1:46" s="4" customFormat="1" ht="11.8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281"/>
      <c r="AP362" s="71">
        <f>IF(C411="Yes",3,0)</f>
        <v>3</v>
      </c>
    </row>
    <row r="363" spans="1:46" s="4" customFormat="1" ht="12.45" customHeight="1">
      <c r="A363" s="27"/>
      <c r="B363" s="26"/>
      <c r="C363" s="1709"/>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88" t="s">
        <v>171</v>
      </c>
      <c r="AP364" s="71">
        <f>IF(C414="Yes",5,0)</f>
        <v>0</v>
      </c>
    </row>
    <row r="365" spans="1:46" s="4" customFormat="1" ht="12.75"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88" t="s">
        <v>434</v>
      </c>
      <c r="AP365" s="71">
        <f>IF(C423="Yes",5,0)</f>
        <v>0</v>
      </c>
    </row>
    <row r="366" spans="1:46" s="4" customFormat="1" ht="12.75" customHeight="1">
      <c r="A366" s="27"/>
      <c r="B366" s="26"/>
      <c r="C366" s="1709" t="s">
        <v>1842</v>
      </c>
      <c r="D366" s="1709"/>
      <c r="E366" s="1709"/>
      <c r="F366" s="1709"/>
      <c r="G366" s="1709"/>
      <c r="H366" s="1709"/>
      <c r="I366" s="1709"/>
      <c r="J366" s="1709"/>
      <c r="K366" s="1709"/>
      <c r="L366" s="1709"/>
      <c r="M366" s="1709"/>
      <c r="N366" s="1709"/>
      <c r="O366" s="1709"/>
      <c r="P366" s="1709"/>
      <c r="Q366" s="1709"/>
      <c r="R366" s="1709"/>
      <c r="S366" s="1709"/>
      <c r="T366" s="1709"/>
      <c r="U366" s="1709"/>
      <c r="V366" s="1709"/>
      <c r="W366" s="1709"/>
      <c r="X366" s="1709"/>
      <c r="Y366" s="1709"/>
      <c r="Z366" s="1709"/>
      <c r="AA366" s="1709"/>
      <c r="AB366" s="1709"/>
      <c r="AC366" s="1709"/>
      <c r="AD366" s="1709"/>
      <c r="AE366" s="1709"/>
      <c r="AF366" s="1709"/>
      <c r="AG366" s="1709"/>
      <c r="AH366" s="1709"/>
      <c r="AI366" s="1709"/>
      <c r="AJ366" s="1709"/>
      <c r="AK366" s="27"/>
      <c r="AL366" s="27"/>
      <c r="AM366" s="27"/>
      <c r="AN366" s="281"/>
      <c r="AO366" s="281"/>
      <c r="AP366" s="71">
        <f>IF(C425="Yes",3,0)</f>
        <v>0</v>
      </c>
    </row>
    <row r="367" spans="1:46" s="4" customFormat="1" ht="12.75" customHeight="1">
      <c r="A367" s="27"/>
      <c r="B367" s="26"/>
      <c r="C367" s="1709"/>
      <c r="D367" s="1709"/>
      <c r="E367" s="1709"/>
      <c r="F367" s="1709"/>
      <c r="G367" s="1709"/>
      <c r="H367" s="1709"/>
      <c r="I367" s="1709"/>
      <c r="J367" s="1709"/>
      <c r="K367" s="1709"/>
      <c r="L367" s="1709"/>
      <c r="M367" s="1709"/>
      <c r="N367" s="1709"/>
      <c r="O367" s="1709"/>
      <c r="P367" s="1709"/>
      <c r="Q367" s="1709"/>
      <c r="R367" s="1709"/>
      <c r="S367" s="1709"/>
      <c r="T367" s="1709"/>
      <c r="U367" s="1709"/>
      <c r="V367" s="1709"/>
      <c r="W367" s="1709"/>
      <c r="X367" s="1709"/>
      <c r="Y367" s="1709"/>
      <c r="Z367" s="1709"/>
      <c r="AA367" s="1709"/>
      <c r="AB367" s="1709"/>
      <c r="AC367" s="1709"/>
      <c r="AD367" s="1709"/>
      <c r="AE367" s="1709"/>
      <c r="AF367" s="1709"/>
      <c r="AG367" s="1709"/>
      <c r="AH367" s="1709"/>
      <c r="AI367" s="1709"/>
      <c r="AJ367" s="1709"/>
      <c r="AK367" s="27"/>
      <c r="AL367" s="27"/>
      <c r="AM367" s="27"/>
      <c r="AN367" s="281"/>
      <c r="AO367" s="689"/>
      <c r="AP367" s="55"/>
    </row>
    <row r="368" spans="1:46" s="4" customFormat="1" ht="68.099999999999994" customHeight="1">
      <c r="A368" s="27"/>
      <c r="B368" s="26"/>
      <c r="C368" s="1709"/>
      <c r="D368" s="1709"/>
      <c r="E368" s="1709"/>
      <c r="F368" s="1709"/>
      <c r="G368" s="1709"/>
      <c r="H368" s="1709"/>
      <c r="I368" s="1709"/>
      <c r="J368" s="1709"/>
      <c r="K368" s="1709"/>
      <c r="L368" s="1709"/>
      <c r="M368" s="1709"/>
      <c r="N368" s="1709"/>
      <c r="O368" s="1709"/>
      <c r="P368" s="1709"/>
      <c r="Q368" s="1709"/>
      <c r="R368" s="1709"/>
      <c r="S368" s="1709"/>
      <c r="T368" s="1709"/>
      <c r="U368" s="1709"/>
      <c r="V368" s="1709"/>
      <c r="W368" s="1709"/>
      <c r="X368" s="1709"/>
      <c r="Y368" s="1709"/>
      <c r="Z368" s="1709"/>
      <c r="AA368" s="1709"/>
      <c r="AB368" s="1709"/>
      <c r="AC368" s="1709"/>
      <c r="AD368" s="1709"/>
      <c r="AE368" s="1709"/>
      <c r="AF368" s="1709"/>
      <c r="AG368" s="1709"/>
      <c r="AH368" s="1709"/>
      <c r="AI368" s="1709"/>
      <c r="AJ368" s="1709"/>
      <c r="AK368" s="27"/>
      <c r="AL368" s="27"/>
      <c r="AM368" s="27"/>
      <c r="AN368" s="281"/>
      <c r="AO368" s="690" t="s">
        <v>610</v>
      </c>
      <c r="AP368" s="168">
        <f>SUM(AP354:AP367)</f>
        <v>10</v>
      </c>
      <c r="AQ368" s="1494">
        <f>IF(AP368&gt;0,AP368,0)</f>
        <v>10</v>
      </c>
      <c r="AR368" s="1494"/>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863">
        <f>Application!CQ649-U371</f>
        <v>110</v>
      </c>
      <c r="V370" s="1863"/>
      <c r="W370" s="186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864">
        <f>IF(Application!D214="SRO",Application!CQ628,Application!AG733)</f>
        <v>0</v>
      </c>
      <c r="V371" s="1864"/>
      <c r="W371" s="1864"/>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7" t="s">
        <v>1785</v>
      </c>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2" t="s">
        <v>124</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4">
        <f>IF(AP381&gt;0,AP381,0)</f>
        <v>0</v>
      </c>
      <c r="AR381" s="149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7" t="s">
        <v>1784</v>
      </c>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2" t="s">
        <v>124</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3"/>
      <c r="D391" s="148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7" t="s">
        <v>1948</v>
      </c>
      <c r="G394" s="1707"/>
      <c r="H394" s="1707"/>
      <c r="I394" s="1707"/>
      <c r="J394" s="1707"/>
      <c r="K394" s="1707"/>
      <c r="L394" s="1707"/>
      <c r="M394" s="1707"/>
      <c r="N394" s="1707"/>
      <c r="O394" s="1707"/>
      <c r="P394" s="1707"/>
      <c r="Q394" s="1707"/>
      <c r="R394" s="1707"/>
      <c r="S394" s="1707"/>
      <c r="T394" s="1707"/>
      <c r="U394" s="1707"/>
      <c r="V394" s="1707"/>
      <c r="W394" s="1707"/>
      <c r="X394" s="1707"/>
      <c r="Y394" s="1707"/>
      <c r="Z394" s="1707"/>
      <c r="AA394" s="1707"/>
      <c r="AB394" s="1707"/>
      <c r="AC394" s="1707"/>
      <c r="AD394" s="1707"/>
      <c r="AE394" s="1707"/>
      <c r="AF394" s="170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8"/>
      <c r="G395" s="1708"/>
      <c r="H395" s="1708"/>
      <c r="I395" s="1708"/>
      <c r="J395" s="1708"/>
      <c r="K395" s="1708"/>
      <c r="L395" s="1708"/>
      <c r="M395" s="1708"/>
      <c r="N395" s="1708"/>
      <c r="O395" s="1708"/>
      <c r="P395" s="1708"/>
      <c r="Q395" s="1708"/>
      <c r="R395" s="1708"/>
      <c r="S395" s="1708"/>
      <c r="T395" s="1708"/>
      <c r="U395" s="1708"/>
      <c r="V395" s="1708"/>
      <c r="W395" s="1708"/>
      <c r="X395" s="1708"/>
      <c r="Y395" s="1708"/>
      <c r="Z395" s="1708"/>
      <c r="AA395" s="1708"/>
      <c r="AB395" s="1708"/>
      <c r="AC395" s="1708"/>
      <c r="AD395" s="1708"/>
      <c r="AE395" s="1708"/>
      <c r="AF395" s="170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8"/>
      <c r="G396" s="1708"/>
      <c r="H396" s="1708"/>
      <c r="I396" s="1708"/>
      <c r="J396" s="1708"/>
      <c r="K396" s="1708"/>
      <c r="L396" s="1708"/>
      <c r="M396" s="1708"/>
      <c r="N396" s="1708"/>
      <c r="O396" s="1708"/>
      <c r="P396" s="1708"/>
      <c r="Q396" s="1708"/>
      <c r="R396" s="1708"/>
      <c r="S396" s="1708"/>
      <c r="T396" s="1708"/>
      <c r="U396" s="1708"/>
      <c r="V396" s="1708"/>
      <c r="W396" s="1708"/>
      <c r="X396" s="1708"/>
      <c r="Y396" s="1708"/>
      <c r="Z396" s="1708"/>
      <c r="AA396" s="1708"/>
      <c r="AB396" s="1708"/>
      <c r="AC396" s="1708"/>
      <c r="AD396" s="1708"/>
      <c r="AE396" s="1708"/>
      <c r="AF396" s="170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8"/>
      <c r="G397" s="1708"/>
      <c r="H397" s="1708"/>
      <c r="I397" s="1708"/>
      <c r="J397" s="1708"/>
      <c r="K397" s="1708"/>
      <c r="L397" s="1708"/>
      <c r="M397" s="1708"/>
      <c r="N397" s="1708"/>
      <c r="O397" s="1708"/>
      <c r="P397" s="1708"/>
      <c r="Q397" s="1708"/>
      <c r="R397" s="1708"/>
      <c r="S397" s="1708"/>
      <c r="T397" s="1708"/>
      <c r="U397" s="1708"/>
      <c r="V397" s="1708"/>
      <c r="W397" s="1708"/>
      <c r="X397" s="1708"/>
      <c r="Y397" s="1708"/>
      <c r="Z397" s="1708"/>
      <c r="AA397" s="1708"/>
      <c r="AB397" s="1708"/>
      <c r="AC397" s="1708"/>
      <c r="AD397" s="1708"/>
      <c r="AE397" s="1708"/>
      <c r="AF397" s="170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8"/>
      <c r="G398" s="1708"/>
      <c r="H398" s="1708"/>
      <c r="I398" s="1708"/>
      <c r="J398" s="1708"/>
      <c r="K398" s="1708"/>
      <c r="L398" s="1708"/>
      <c r="M398" s="1708"/>
      <c r="N398" s="1708"/>
      <c r="O398" s="1708"/>
      <c r="P398" s="1708"/>
      <c r="Q398" s="1708"/>
      <c r="R398" s="1708"/>
      <c r="S398" s="1708"/>
      <c r="T398" s="1708"/>
      <c r="U398" s="1708"/>
      <c r="V398" s="1708"/>
      <c r="W398" s="1708"/>
      <c r="X398" s="1708"/>
      <c r="Y398" s="1708"/>
      <c r="Z398" s="1708"/>
      <c r="AA398" s="1708"/>
      <c r="AB398" s="1708"/>
      <c r="AC398" s="1708"/>
      <c r="AD398" s="1708"/>
      <c r="AE398" s="1708"/>
      <c r="AF398" s="170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2" t="s">
        <v>108</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2" t="s">
        <v>124</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7" t="s">
        <v>1783</v>
      </c>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2"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2" t="s">
        <v>108</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2" t="s">
        <v>124</v>
      </c>
      <c r="D414" s="1098"/>
      <c r="E414" s="698" t="s">
        <v>193</v>
      </c>
      <c r="F414" s="1677" t="s">
        <v>1787</v>
      </c>
      <c r="G414" s="1677"/>
      <c r="H414" s="1677"/>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706" t="s">
        <v>319</v>
      </c>
      <c r="AG415" s="1706"/>
      <c r="AH415" s="1706"/>
      <c r="AI415" s="1706"/>
      <c r="AJ415" s="1706"/>
      <c r="AK415" s="1706"/>
      <c r="AL415" s="171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1"/>
      <c r="G417" s="1671"/>
      <c r="H417" s="1671"/>
      <c r="I417" s="1671"/>
      <c r="J417" s="1671"/>
      <c r="K417" s="1671"/>
      <c r="L417" s="1671"/>
      <c r="M417" s="1671"/>
      <c r="N417" s="1671"/>
      <c r="O417" s="1671"/>
      <c r="P417" s="1671"/>
      <c r="Q417" s="1671"/>
      <c r="R417" s="1671"/>
      <c r="S417" s="1671"/>
      <c r="T417" s="1671"/>
      <c r="U417" s="1671"/>
      <c r="V417" s="1671"/>
      <c r="W417" s="1671"/>
      <c r="X417" s="1671"/>
      <c r="Y417" s="1671"/>
      <c r="Z417" s="1671"/>
      <c r="AA417" s="1671"/>
      <c r="AB417" s="1671"/>
      <c r="AC417" s="1671"/>
      <c r="AD417" s="1671"/>
      <c r="AE417" s="167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7" t="s">
        <v>1789</v>
      </c>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F419" s="718"/>
      <c r="AG419" s="718"/>
      <c r="AH419" s="718"/>
      <c r="AI419" s="718"/>
      <c r="AJ419" s="718"/>
      <c r="AK419" s="718"/>
      <c r="AL419" s="719"/>
      <c r="AM419"/>
    </row>
    <row r="420" spans="1:55">
      <c r="A420" s="5"/>
      <c r="C420" s="704"/>
      <c r="E420" s="194"/>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5"/>
      <c r="AM420"/>
    </row>
    <row r="421" spans="1:55" s="4" customFormat="1" ht="12.75" customHeight="1">
      <c r="A421" s="5"/>
      <c r="B421" s="21"/>
      <c r="C421" s="704"/>
      <c r="D421" s="21"/>
      <c r="E421" s="194"/>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5"/>
      <c r="AM421"/>
      <c r="AN421" s="281"/>
    </row>
    <row r="422" spans="1:55" s="4" customFormat="1" ht="12.75" customHeight="1">
      <c r="A422" s="5"/>
      <c r="B422" s="21"/>
      <c r="C422" s="707"/>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5"/>
      <c r="AM422"/>
      <c r="AN422" s="281"/>
    </row>
    <row r="423" spans="1:55" s="4" customFormat="1" ht="12.75" customHeight="1">
      <c r="A423" s="5"/>
      <c r="B423" s="21"/>
      <c r="C423" s="1682"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13"/>
      <c r="AM423"/>
      <c r="AN423" s="281"/>
    </row>
    <row r="424" spans="1:55" s="4" customFormat="1" ht="12.75" customHeight="1">
      <c r="A424" s="5"/>
      <c r="B424" s="21"/>
      <c r="C424" s="707"/>
      <c r="AL424" s="705"/>
      <c r="AM424"/>
      <c r="AN424" s="281"/>
    </row>
    <row r="425" spans="1:55" s="4" customFormat="1" ht="12.75" customHeight="1">
      <c r="A425" s="5"/>
      <c r="B425" s="21"/>
      <c r="C425" s="1682"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962</v>
      </c>
      <c r="AG425" s="1706"/>
      <c r="AH425" s="1706"/>
      <c r="AI425" s="1706"/>
      <c r="AJ425" s="1706"/>
      <c r="AK425" s="1706"/>
      <c r="AL425" s="171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7" t="s">
        <v>1790</v>
      </c>
      <c r="G429" s="1677"/>
      <c r="H429" s="1677"/>
      <c r="I429" s="1677"/>
      <c r="J429" s="1677"/>
      <c r="K429" s="1677"/>
      <c r="L429" s="1677"/>
      <c r="M429" s="1677"/>
      <c r="N429" s="1677"/>
      <c r="O429" s="1677"/>
      <c r="P429" s="1677"/>
      <c r="Q429" s="1677"/>
      <c r="R429" s="1677"/>
      <c r="S429" s="1677"/>
      <c r="T429" s="1677"/>
      <c r="U429" s="1677"/>
      <c r="V429" s="1677"/>
      <c r="W429" s="1677"/>
      <c r="X429" s="1677"/>
      <c r="Y429" s="1677"/>
      <c r="Z429" s="1677"/>
      <c r="AA429" s="1677"/>
      <c r="AB429" s="1677"/>
      <c r="AC429" s="1677"/>
      <c r="AD429" s="1677"/>
      <c r="AE429" s="1677"/>
      <c r="AF429" s="697"/>
      <c r="AG429" s="697"/>
      <c r="AH429" s="697"/>
      <c r="AI429" s="697"/>
      <c r="AJ429" s="697"/>
      <c r="AK429" s="697"/>
      <c r="AL429" s="721"/>
      <c r="AM429"/>
      <c r="AN429" s="281"/>
    </row>
    <row r="430" spans="1:55" s="4" customFormat="1" ht="12.75" customHeight="1">
      <c r="A430" s="5"/>
      <c r="B430" s="73"/>
      <c r="C430" s="722"/>
      <c r="D430" s="73"/>
      <c r="E430" s="194"/>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5"/>
      <c r="AM430"/>
      <c r="AN430" s="281"/>
    </row>
    <row r="431" spans="1:55" s="4" customFormat="1" ht="12.45" customHeight="1">
      <c r="A431" s="5"/>
      <c r="B431" s="73"/>
      <c r="C431" s="722"/>
      <c r="D431" s="73"/>
      <c r="E431" s="194"/>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5"/>
      <c r="AM431"/>
      <c r="AN431" s="281"/>
    </row>
    <row r="432" spans="1:55" s="4" customFormat="1" ht="12.75" customHeight="1">
      <c r="A432" s="5"/>
      <c r="B432" s="73"/>
      <c r="C432" s="1682" t="s">
        <v>124</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6" t="s">
        <v>319</v>
      </c>
      <c r="AG432" s="1706"/>
      <c r="AH432" s="1706"/>
      <c r="AI432" s="1706"/>
      <c r="AJ432" s="1706"/>
      <c r="AK432" s="1706"/>
      <c r="AL432" s="171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77" t="s">
        <v>1791</v>
      </c>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84"/>
      <c r="AM436"/>
      <c r="AO436" s="4"/>
      <c r="AP436" s="4"/>
    </row>
    <row r="437" spans="1:60" s="4" customFormat="1" ht="12.75" customHeight="1">
      <c r="A437" s="5"/>
      <c r="B437" s="73"/>
      <c r="C437" s="722"/>
      <c r="D437" s="73"/>
      <c r="E437" s="194"/>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84"/>
      <c r="AM437"/>
      <c r="AN437" s="281"/>
    </row>
    <row r="438" spans="1:60" s="4" customFormat="1" ht="12.75" customHeight="1">
      <c r="A438" s="5"/>
      <c r="B438" s="73"/>
      <c r="C438" s="723"/>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84"/>
      <c r="AM439"/>
      <c r="AN439" s="281"/>
    </row>
    <row r="440" spans="1:60" s="4" customFormat="1" ht="12.75" customHeight="1">
      <c r="A440" s="5"/>
      <c r="B440" s="73"/>
      <c r="C440" s="723"/>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8"/>
      <c r="AG440" s="108"/>
      <c r="AH440" s="108"/>
      <c r="AI440" s="108"/>
      <c r="AJ440" s="108"/>
      <c r="AK440" s="108"/>
      <c r="AL440" s="784"/>
      <c r="AM440"/>
      <c r="AN440" s="281"/>
    </row>
    <row r="441" spans="1:60" s="4" customFormat="1" ht="12.75" customHeight="1">
      <c r="A441" s="5"/>
      <c r="B441" s="73"/>
      <c r="C441" s="723"/>
      <c r="D441" s="1"/>
      <c r="E441" s="225"/>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8"/>
      <c r="AG441" s="108"/>
      <c r="AH441" s="108"/>
      <c r="AI441" s="108"/>
      <c r="AJ441" s="108"/>
      <c r="AK441" s="108"/>
      <c r="AL441" s="784"/>
      <c r="AM441"/>
      <c r="AN441" s="281"/>
    </row>
    <row r="442" spans="1:60" s="4" customFormat="1" ht="12.75" customHeight="1">
      <c r="A442" s="5"/>
      <c r="B442" s="73"/>
      <c r="C442" s="723"/>
      <c r="D442" s="1"/>
      <c r="E442" s="225"/>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8"/>
      <c r="AG442" s="108"/>
      <c r="AH442" s="108"/>
      <c r="AI442" s="108"/>
      <c r="AJ442" s="108"/>
      <c r="AK442" s="108"/>
      <c r="AL442" s="784"/>
      <c r="AM442"/>
      <c r="AN442" s="281"/>
    </row>
    <row r="443" spans="1:60" s="4" customFormat="1" ht="17.25" customHeight="1">
      <c r="A443" s="5"/>
      <c r="B443" s="73"/>
      <c r="C443" s="723"/>
      <c r="D443" s="1"/>
      <c r="E443" s="225"/>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5"/>
      <c r="AM443"/>
      <c r="AN443" s="281"/>
    </row>
    <row r="444" spans="1:60" s="4" customFormat="1" ht="12.75" customHeight="1">
      <c r="A444" s="5"/>
      <c r="B444" s="21"/>
      <c r="C444" s="1682" t="s">
        <v>124</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1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7" t="s">
        <v>1794</v>
      </c>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F447" s="697"/>
      <c r="AG447" s="697"/>
      <c r="AH447" s="697"/>
      <c r="AI447" s="697"/>
      <c r="AJ447" s="697"/>
      <c r="AK447" s="697"/>
      <c r="AL447" s="721"/>
      <c r="AM447"/>
      <c r="AN447" s="281"/>
    </row>
    <row r="448" spans="1:60" s="4" customFormat="1" ht="12.75" customHeight="1">
      <c r="A448" s="5"/>
      <c r="B448" s="73"/>
      <c r="C448" s="723"/>
      <c r="D448" s="1"/>
      <c r="E448" s="225"/>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81"/>
      <c r="AM448"/>
      <c r="AN448" s="281"/>
    </row>
    <row r="449" spans="1:49" s="4" customFormat="1" ht="12.75" customHeight="1">
      <c r="A449" s="5"/>
      <c r="B449" s="73"/>
      <c r="C449" s="723"/>
      <c r="D449" s="1"/>
      <c r="E449" s="225"/>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81"/>
      <c r="AM449"/>
      <c r="AN449" s="281"/>
    </row>
    <row r="450" spans="1:49" s="4" customFormat="1" ht="12.75" customHeight="1">
      <c r="A450" s="5"/>
      <c r="B450" s="73"/>
      <c r="C450" s="723"/>
      <c r="D450" s="1"/>
      <c r="E450" s="225"/>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5"/>
      <c r="AM450"/>
      <c r="AN450" s="281"/>
    </row>
    <row r="451" spans="1:49" s="4" customFormat="1" ht="12.75" customHeight="1">
      <c r="A451" s="5"/>
      <c r="B451" s="73"/>
      <c r="C451" s="1682"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1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5" t="s">
        <v>124</v>
      </c>
      <c r="D455" s="1866"/>
      <c r="E455" s="698" t="s">
        <v>967</v>
      </c>
      <c r="F455" s="1677" t="s">
        <v>969</v>
      </c>
      <c r="G455" s="1677"/>
      <c r="H455" s="1677"/>
      <c r="I455" s="1677"/>
      <c r="J455" s="1677"/>
      <c r="K455" s="1677"/>
      <c r="L455" s="1677"/>
      <c r="M455" s="1677"/>
      <c r="N455" s="1677"/>
      <c r="O455" s="1677"/>
      <c r="P455" s="1677"/>
      <c r="Q455" s="1677"/>
      <c r="R455" s="1677"/>
      <c r="S455" s="1677"/>
      <c r="T455" s="1677"/>
      <c r="U455" s="1677"/>
      <c r="V455" s="1677"/>
      <c r="W455" s="1677"/>
      <c r="X455" s="1677"/>
      <c r="Y455" s="1677"/>
      <c r="Z455" s="1677"/>
      <c r="AA455" s="1677"/>
      <c r="AB455" s="1677"/>
      <c r="AC455" s="1677"/>
      <c r="AD455" s="1677"/>
      <c r="AE455" s="1677"/>
      <c r="AF455" s="1716" t="s">
        <v>319</v>
      </c>
      <c r="AG455" s="1716"/>
      <c r="AH455" s="1716"/>
      <c r="AI455" s="1716"/>
      <c r="AJ455" s="1716"/>
      <c r="AK455" s="1716"/>
      <c r="AL455" s="1717"/>
      <c r="AM455"/>
      <c r="AN455" s="674"/>
      <c r="AQ455" s="166"/>
    </row>
    <row r="456" spans="1:49" s="4" customFormat="1" ht="12.75" customHeight="1">
      <c r="A456" s="5"/>
      <c r="B456" s="73"/>
      <c r="C456" s="723"/>
      <c r="D456" s="1"/>
      <c r="E456" s="225"/>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1"/>
      <c r="G457" s="1671"/>
      <c r="H457" s="1671"/>
      <c r="I457" s="1671"/>
      <c r="J457" s="1671"/>
      <c r="K457" s="1671"/>
      <c r="L457" s="1671"/>
      <c r="M457" s="1671"/>
      <c r="N457" s="1671"/>
      <c r="O457" s="1671"/>
      <c r="P457" s="1671"/>
      <c r="Q457" s="1671"/>
      <c r="R457" s="1671"/>
      <c r="S457" s="1671"/>
      <c r="T457" s="1671"/>
      <c r="U457" s="1671"/>
      <c r="V457" s="1671"/>
      <c r="W457" s="1671"/>
      <c r="X457" s="1671"/>
      <c r="Y457" s="1671"/>
      <c r="Z457" s="1671"/>
      <c r="AA457" s="1671"/>
      <c r="AB457" s="1671"/>
      <c r="AC457" s="1671"/>
      <c r="AD457" s="1671"/>
      <c r="AE457" s="167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5" t="s">
        <v>124</v>
      </c>
      <c r="D459" s="1866"/>
      <c r="E459" s="698" t="s">
        <v>968</v>
      </c>
      <c r="F459" s="1677" t="s">
        <v>1831</v>
      </c>
      <c r="G459" s="1677"/>
      <c r="H459" s="1677"/>
      <c r="I459" s="1677"/>
      <c r="J459" s="1677"/>
      <c r="K459" s="1677"/>
      <c r="L459" s="1677"/>
      <c r="M459" s="1677"/>
      <c r="N459" s="1677"/>
      <c r="O459" s="1677"/>
      <c r="P459" s="1677"/>
      <c r="Q459" s="1677"/>
      <c r="R459" s="1677"/>
      <c r="S459" s="1677"/>
      <c r="T459" s="1677"/>
      <c r="U459" s="1677"/>
      <c r="V459" s="1677"/>
      <c r="W459" s="1677"/>
      <c r="X459" s="1677"/>
      <c r="Y459" s="1677"/>
      <c r="Z459" s="1677"/>
      <c r="AA459" s="1677"/>
      <c r="AB459" s="1677"/>
      <c r="AC459" s="1677"/>
      <c r="AD459" s="1677"/>
      <c r="AE459" s="1677"/>
      <c r="AF459" s="1716" t="s">
        <v>319</v>
      </c>
      <c r="AG459" s="1716"/>
      <c r="AH459" s="1716"/>
      <c r="AI459" s="1716"/>
      <c r="AJ459" s="1716"/>
      <c r="AK459" s="1716"/>
      <c r="AL459" s="1717"/>
      <c r="AM459"/>
      <c r="AN459" s="670"/>
      <c r="AO459" s="4" t="s">
        <v>1335</v>
      </c>
      <c r="AP459" s="4">
        <v>5</v>
      </c>
      <c r="AQ459" s="5"/>
    </row>
    <row r="460" spans="1:49" s="4" customFormat="1" ht="12.75" customHeight="1">
      <c r="A460" s="5"/>
      <c r="B460" s="21"/>
      <c r="C460" s="704"/>
      <c r="D460" s="21"/>
      <c r="E460" s="194"/>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5"/>
      <c r="AM460"/>
      <c r="AN460" s="670"/>
      <c r="AO460" s="4" t="s">
        <v>1331</v>
      </c>
      <c r="AP460" s="4">
        <v>5</v>
      </c>
    </row>
    <row r="461" spans="1:49" s="4" customFormat="1" ht="12.75" customHeight="1">
      <c r="A461" s="5"/>
      <c r="B461" s="21"/>
      <c r="C461" s="704"/>
      <c r="D461" s="21"/>
      <c r="E461" s="194"/>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5"/>
      <c r="AM461"/>
      <c r="AN461" s="670"/>
      <c r="AO461" s="4" t="s">
        <v>1332</v>
      </c>
      <c r="AP461" s="4">
        <v>5</v>
      </c>
    </row>
    <row r="462" spans="1:49" s="4" customFormat="1" ht="4.5" customHeight="1">
      <c r="A462" s="5"/>
      <c r="B462" s="73"/>
      <c r="C462" s="700"/>
      <c r="D462" s="701"/>
      <c r="E462" s="702"/>
      <c r="F462" s="1671"/>
      <c r="G462" s="1671"/>
      <c r="H462" s="1671"/>
      <c r="I462" s="1671"/>
      <c r="J462" s="1671"/>
      <c r="K462" s="1671"/>
      <c r="L462" s="1671"/>
      <c r="M462" s="1671"/>
      <c r="N462" s="1671"/>
      <c r="O462" s="1671"/>
      <c r="P462" s="1671"/>
      <c r="Q462" s="1671"/>
      <c r="R462" s="1671"/>
      <c r="S462" s="1671"/>
      <c r="T462" s="1671"/>
      <c r="U462" s="1671"/>
      <c r="V462" s="1671"/>
      <c r="W462" s="1671"/>
      <c r="X462" s="1671"/>
      <c r="Y462" s="1671"/>
      <c r="Z462" s="1671"/>
      <c r="AA462" s="1671"/>
      <c r="AB462" s="1671"/>
      <c r="AC462" s="1671"/>
      <c r="AD462" s="1671"/>
      <c r="AE462" s="167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7" t="s">
        <v>1832</v>
      </c>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5"/>
      <c r="AM465"/>
      <c r="AN465" s="281"/>
      <c r="AS465" s="345"/>
      <c r="AW465" s="345" t="s">
        <v>975</v>
      </c>
      <c r="BA465" s="345" t="s">
        <v>976</v>
      </c>
    </row>
    <row r="466" spans="1:54" s="4" customFormat="1" ht="12.75" customHeight="1">
      <c r="A466" s="5"/>
      <c r="B466" s="21"/>
      <c r="C466" s="707"/>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2"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0" t="s">
        <v>124</v>
      </c>
      <c r="D483" s="1681"/>
      <c r="E483" s="749" t="s">
        <v>195</v>
      </c>
      <c r="F483" s="1714" t="s">
        <v>972</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1334</v>
      </c>
      <c r="AP484" s="4">
        <v>1</v>
      </c>
    </row>
    <row r="485" spans="1:50" s="4" customFormat="1" ht="12.75" hidden="1" customHeight="1">
      <c r="C485" s="727"/>
      <c r="D485" s="714"/>
      <c r="E485" s="728"/>
      <c r="F485" s="1643" t="s">
        <v>124</v>
      </c>
      <c r="G485" s="1643"/>
      <c r="H485" s="1643"/>
      <c r="I485" s="1643"/>
      <c r="J485" s="1643"/>
      <c r="K485" s="1643"/>
      <c r="L485" s="1643"/>
      <c r="M485" s="1643"/>
      <c r="N485" s="1643"/>
      <c r="O485" s="1643"/>
      <c r="P485" s="1643"/>
      <c r="Q485" s="1643"/>
      <c r="R485" s="1643"/>
      <c r="S485" s="1643"/>
      <c r="T485" s="1643"/>
      <c r="U485" s="1643"/>
      <c r="V485" s="1643"/>
      <c r="W485" s="1643"/>
      <c r="X485" s="1643"/>
      <c r="Y485" s="1643"/>
      <c r="Z485" s="164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5" t="s">
        <v>108</v>
      </c>
      <c r="D487" s="1866"/>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4" t="s">
        <v>124</v>
      </c>
      <c r="W490" s="1674"/>
      <c r="X490" s="167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4" t="s">
        <v>124</v>
      </c>
      <c r="W492" s="1674"/>
      <c r="X492" s="167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4" t="s">
        <v>124</v>
      </c>
      <c r="W497" s="1674"/>
      <c r="X497" s="167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4" t="s">
        <v>124</v>
      </c>
      <c r="W501" s="1674"/>
      <c r="X501" s="167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4" t="s">
        <v>124</v>
      </c>
      <c r="W503" s="1674"/>
      <c r="X503" s="167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1" t="s">
        <v>657</v>
      </c>
      <c r="AV504" s="1702"/>
      <c r="AW504" s="1702"/>
      <c r="AX504" s="1702"/>
      <c r="AY504" s="1702"/>
      <c r="AZ504" s="1702"/>
      <c r="BA504" s="1702"/>
      <c r="BB504" s="20"/>
      <c r="BC504" s="20"/>
      <c r="BE504" s="4"/>
      <c r="BF504" s="4"/>
      <c r="BG504" s="4"/>
      <c r="BH504" s="4"/>
      <c r="BI504" s="4"/>
      <c r="BJ504" s="1699" t="s">
        <v>30</v>
      </c>
      <c r="BK504" s="1700"/>
      <c r="BL504" s="1700"/>
      <c r="BM504" s="1700"/>
      <c r="BN504" s="1700"/>
      <c r="BO504" s="1700"/>
      <c r="BP504" s="170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1"/>
      <c r="AV505" s="1702"/>
      <c r="AW505" s="1702"/>
      <c r="AX505" s="1702"/>
      <c r="AY505" s="1702"/>
      <c r="AZ505" s="1702"/>
      <c r="BA505" s="1702"/>
      <c r="BB505" s="20"/>
      <c r="BC505" s="20"/>
      <c r="BE505" s="4"/>
      <c r="BF505" s="4"/>
      <c r="BG505" s="4"/>
      <c r="BH505" s="4"/>
      <c r="BI505" s="4"/>
      <c r="BJ505" s="1699"/>
      <c r="BK505" s="1700"/>
      <c r="BL505" s="1700"/>
      <c r="BM505" s="1700"/>
      <c r="BN505" s="1700"/>
      <c r="BO505" s="1700"/>
      <c r="BP505" s="1700"/>
      <c r="BQ505" s="20"/>
      <c r="BR505" s="4"/>
    </row>
    <row r="506" spans="1:147" customFormat="1" ht="12.75" hidden="1" customHeight="1">
      <c r="A506" s="120"/>
      <c r="B506" s="4"/>
      <c r="C506" s="1680" t="s">
        <v>124</v>
      </c>
      <c r="D506" s="1681"/>
      <c r="E506" s="742" t="s">
        <v>195</v>
      </c>
      <c r="F506" s="1714" t="s">
        <v>972</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504" t="s">
        <v>1498</v>
      </c>
      <c r="AQ507" s="1505"/>
      <c r="AR507" s="1506"/>
      <c r="AS507" s="624">
        <v>80</v>
      </c>
      <c r="AT507" s="4">
        <v>0</v>
      </c>
      <c r="AU507" s="160">
        <v>10</v>
      </c>
      <c r="AV507" s="160">
        <v>25</v>
      </c>
      <c r="AW507" s="160">
        <v>37.5</v>
      </c>
      <c r="AX507" s="160">
        <v>35</v>
      </c>
      <c r="AY507" s="160">
        <v>37.5</v>
      </c>
      <c r="AZ507" s="160">
        <v>50</v>
      </c>
      <c r="BA507" s="160">
        <v>50</v>
      </c>
      <c r="BB507" s="21"/>
      <c r="BC507" s="21"/>
      <c r="BE507" s="1504" t="s">
        <v>1498</v>
      </c>
      <c r="BF507" s="1505"/>
      <c r="BG507" s="150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124</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974</v>
      </c>
      <c r="AI508" s="731"/>
      <c r="AJ508" s="730"/>
      <c r="AK508" s="715"/>
      <c r="AL508" s="4"/>
      <c r="AM508" s="4"/>
      <c r="AN508" s="669"/>
      <c r="AO508" s="38"/>
      <c r="AP508" s="1507"/>
      <c r="AQ508" s="1508"/>
      <c r="AR508" s="1509"/>
      <c r="AS508" s="624">
        <v>75</v>
      </c>
      <c r="AT508" s="4">
        <v>0</v>
      </c>
      <c r="AU508" s="160">
        <v>10</v>
      </c>
      <c r="AV508" s="160">
        <v>25</v>
      </c>
      <c r="AW508" s="160">
        <v>37.5</v>
      </c>
      <c r="AX508" s="160">
        <v>35</v>
      </c>
      <c r="AY508" s="160">
        <v>37.5</v>
      </c>
      <c r="AZ508" s="160">
        <v>50</v>
      </c>
      <c r="BA508" s="160">
        <v>50</v>
      </c>
      <c r="BB508" s="21"/>
      <c r="BC508" s="21"/>
      <c r="BE508" s="1507"/>
      <c r="BF508" s="1508"/>
      <c r="BG508" s="150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7"/>
      <c r="AQ509" s="1508"/>
      <c r="AR509" s="1509"/>
      <c r="AS509" s="624">
        <v>70</v>
      </c>
      <c r="AT509" s="4">
        <v>0</v>
      </c>
      <c r="AU509" s="160">
        <v>10</v>
      </c>
      <c r="AV509" s="160">
        <v>25</v>
      </c>
      <c r="AW509" s="160">
        <v>37.5</v>
      </c>
      <c r="AX509" s="160">
        <v>35</v>
      </c>
      <c r="AY509" s="160">
        <v>37.5</v>
      </c>
      <c r="AZ509" s="160">
        <v>50</v>
      </c>
      <c r="BA509" s="160">
        <v>50</v>
      </c>
      <c r="BB509" s="21"/>
      <c r="BC509" s="21"/>
      <c r="BE509" s="1507"/>
      <c r="BF509" s="1508"/>
      <c r="BG509" s="150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0" t="s">
        <v>124</v>
      </c>
      <c r="D510" s="1681"/>
      <c r="E510" s="742" t="s">
        <v>302</v>
      </c>
      <c r="F510" s="1867" t="s">
        <v>1158</v>
      </c>
      <c r="G510" s="1867"/>
      <c r="H510" s="1867"/>
      <c r="I510" s="1867"/>
      <c r="J510" s="1867"/>
      <c r="K510" s="1867"/>
      <c r="L510" s="1867"/>
      <c r="M510" s="1867"/>
      <c r="N510" s="1867"/>
      <c r="O510" s="1867"/>
      <c r="P510" s="1867"/>
      <c r="Q510" s="1867"/>
      <c r="R510" s="1867"/>
      <c r="S510" s="1867"/>
      <c r="T510" s="1867"/>
      <c r="U510" s="1867"/>
      <c r="V510" s="1867"/>
      <c r="W510" s="1867"/>
      <c r="X510" s="1867"/>
      <c r="Y510" s="1867"/>
      <c r="Z510" s="1867"/>
      <c r="AA510" s="1867"/>
      <c r="AB510" s="1867"/>
      <c r="AC510" s="1867"/>
      <c r="AD510" s="1867"/>
      <c r="AE510" s="1867"/>
      <c r="AF510" s="697"/>
      <c r="AG510" s="734"/>
      <c r="AH510" s="734"/>
      <c r="AI510" s="734"/>
      <c r="AJ510" s="734"/>
      <c r="AK510" s="721"/>
      <c r="AL510" s="4"/>
      <c r="AM510" s="4"/>
      <c r="AN510" s="669"/>
      <c r="AO510" s="38"/>
      <c r="AP510" s="1507"/>
      <c r="AQ510" s="1508"/>
      <c r="AR510" s="1509"/>
      <c r="AS510" s="624">
        <v>65</v>
      </c>
      <c r="AT510" s="4">
        <v>0</v>
      </c>
      <c r="AU510" s="160">
        <v>10</v>
      </c>
      <c r="AV510" s="160">
        <v>25</v>
      </c>
      <c r="AW510" s="160">
        <v>37.5</v>
      </c>
      <c r="AX510" s="160">
        <v>35</v>
      </c>
      <c r="AY510" s="160">
        <v>37.5</v>
      </c>
      <c r="AZ510" s="160">
        <v>50</v>
      </c>
      <c r="BA510" s="160">
        <v>50</v>
      </c>
      <c r="BB510" s="21"/>
      <c r="BC510" s="21"/>
      <c r="BE510" s="1507"/>
      <c r="BF510" s="1508"/>
      <c r="BG510" s="150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c r="AA511" s="1868"/>
      <c r="AB511" s="1868"/>
      <c r="AC511" s="1868"/>
      <c r="AD511" s="1868"/>
      <c r="AE511" s="1868"/>
      <c r="AF511" s="4"/>
      <c r="AG511" s="19"/>
      <c r="AH511" s="19"/>
      <c r="AI511" s="19"/>
      <c r="AJ511" s="19"/>
      <c r="AK511" s="705"/>
      <c r="AL511" s="4"/>
      <c r="AM511" s="4"/>
      <c r="AN511" s="669"/>
      <c r="AO511" s="38"/>
      <c r="AP511" s="1507"/>
      <c r="AQ511" s="1508"/>
      <c r="AR511" s="1509"/>
      <c r="AS511" s="624">
        <v>60</v>
      </c>
      <c r="AT511" s="4">
        <v>0</v>
      </c>
      <c r="AU511" s="160">
        <v>10</v>
      </c>
      <c r="AV511" s="160">
        <v>25</v>
      </c>
      <c r="AW511" s="160">
        <v>37.5</v>
      </c>
      <c r="AX511" s="160">
        <v>35</v>
      </c>
      <c r="AY511" s="160">
        <v>37.5</v>
      </c>
      <c r="AZ511" s="160">
        <v>50</v>
      </c>
      <c r="BA511" s="160">
        <v>50</v>
      </c>
      <c r="BB511" s="21"/>
      <c r="BC511" s="21"/>
      <c r="BE511" s="1507"/>
      <c r="BF511" s="1508"/>
      <c r="BG511" s="150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7"/>
      <c r="AQ512" s="1508"/>
      <c r="AR512" s="1509"/>
      <c r="AS512" s="624">
        <v>55</v>
      </c>
      <c r="AT512" s="4">
        <v>0</v>
      </c>
      <c r="AU512" s="160">
        <v>10</v>
      </c>
      <c r="AV512" s="160">
        <v>25</v>
      </c>
      <c r="AW512" s="160">
        <v>37.5</v>
      </c>
      <c r="AX512" s="160">
        <v>35</v>
      </c>
      <c r="AY512" s="160">
        <v>37.5</v>
      </c>
      <c r="AZ512" s="160">
        <v>50</v>
      </c>
      <c r="BA512" s="160">
        <v>50</v>
      </c>
      <c r="BE512" s="1507"/>
      <c r="BF512" s="1508"/>
      <c r="BG512" s="150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8" t="s">
        <v>124</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7"/>
      <c r="AQ513" s="1508"/>
      <c r="AR513" s="1509"/>
      <c r="AS513" s="159">
        <v>50</v>
      </c>
      <c r="AT513" s="4">
        <v>0</v>
      </c>
      <c r="AU513" s="160">
        <v>10</v>
      </c>
      <c r="AV513" s="160">
        <v>25</v>
      </c>
      <c r="AW513" s="160">
        <v>37.5</v>
      </c>
      <c r="AX513" s="160">
        <v>35</v>
      </c>
      <c r="AY513" s="160">
        <v>37.5</v>
      </c>
      <c r="AZ513" s="160">
        <v>50</v>
      </c>
      <c r="BA513" s="160">
        <v>50</v>
      </c>
      <c r="BE513" s="1507"/>
      <c r="BF513" s="1508"/>
      <c r="BG513" s="150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7"/>
      <c r="AQ514" s="1508"/>
      <c r="AR514" s="1509"/>
      <c r="AS514" s="159">
        <v>45</v>
      </c>
      <c r="AT514" s="4">
        <v>0</v>
      </c>
      <c r="AU514" s="160">
        <v>10</v>
      </c>
      <c r="AV514" s="160">
        <v>22.5</v>
      </c>
      <c r="AW514" s="160">
        <v>33.799999999999997</v>
      </c>
      <c r="AX514" s="160">
        <v>35</v>
      </c>
      <c r="AY514" s="160">
        <v>37.5</v>
      </c>
      <c r="AZ514" s="160">
        <v>50</v>
      </c>
      <c r="BA514" s="160">
        <v>50</v>
      </c>
      <c r="BE514" s="1507"/>
      <c r="BF514" s="1508"/>
      <c r="BG514" s="150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0" t="s">
        <v>124</v>
      </c>
      <c r="D515" s="168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7"/>
      <c r="AQ515" s="1508"/>
      <c r="AR515" s="1509"/>
      <c r="AS515" s="159">
        <v>40</v>
      </c>
      <c r="AT515" s="4">
        <v>0</v>
      </c>
      <c r="AU515" s="160">
        <v>10</v>
      </c>
      <c r="AV515" s="160">
        <v>20</v>
      </c>
      <c r="AW515" s="160">
        <v>30</v>
      </c>
      <c r="AX515" s="160">
        <v>35</v>
      </c>
      <c r="AY515" s="160">
        <v>37.5</v>
      </c>
      <c r="AZ515" s="160">
        <v>50</v>
      </c>
      <c r="BA515" s="160">
        <v>50</v>
      </c>
      <c r="BE515" s="1507"/>
      <c r="BF515" s="1508"/>
      <c r="BG515" s="150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7"/>
      <c r="AQ516" s="1508"/>
      <c r="AR516" s="1509"/>
      <c r="AS516" s="159">
        <v>35</v>
      </c>
      <c r="AT516" s="4">
        <v>0</v>
      </c>
      <c r="AU516" s="160">
        <v>8.8000000000000007</v>
      </c>
      <c r="AV516" s="160">
        <v>17.5</v>
      </c>
      <c r="AW516" s="160">
        <v>26.3</v>
      </c>
      <c r="AX516" s="160">
        <v>35</v>
      </c>
      <c r="AY516" s="160">
        <v>37.5</v>
      </c>
      <c r="AZ516" s="160">
        <v>50</v>
      </c>
      <c r="BA516" s="160">
        <v>50</v>
      </c>
      <c r="BE516" s="1507"/>
      <c r="BF516" s="1508"/>
      <c r="BG516" s="150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2"/>
      <c r="D517" s="1334"/>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7"/>
      <c r="AQ517" s="1508"/>
      <c r="AR517" s="1509"/>
      <c r="AS517" s="159">
        <v>30</v>
      </c>
      <c r="AT517" s="4">
        <v>0</v>
      </c>
      <c r="AU517" s="160">
        <v>7.5</v>
      </c>
      <c r="AV517" s="160">
        <v>15</v>
      </c>
      <c r="AW517" s="160">
        <v>22.5</v>
      </c>
      <c r="AX517" s="160">
        <v>30</v>
      </c>
      <c r="AY517" s="160">
        <v>37.5</v>
      </c>
      <c r="AZ517" s="160">
        <v>45</v>
      </c>
      <c r="BA517" s="160">
        <v>50</v>
      </c>
      <c r="BE517" s="1507"/>
      <c r="BF517" s="1508"/>
      <c r="BG517" s="150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4" t="s">
        <v>124</v>
      </c>
      <c r="H518" s="1684"/>
      <c r="I518" s="1684"/>
      <c r="J518" s="1684"/>
      <c r="K518" s="1684"/>
      <c r="L518" s="1684"/>
      <c r="M518" s="1684"/>
      <c r="N518" s="1684"/>
      <c r="O518" s="1684"/>
      <c r="P518" s="1684"/>
      <c r="Q518" s="1684"/>
      <c r="R518" s="1684"/>
      <c r="S518" s="1684"/>
      <c r="T518" s="1684"/>
      <c r="U518" s="1684"/>
      <c r="V518" s="1684"/>
      <c r="W518" s="1684"/>
      <c r="X518" s="1684"/>
      <c r="Y518" s="1684"/>
      <c r="Z518" s="1684"/>
      <c r="AA518" s="1684"/>
      <c r="AB518" s="1684"/>
      <c r="AC518" s="1684"/>
      <c r="AD518" s="1684"/>
      <c r="AE518" s="1684"/>
      <c r="AF518" s="1684"/>
      <c r="AG518" s="4"/>
      <c r="AH518" s="4"/>
      <c r="AI518" s="4"/>
      <c r="AJ518" s="19"/>
      <c r="AK518" s="705"/>
      <c r="AL518" s="4"/>
      <c r="AM518" s="4"/>
      <c r="AN518" s="669"/>
      <c r="AP518" s="1507"/>
      <c r="AQ518" s="1508"/>
      <c r="AR518" s="1509"/>
      <c r="AS518" s="159">
        <v>25</v>
      </c>
      <c r="AT518" s="4">
        <v>0</v>
      </c>
      <c r="AU518" s="160">
        <v>6.3</v>
      </c>
      <c r="AV518" s="160">
        <v>12.5</v>
      </c>
      <c r="AW518" s="160">
        <v>18.8</v>
      </c>
      <c r="AX518" s="160">
        <v>25</v>
      </c>
      <c r="AY518" s="160">
        <v>31.3</v>
      </c>
      <c r="AZ518" s="160">
        <v>37.5</v>
      </c>
      <c r="BA518" s="160">
        <v>50</v>
      </c>
      <c r="BE518" s="1507"/>
      <c r="BF518" s="1508"/>
      <c r="BG518" s="150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7"/>
      <c r="AQ519" s="1508"/>
      <c r="AR519" s="1509"/>
      <c r="AS519" s="159">
        <v>20</v>
      </c>
      <c r="AT519" s="4">
        <v>0</v>
      </c>
      <c r="AU519" s="160">
        <v>5</v>
      </c>
      <c r="AV519" s="160">
        <v>10</v>
      </c>
      <c r="AW519" s="160">
        <v>15</v>
      </c>
      <c r="AX519" s="160">
        <v>20</v>
      </c>
      <c r="AY519" s="160">
        <v>25</v>
      </c>
      <c r="AZ519" s="160">
        <v>30</v>
      </c>
      <c r="BA519" s="160">
        <v>40</v>
      </c>
      <c r="BE519" s="1507"/>
      <c r="BF519" s="1508"/>
      <c r="BG519" s="150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5" t="s">
        <v>124</v>
      </c>
      <c r="D520" s="16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7"/>
      <c r="AQ520" s="1508"/>
      <c r="AR520" s="1509"/>
      <c r="AS520" s="159">
        <v>15</v>
      </c>
      <c r="AT520" s="4">
        <v>0</v>
      </c>
      <c r="AU520" s="160">
        <v>3.8</v>
      </c>
      <c r="AV520" s="160">
        <v>7.5</v>
      </c>
      <c r="AW520" s="160">
        <v>11.3</v>
      </c>
      <c r="AX520" s="160">
        <v>15</v>
      </c>
      <c r="AY520" s="160">
        <v>18.8</v>
      </c>
      <c r="AZ520" s="160">
        <v>22.5</v>
      </c>
      <c r="BA520" s="160">
        <v>30</v>
      </c>
      <c r="BE520" s="1507"/>
      <c r="BF520" s="1508"/>
      <c r="BG520" s="150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0"/>
      <c r="AQ521" s="1511"/>
      <c r="AR521" s="1512"/>
      <c r="AS521" s="159">
        <v>10</v>
      </c>
      <c r="AT521" s="4">
        <v>0</v>
      </c>
      <c r="AU521" s="160">
        <v>2.5</v>
      </c>
      <c r="AV521" s="160">
        <v>5</v>
      </c>
      <c r="AW521" s="160">
        <v>7.5</v>
      </c>
      <c r="AX521" s="160">
        <v>10</v>
      </c>
      <c r="AY521" s="160">
        <v>12.5</v>
      </c>
      <c r="AZ521" s="160">
        <v>15</v>
      </c>
      <c r="BA521" s="160">
        <v>20</v>
      </c>
      <c r="BE521" s="1510"/>
      <c r="BF521" s="1511"/>
      <c r="BG521" s="151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5" t="s">
        <v>124</v>
      </c>
      <c r="D524" s="1686"/>
      <c r="F524" s="496"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8">
        <f>BJ528</f>
        <v>54</v>
      </c>
      <c r="BE524" s="169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1"/>
      <c r="H525" s="1671"/>
      <c r="I525" s="1671"/>
      <c r="J525" s="1671"/>
      <c r="K525" s="1671"/>
      <c r="L525" s="1671"/>
      <c r="M525" s="1671"/>
      <c r="N525" s="1671"/>
      <c r="O525" s="1671"/>
      <c r="P525" s="1671"/>
      <c r="Q525" s="1671"/>
      <c r="R525" s="1671"/>
      <c r="S525" s="1671"/>
      <c r="T525" s="1671"/>
      <c r="U525" s="1671"/>
      <c r="V525" s="1671"/>
      <c r="W525" s="1671"/>
      <c r="X525" s="1671"/>
      <c r="Y525" s="1671"/>
      <c r="Z525" s="1671"/>
      <c r="AA525" s="1671"/>
      <c r="AB525" s="1671"/>
      <c r="AC525" s="1671"/>
      <c r="AD525" s="1671"/>
      <c r="AE525" s="1671"/>
      <c r="AF525" s="167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8">
        <f>SUM(E581:J589)</f>
        <v>54</v>
      </c>
      <c r="BE525" s="1698"/>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6">
        <v>0</v>
      </c>
      <c r="BK526" s="169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6">
        <f>Application!AG431</f>
        <v>0</v>
      </c>
      <c r="BK527" s="1697"/>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2"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6">
        <f>Application!AG433</f>
        <v>54</v>
      </c>
      <c r="BK528" s="1697"/>
      <c r="BM528" s="1693"/>
      <c r="BN528" s="1695"/>
      <c r="BO528" s="1693"/>
      <c r="BP528" s="1695"/>
      <c r="BQ528" s="1703"/>
      <c r="BR528" s="1705"/>
      <c r="BS528" s="1703"/>
      <c r="BT528" s="1705"/>
      <c r="BU528" s="1693">
        <f>IF(T611&gt;0,1,0)</f>
        <v>1</v>
      </c>
      <c r="BV528" s="1695"/>
      <c r="BW528" s="1693">
        <f>IF(Y611&gt;=0.1,1,0)</f>
        <v>1</v>
      </c>
      <c r="BX528" s="1695"/>
      <c r="BY528" s="1703"/>
      <c r="BZ528" s="1705"/>
      <c r="CA528" s="1703"/>
      <c r="CB528" s="1705"/>
      <c r="CC528" s="1693"/>
      <c r="CD528" s="1695"/>
      <c r="CE528" s="1693"/>
      <c r="CF528" s="1695"/>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3"/>
      <c r="BN529" s="1695"/>
      <c r="BO529" s="1693"/>
      <c r="BP529" s="1695"/>
      <c r="BQ529" s="1703"/>
      <c r="BR529" s="1705"/>
      <c r="BS529" s="1703"/>
      <c r="BT529" s="1705"/>
      <c r="BU529" s="1693"/>
      <c r="BV529" s="1695"/>
      <c r="BW529" s="1693"/>
      <c r="BX529" s="1695"/>
      <c r="BY529" s="1703">
        <f>IF(T612&gt;0,1,0)</f>
        <v>1</v>
      </c>
      <c r="BZ529" s="1705"/>
      <c r="CA529" s="1703">
        <f>IF(Y612&gt;=0.1,1,0)</f>
        <v>1</v>
      </c>
      <c r="CB529" s="1705"/>
      <c r="CC529" s="1693"/>
      <c r="CD529" s="1695"/>
      <c r="CE529" s="1693"/>
      <c r="CF529" s="1695"/>
      <c r="CG529"/>
      <c r="CH529"/>
      <c r="CI529"/>
      <c r="CJ529"/>
      <c r="CW529"/>
    </row>
    <row r="530" spans="1:101" s="4" customFormat="1" ht="12.75" hidden="1" customHeight="1">
      <c r="C530" s="747"/>
      <c r="D530" s="714"/>
      <c r="E530" s="728"/>
      <c r="F530" s="1861"/>
      <c r="G530" s="1861"/>
      <c r="H530" s="1861"/>
      <c r="I530" s="1861"/>
      <c r="J530" s="1861"/>
      <c r="K530" s="1861"/>
      <c r="L530" s="1861"/>
      <c r="M530" s="1861"/>
      <c r="N530" s="1861"/>
      <c r="O530" s="1861"/>
      <c r="P530" s="1861"/>
      <c r="Q530" s="1861"/>
      <c r="R530" s="1861"/>
      <c r="S530" s="1861"/>
      <c r="T530" s="1861"/>
      <c r="U530" s="1861"/>
      <c r="V530" s="1861"/>
      <c r="W530" s="1861"/>
      <c r="X530" s="1861"/>
      <c r="Y530" s="1861"/>
      <c r="Z530" s="1861"/>
      <c r="AA530" s="1861"/>
      <c r="AB530" s="1861"/>
      <c r="AC530" s="1861"/>
      <c r="AD530" s="1861"/>
      <c r="AE530" s="1861"/>
      <c r="AF530" s="1861"/>
      <c r="AG530" s="730"/>
      <c r="AH530" s="730"/>
      <c r="AI530" s="730"/>
      <c r="AJ530" s="730"/>
      <c r="AK530" s="715"/>
      <c r="AN530" s="281"/>
      <c r="BM530" s="1693"/>
      <c r="BN530" s="1695"/>
      <c r="BO530" s="1693"/>
      <c r="BP530" s="1695"/>
      <c r="BQ530" s="1703"/>
      <c r="BR530" s="1705"/>
      <c r="BS530" s="1703"/>
      <c r="BT530" s="1705"/>
      <c r="BU530" s="1693"/>
      <c r="BV530" s="1695"/>
      <c r="BW530" s="1693"/>
      <c r="BX530" s="1695"/>
      <c r="BY530" s="1703"/>
      <c r="BZ530" s="1705"/>
      <c r="CA530" s="1703"/>
      <c r="CB530" s="1705"/>
      <c r="CC530" s="1693">
        <f>IF(T613&gt;0,1,0)</f>
        <v>0</v>
      </c>
      <c r="CD530" s="1695"/>
      <c r="CE530" s="1693">
        <f>IF(Y613&gt;=0.1,1,0)</f>
        <v>0</v>
      </c>
      <c r="CF530" s="169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3">
        <f>SUM(BM526:BN530)</f>
        <v>0</v>
      </c>
      <c r="BN531" s="1695"/>
      <c r="BO531" s="1693">
        <f>SUM(BO526:BP530)</f>
        <v>0</v>
      </c>
      <c r="BP531" s="1695"/>
      <c r="BQ531" s="1693">
        <f>SUM(BQ526:BR530)</f>
        <v>1</v>
      </c>
      <c r="BR531" s="1695"/>
      <c r="BS531" s="1693">
        <f>SUM(BS526:BT530)</f>
        <v>1</v>
      </c>
      <c r="BT531" s="1695"/>
      <c r="BU531" s="1693">
        <f>SUM(BU526:BV530)</f>
        <v>1</v>
      </c>
      <c r="BV531" s="1695"/>
      <c r="BW531" s="1693">
        <f>SUM(BW526:BX530)</f>
        <v>1</v>
      </c>
      <c r="BX531" s="1695"/>
      <c r="BY531" s="1693">
        <f>SUM(BY526:BZ530)</f>
        <v>1</v>
      </c>
      <c r="BZ531" s="1695"/>
      <c r="CA531" s="1693">
        <f>SUM(CA526:CB530)</f>
        <v>1</v>
      </c>
      <c r="CB531" s="1695"/>
      <c r="CC531" s="1693">
        <f>SUM(CC526:CD530)</f>
        <v>0</v>
      </c>
      <c r="CD531" s="1695"/>
      <c r="CE531" s="1693">
        <f>SUM(CE526:CF530)</f>
        <v>0</v>
      </c>
      <c r="CF531" s="169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0" t="s">
        <v>455</v>
      </c>
      <c r="AQ532" s="1711"/>
      <c r="AR532" s="1711"/>
      <c r="AS532" s="1711"/>
      <c r="AT532" s="1712"/>
      <c r="AU532" s="1710" t="s">
        <v>456</v>
      </c>
      <c r="AV532" s="1711"/>
      <c r="AW532" s="1711"/>
      <c r="AX532" s="1711"/>
      <c r="AY532" s="1712"/>
      <c r="BM532" s="1703">
        <f>SUM(BM531:BP531)</f>
        <v>0</v>
      </c>
      <c r="BN532" s="1704"/>
      <c r="BO532" s="1704"/>
      <c r="BP532" s="1705"/>
      <c r="BQ532" s="1703">
        <f>SUM(BQ531:BT531)</f>
        <v>2</v>
      </c>
      <c r="BR532" s="1704"/>
      <c r="BS532" s="1704"/>
      <c r="BT532" s="1705"/>
      <c r="BU532" s="1703">
        <f>SUM(BU531:BX531)</f>
        <v>2</v>
      </c>
      <c r="BV532" s="1704"/>
      <c r="BW532" s="1704"/>
      <c r="BX532" s="1705"/>
      <c r="BY532" s="1703">
        <f>SUM(BY531:CB531)</f>
        <v>2</v>
      </c>
      <c r="BZ532" s="1704"/>
      <c r="CA532" s="1704"/>
      <c r="CB532" s="1705"/>
      <c r="CC532" s="1703">
        <f>SUM(CC531:CF531)</f>
        <v>0</v>
      </c>
      <c r="CD532" s="1704"/>
      <c r="CE532" s="1704"/>
      <c r="CF532" s="170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RANK(T609,$T$609:$X$613,0)+COUNTIF($T$609:$X$613,T609)-1</f>
        <v>5</v>
      </c>
      <c r="AQ533" s="1689"/>
      <c r="AR533" s="1689"/>
      <c r="AS533" s="1689"/>
      <c r="AT533" s="1690"/>
      <c r="AU533" s="1688">
        <f>RANK(Y609,$Y$609:$AC$613,0)+COUNTIF($Y$609:$AC$613,Y609)-1</f>
        <v>5</v>
      </c>
      <c r="AV533" s="1689"/>
      <c r="AW533" s="1689"/>
      <c r="AX533" s="1689"/>
      <c r="AY533" s="1690"/>
      <c r="BM533" s="1703"/>
      <c r="BN533" s="1704"/>
      <c r="BO533" s="1704"/>
      <c r="BP533" s="1705"/>
      <c r="BQ533" s="1703">
        <f>IF(AND(BQ532=2,BM532=1),1,0)</f>
        <v>0</v>
      </c>
      <c r="BR533" s="1704"/>
      <c r="BS533" s="1704"/>
      <c r="BT533" s="1705"/>
      <c r="BU533" s="1703">
        <f>IF(AND(BU532=2,BQ532=1),1,0)</f>
        <v>0</v>
      </c>
      <c r="BV533" s="1704"/>
      <c r="BW533" s="1704"/>
      <c r="BX533" s="1705"/>
      <c r="BY533" s="1703">
        <f>IF(AND(BY532=2,BU532=1),1,0)</f>
        <v>0</v>
      </c>
      <c r="BZ533" s="1704"/>
      <c r="CA533" s="1704"/>
      <c r="CB533" s="1705"/>
      <c r="CC533" s="1703">
        <f>IF(AND(CC532=2,BU532=1),1,0)</f>
        <v>0</v>
      </c>
      <c r="CD533" s="1704"/>
      <c r="CE533" s="1704"/>
      <c r="CF533" s="170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RANK(T610,$T$609:$X$613,0)+COUNTIF($T$609:$X$613,T610)-1</f>
        <v>3</v>
      </c>
      <c r="AQ534" s="1689"/>
      <c r="AR534" s="1689"/>
      <c r="AS534" s="1689"/>
      <c r="AT534" s="1690"/>
      <c r="AU534" s="1688">
        <f>RANK(Y610,$Y$609:$AC$613,0)+COUNTIF($Y$609:$AC$613,Y610)-1</f>
        <v>2</v>
      </c>
      <c r="AV534" s="1689"/>
      <c r="AW534" s="1689"/>
      <c r="AX534" s="1689"/>
      <c r="AY534" s="1690"/>
      <c r="BM534" s="1703"/>
      <c r="BN534" s="1704"/>
      <c r="BO534" s="1704"/>
      <c r="BP534" s="1705"/>
      <c r="BQ534" s="1703"/>
      <c r="BR534" s="1704"/>
      <c r="BS534" s="1704"/>
      <c r="BT534" s="1705"/>
      <c r="BU534" s="1703">
        <f>IF(AND(BU532=2,BM532=1),1,0)</f>
        <v>0</v>
      </c>
      <c r="BV534" s="1704"/>
      <c r="BW534" s="1704"/>
      <c r="BX534" s="1705"/>
      <c r="BY534" s="1703">
        <f>IF(AND(BY532=2,BQ532=1),1,0)</f>
        <v>0</v>
      </c>
      <c r="BZ534" s="1704"/>
      <c r="CA534" s="1704"/>
      <c r="CB534" s="1705"/>
      <c r="CC534" s="1703">
        <f>IF(AND(CC533=2,BY533=1),1,0)</f>
        <v>0</v>
      </c>
      <c r="CD534" s="1704"/>
      <c r="CE534" s="1704"/>
      <c r="CF534" s="170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8">
        <f>RANK(T611,$T$609:$X$613,0)+COUNTIF($T$609:$X$613,T611)-1</f>
        <v>1</v>
      </c>
      <c r="AQ535" s="1689"/>
      <c r="AR535" s="1689"/>
      <c r="AS535" s="1689"/>
      <c r="AT535" s="1690"/>
      <c r="AU535" s="1688">
        <f>RANK(Y611,$Y$609:$AC$613,0)+COUNTIF($Y$609:$AC$613,Y611)-1</f>
        <v>3</v>
      </c>
      <c r="AV535" s="1689"/>
      <c r="AW535" s="1689"/>
      <c r="AX535" s="1689"/>
      <c r="AY535" s="1690"/>
      <c r="BM535" s="1703"/>
      <c r="BN535" s="1704"/>
      <c r="BO535" s="1704"/>
      <c r="BP535" s="1705"/>
      <c r="BQ535" s="1703"/>
      <c r="BR535" s="1704"/>
      <c r="BS535" s="1704"/>
      <c r="BT535" s="1705"/>
      <c r="BU535" s="1703"/>
      <c r="BV535" s="1704"/>
      <c r="BW535" s="1704"/>
      <c r="BX535" s="1705"/>
      <c r="BY535" s="1703">
        <f>IF(AND(BY532=2,BM532=1),1,0)</f>
        <v>0</v>
      </c>
      <c r="BZ535" s="1704"/>
      <c r="CA535" s="1704"/>
      <c r="CB535" s="1705"/>
      <c r="CC535" s="1703">
        <f>IF(AND(CC532=2,BQ532=1),1,0)</f>
        <v>0</v>
      </c>
      <c r="CD535" s="1704"/>
      <c r="CE535" s="1704"/>
      <c r="CF535" s="170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8">
        <f>RANK(T612,$T$609:$X$613,0)+COUNTIF($T$609:$X$613,T612)-1</f>
        <v>3</v>
      </c>
      <c r="AQ536" s="1689"/>
      <c r="AR536" s="1689"/>
      <c r="AS536" s="1689"/>
      <c r="AT536" s="1690"/>
      <c r="AU536" s="1688">
        <f>RANK(Y612,$Y$609:$AC$613,0)+COUNTIF($Y$609:$AC$613,Y612)-1</f>
        <v>1</v>
      </c>
      <c r="AV536" s="1689"/>
      <c r="AW536" s="1689"/>
      <c r="AX536" s="1689"/>
      <c r="AY536" s="1690"/>
      <c r="BM536" s="1703"/>
      <c r="BN536" s="1704"/>
      <c r="BO536" s="1704"/>
      <c r="BP536" s="1705"/>
      <c r="BQ536" s="1703"/>
      <c r="BR536" s="1704"/>
      <c r="BS536" s="1704"/>
      <c r="BT536" s="1705"/>
      <c r="BU536" s="1703"/>
      <c r="BV536" s="1704"/>
      <c r="BW536" s="1704"/>
      <c r="BX536" s="1705"/>
      <c r="BY536" s="1703"/>
      <c r="BZ536" s="1704"/>
      <c r="CA536" s="1704"/>
      <c r="CB536" s="1705"/>
      <c r="CC536" s="1703">
        <f>IF(AND(CC532=2,BM532=1),1,0)</f>
        <v>0</v>
      </c>
      <c r="CD536" s="1704"/>
      <c r="CE536" s="1704"/>
      <c r="CF536" s="170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8">
        <f>RANK(T613,$T$609:$X$613,0)+COUNTIF($T$609:$X$613,T613)-1</f>
        <v>5</v>
      </c>
      <c r="AQ537" s="1689"/>
      <c r="AR537" s="1689"/>
      <c r="AS537" s="1689"/>
      <c r="AT537" s="1690"/>
      <c r="AU537" s="1688">
        <f>RANK(Y613,$Y$609:$AC$613,0)+COUNTIF($Y$609:$AC$613,Y613)-1</f>
        <v>5</v>
      </c>
      <c r="AV537" s="1689"/>
      <c r="AW537" s="1689"/>
      <c r="AX537" s="1689"/>
      <c r="AY537" s="1690"/>
      <c r="BM537" s="1703">
        <f>SUM(BM533:BP536)</f>
        <v>0</v>
      </c>
      <c r="BN537" s="1704"/>
      <c r="BO537" s="1704"/>
      <c r="BP537" s="1705"/>
      <c r="BQ537" s="1703">
        <f>SUM(BQ533:BT536)</f>
        <v>0</v>
      </c>
      <c r="BR537" s="1704"/>
      <c r="BS537" s="1704"/>
      <c r="BT537" s="1705"/>
      <c r="BU537" s="1703">
        <f>SUM(BU533:BX536)</f>
        <v>0</v>
      </c>
      <c r="BV537" s="1704"/>
      <c r="BW537" s="1704"/>
      <c r="BX537" s="1705"/>
      <c r="BY537" s="1703">
        <f>SUM(BY533:CB536)</f>
        <v>0</v>
      </c>
      <c r="BZ537" s="1704"/>
      <c r="CA537" s="1704"/>
      <c r="CB537" s="1705"/>
      <c r="CC537" s="1703">
        <f>SUM(CC533:CF536)</f>
        <v>0</v>
      </c>
      <c r="CD537" s="1704"/>
      <c r="CE537" s="1704"/>
      <c r="CF537" s="1705"/>
      <c r="CG537" s="1703">
        <f>SUM(BM537:CF537)</f>
        <v>0</v>
      </c>
      <c r="CH537" s="1704"/>
      <c r="CI537" s="1704"/>
      <c r="CJ537" s="170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3">
        <f>SUM(O609:S613)</f>
        <v>54</v>
      </c>
      <c r="AZ541" s="1695"/>
      <c r="CG541"/>
      <c r="CH541" s="1825"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3" t="str">
        <f>IF(AY541=BK568,"passed","failed")</f>
        <v>passed</v>
      </c>
      <c r="AT542" s="1694"/>
      <c r="AU542" s="1695"/>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365</v>
      </c>
      <c r="AF543" s="1718"/>
      <c r="AG543" s="1718"/>
      <c r="AH543" s="1718"/>
      <c r="AI543" s="1718"/>
      <c r="AJ543" s="1718"/>
      <c r="AK543" s="171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81"/>
      <c r="BE544" s="1703" t="s">
        <v>223</v>
      </c>
      <c r="BF544" s="1704"/>
      <c r="BG544" s="1704"/>
      <c r="BH544" s="1705"/>
      <c r="BI544" s="1703" t="s">
        <v>716</v>
      </c>
      <c r="BJ544" s="1704"/>
      <c r="BK544" s="1704"/>
      <c r="BL544" s="1705"/>
      <c r="BM544" s="1703" t="s">
        <v>717</v>
      </c>
      <c r="BN544" s="1704"/>
      <c r="BO544" s="1704"/>
      <c r="BP544" s="1705"/>
      <c r="BQ544" s="1703" t="s">
        <v>718</v>
      </c>
      <c r="BR544" s="1704"/>
      <c r="BS544" s="1704"/>
      <c r="BT544" s="1705"/>
      <c r="BU544" s="1703" t="s">
        <v>719</v>
      </c>
      <c r="BV544" s="1704"/>
      <c r="BW544" s="1704"/>
      <c r="BX544" s="1705"/>
      <c r="BY544" s="1703" t="s">
        <v>224</v>
      </c>
      <c r="BZ544" s="1704"/>
      <c r="CA544" s="1704"/>
      <c r="CB544" s="1705"/>
      <c r="CC544"/>
      <c r="CG544"/>
      <c r="CH544" s="1233"/>
      <c r="CI544" s="1234"/>
      <c r="CJ544" s="1234"/>
      <c r="CK544" s="1235"/>
    </row>
    <row r="545" spans="1:89" s="4" customFormat="1" ht="12.75" customHeight="1">
      <c r="A545" s="3"/>
      <c r="B545" s="1668" t="s">
        <v>1719</v>
      </c>
      <c r="C545" s="1668"/>
      <c r="D545" s="1668"/>
      <c r="E545" s="1668"/>
      <c r="F545" s="1668"/>
      <c r="G545" s="1668"/>
      <c r="H545" s="1668"/>
      <c r="I545" s="1668"/>
      <c r="J545" s="1668"/>
      <c r="K545" s="1668"/>
      <c r="L545" s="1668"/>
      <c r="M545" s="1668"/>
      <c r="N545" s="1668"/>
      <c r="O545" s="1668"/>
      <c r="P545" s="1668"/>
      <c r="Q545" s="1668"/>
      <c r="R545" s="1668"/>
      <c r="S545" s="1668"/>
      <c r="T545" s="1668"/>
      <c r="U545" s="1668"/>
      <c r="V545" s="1668"/>
      <c r="W545" s="1668"/>
      <c r="X545" s="1668"/>
      <c r="Y545" s="1668"/>
      <c r="Z545" s="1668"/>
      <c r="AA545" s="1668"/>
      <c r="AB545" s="1668"/>
      <c r="AC545" s="1668"/>
      <c r="AD545" s="1668"/>
      <c r="AE545" s="1668"/>
      <c r="AF545" s="1668"/>
      <c r="AG545" s="1668"/>
      <c r="AK545" s="21"/>
      <c r="AL545" s="21"/>
      <c r="AN545" s="281"/>
      <c r="AP545" s="434" t="s">
        <v>613</v>
      </c>
      <c r="AQ545" s="435"/>
      <c r="AR545" s="435"/>
      <c r="AS545" s="435"/>
      <c r="AT545" s="435"/>
      <c r="AU545" s="435"/>
      <c r="AV545" s="436"/>
      <c r="AW545" s="435"/>
      <c r="AX545" s="435"/>
      <c r="AY545" s="436"/>
      <c r="BE545" s="1693">
        <f>IF(CH546=1,0,1)</f>
        <v>0</v>
      </c>
      <c r="BF545" s="1694"/>
      <c r="BG545" s="1694"/>
      <c r="BH545" s="1695"/>
      <c r="BI545" s="1693"/>
      <c r="BJ545" s="1694"/>
      <c r="BK545" s="1694"/>
      <c r="BL545" s="1695"/>
      <c r="BM545" s="1693"/>
      <c r="BN545" s="1694"/>
      <c r="BO545" s="1694"/>
      <c r="BP545" s="1695"/>
      <c r="BQ545" s="1693"/>
      <c r="BR545" s="1694"/>
      <c r="BS545" s="1694"/>
      <c r="BT545" s="1695"/>
      <c r="BU545" s="1703"/>
      <c r="BV545" s="1704"/>
      <c r="BW545" s="1704"/>
      <c r="BX545" s="1705"/>
      <c r="BY545" s="1703"/>
      <c r="BZ545" s="1704"/>
      <c r="CA545" s="1704"/>
      <c r="CB545" s="1705"/>
      <c r="CC545"/>
      <c r="CG545"/>
      <c r="CH545" s="1236"/>
      <c r="CI545" s="1237"/>
      <c r="CJ545" s="1237"/>
      <c r="CK545" s="1238"/>
    </row>
    <row r="546" spans="1:89" s="4" customFormat="1" ht="12.75" customHeight="1">
      <c r="A546" s="20"/>
      <c r="B546" s="1668"/>
      <c r="C546" s="1668"/>
      <c r="D546" s="1668"/>
      <c r="E546" s="1668"/>
      <c r="F546" s="1668"/>
      <c r="G546" s="1668"/>
      <c r="H546" s="1668"/>
      <c r="I546" s="1668"/>
      <c r="J546" s="1668"/>
      <c r="K546" s="1668"/>
      <c r="L546" s="1668"/>
      <c r="M546" s="1668"/>
      <c r="N546" s="1668"/>
      <c r="O546" s="1668"/>
      <c r="P546" s="1668"/>
      <c r="Q546" s="1668"/>
      <c r="R546" s="1668"/>
      <c r="S546" s="1668"/>
      <c r="T546" s="1668"/>
      <c r="U546" s="1668"/>
      <c r="V546" s="1668"/>
      <c r="W546" s="1668"/>
      <c r="X546" s="1668"/>
      <c r="Y546" s="1668"/>
      <c r="Z546" s="1668"/>
      <c r="AA546" s="1668"/>
      <c r="AB546" s="1668"/>
      <c r="AC546" s="1668"/>
      <c r="AD546" s="1668"/>
      <c r="AE546" s="1668"/>
      <c r="AF546" s="1668"/>
      <c r="AG546" s="1668"/>
      <c r="AK546" s="163"/>
      <c r="AL546" s="163"/>
      <c r="AM546" s="163"/>
      <c r="AN546" s="281"/>
      <c r="AP546" s="437" t="s">
        <v>611</v>
      </c>
      <c r="AQ546" s="438"/>
      <c r="AR546" s="438"/>
      <c r="AS546" s="438"/>
      <c r="AT546" s="438"/>
      <c r="AU546" s="1691">
        <f>ROUNDUP(BK568*0.1,0)</f>
        <v>6</v>
      </c>
      <c r="AV546" s="1692"/>
      <c r="AW546" s="438"/>
      <c r="AX546" s="438">
        <f>AU546-AP548</f>
        <v>-1</v>
      </c>
      <c r="AY546" s="439"/>
      <c r="BE546" s="1693"/>
      <c r="BF546" s="1694"/>
      <c r="BG546" s="1694"/>
      <c r="BH546" s="1695"/>
      <c r="BI546" s="1693">
        <f>IF(AND(CH547=1,BE545=0),0,1)</f>
        <v>0</v>
      </c>
      <c r="BJ546" s="1694"/>
      <c r="BK546" s="1694"/>
      <c r="BL546" s="1695"/>
      <c r="BM546" s="1693"/>
      <c r="BN546" s="1694"/>
      <c r="BO546" s="1694"/>
      <c r="BP546" s="1695"/>
      <c r="BQ546" s="1693"/>
      <c r="BR546" s="1694"/>
      <c r="BS546" s="1694"/>
      <c r="BT546" s="1695"/>
      <c r="BU546" s="1703"/>
      <c r="BV546" s="1704"/>
      <c r="BW546" s="1704"/>
      <c r="BX546" s="1705"/>
      <c r="BY546" s="1703"/>
      <c r="BZ546" s="1704"/>
      <c r="CA546" s="1704"/>
      <c r="CB546" s="1705"/>
      <c r="CC546"/>
      <c r="CG546"/>
      <c r="CH546" s="1703">
        <f>IF(OR(Y609=0,Y609&gt;=0.1),1,0)</f>
        <v>1</v>
      </c>
      <c r="CI546" s="1704"/>
      <c r="CJ546" s="1704"/>
      <c r="CK546" s="1705"/>
    </row>
    <row r="547" spans="1:89" s="4" customFormat="1" ht="12.75" customHeight="1">
      <c r="B547" s="1668"/>
      <c r="C547" s="1668"/>
      <c r="D547" s="1668"/>
      <c r="E547" s="1668"/>
      <c r="F547" s="1668"/>
      <c r="G547" s="1668"/>
      <c r="H547" s="1668"/>
      <c r="I547" s="1668"/>
      <c r="J547" s="1668"/>
      <c r="K547" s="1668"/>
      <c r="L547" s="1668"/>
      <c r="M547" s="1668"/>
      <c r="N547" s="1668"/>
      <c r="O547" s="1668"/>
      <c r="P547" s="1668"/>
      <c r="Q547" s="1668"/>
      <c r="R547" s="1668"/>
      <c r="S547" s="1668"/>
      <c r="T547" s="1668"/>
      <c r="U547" s="1668"/>
      <c r="V547" s="1668"/>
      <c r="W547" s="1668"/>
      <c r="X547" s="1668"/>
      <c r="Y547" s="1668"/>
      <c r="Z547" s="1668"/>
      <c r="AA547" s="1668"/>
      <c r="AB547" s="1668"/>
      <c r="AC547" s="1668"/>
      <c r="AD547" s="1668"/>
      <c r="AE547" s="1668"/>
      <c r="AF547" s="1668"/>
      <c r="AG547" s="1668"/>
      <c r="AH547" s="162"/>
      <c r="AI547" s="162"/>
      <c r="AJ547" s="162"/>
      <c r="AK547" s="163"/>
      <c r="AL547" s="163"/>
      <c r="AM547" s="163"/>
      <c r="AN547" s="281"/>
      <c r="AP547" s="437"/>
      <c r="AQ547" s="438"/>
      <c r="AR547" s="438"/>
      <c r="AS547" s="438"/>
      <c r="AT547" s="438"/>
      <c r="AU547" s="438"/>
      <c r="AV547" s="439"/>
      <c r="AW547" s="438"/>
      <c r="AX547" s="438"/>
      <c r="AY547" s="439"/>
      <c r="BE547" s="1693"/>
      <c r="BF547" s="1694"/>
      <c r="BG547" s="1694"/>
      <c r="BH547" s="1695"/>
      <c r="BI547" s="1693"/>
      <c r="BJ547" s="1694"/>
      <c r="BK547" s="1694"/>
      <c r="BL547" s="1695"/>
      <c r="BM547" s="1693">
        <f>IF(AND(AND(CH548=1,BI546=0,BE545=0)),0,1)</f>
        <v>0</v>
      </c>
      <c r="BN547" s="1694"/>
      <c r="BO547" s="1694"/>
      <c r="BP547" s="1695"/>
      <c r="BQ547" s="1693"/>
      <c r="BR547" s="1694"/>
      <c r="BS547" s="1694"/>
      <c r="BT547" s="1695"/>
      <c r="BU547" s="1703"/>
      <c r="BV547" s="1704"/>
      <c r="BW547" s="1704"/>
      <c r="BX547" s="1705"/>
      <c r="BY547" s="1703"/>
      <c r="BZ547" s="1704"/>
      <c r="CA547" s="1704"/>
      <c r="CB547" s="1705"/>
      <c r="CC547"/>
      <c r="CG547"/>
      <c r="CH547" s="1703">
        <f>IF(OR(Y610=0,Y610&gt;=0.1),1,0)</f>
        <v>1</v>
      </c>
      <c r="CI547" s="1704"/>
      <c r="CJ547" s="1704"/>
      <c r="CK547" s="1705"/>
    </row>
    <row r="548" spans="1:89" s="4" customFormat="1" ht="12.75" customHeight="1">
      <c r="B548" s="1668"/>
      <c r="C548" s="1668"/>
      <c r="D548" s="1668"/>
      <c r="E548" s="1668"/>
      <c r="F548" s="1668"/>
      <c r="G548" s="1668"/>
      <c r="H548" s="1668"/>
      <c r="I548" s="1668"/>
      <c r="J548" s="1668"/>
      <c r="K548" s="1668"/>
      <c r="L548" s="1668"/>
      <c r="M548" s="1668"/>
      <c r="N548" s="1668"/>
      <c r="O548" s="1668"/>
      <c r="P548" s="1668"/>
      <c r="Q548" s="1668"/>
      <c r="R548" s="1668"/>
      <c r="S548" s="1668"/>
      <c r="T548" s="1668"/>
      <c r="U548" s="1668"/>
      <c r="V548" s="1668"/>
      <c r="W548" s="1668"/>
      <c r="X548" s="1668"/>
      <c r="Y548" s="1668"/>
      <c r="Z548" s="1668"/>
      <c r="AA548" s="1668"/>
      <c r="AB548" s="1668"/>
      <c r="AC548" s="1668"/>
      <c r="AD548" s="1668"/>
      <c r="AE548" s="1668"/>
      <c r="AF548" s="1668"/>
      <c r="AG548" s="1668"/>
      <c r="AH548" s="162"/>
      <c r="AI548" s="162"/>
      <c r="AJ548" s="162"/>
      <c r="AK548" s="163"/>
      <c r="AL548" s="163"/>
      <c r="AM548" s="163"/>
      <c r="AN548" s="281"/>
      <c r="AP548" s="1733">
        <f>SUM(T609:X613)</f>
        <v>7</v>
      </c>
      <c r="AQ548" s="1734"/>
      <c r="AR548" s="1734"/>
      <c r="AS548" s="1734"/>
      <c r="AT548" s="1735"/>
      <c r="AU548" s="438"/>
      <c r="AV548" s="439"/>
      <c r="AW548" s="438"/>
      <c r="AX548" s="438"/>
      <c r="AY548" s="439"/>
      <c r="BE548" s="1693"/>
      <c r="BF548" s="1694"/>
      <c r="BG548" s="1694"/>
      <c r="BH548" s="1695"/>
      <c r="BI548" s="1693"/>
      <c r="BJ548" s="1694"/>
      <c r="BK548" s="1694"/>
      <c r="BL548" s="1695"/>
      <c r="BM548" s="1693"/>
      <c r="BN548" s="1694"/>
      <c r="BO548" s="1694"/>
      <c r="BP548" s="1695"/>
      <c r="BQ548" s="1693">
        <f>IF(AND(AND(AND(CH549=1,BM547=0,BI546=0,BE545=0))),0,1)</f>
        <v>0</v>
      </c>
      <c r="BR548" s="1694"/>
      <c r="BS548" s="1694"/>
      <c r="BT548" s="1695"/>
      <c r="BU548" s="1703"/>
      <c r="BV548" s="1704"/>
      <c r="BW548" s="1704"/>
      <c r="BX548" s="1705"/>
      <c r="BY548" s="1703"/>
      <c r="BZ548" s="1704"/>
      <c r="CA548" s="1704"/>
      <c r="CB548" s="1705"/>
      <c r="CC548"/>
      <c r="CG548"/>
      <c r="CH548" s="1703">
        <f>IF(OR(Y611=0,Y611&gt;=0.1),1,0)</f>
        <v>1</v>
      </c>
      <c r="CI548" s="1704"/>
      <c r="CJ548" s="1704"/>
      <c r="CK548" s="1705"/>
    </row>
    <row r="549" spans="1:89" s="4" customFormat="1" ht="12.75" customHeight="1">
      <c r="B549" s="1668"/>
      <c r="C549" s="1668"/>
      <c r="D549" s="1668"/>
      <c r="E549" s="1668"/>
      <c r="F549" s="1668"/>
      <c r="G549" s="1668"/>
      <c r="H549" s="1668"/>
      <c r="I549" s="1668"/>
      <c r="J549" s="1668"/>
      <c r="K549" s="1668"/>
      <c r="L549" s="1668"/>
      <c r="M549" s="1668"/>
      <c r="N549" s="1668"/>
      <c r="O549" s="1668"/>
      <c r="P549" s="1668"/>
      <c r="Q549" s="1668"/>
      <c r="R549" s="1668"/>
      <c r="S549" s="1668"/>
      <c r="T549" s="1668"/>
      <c r="U549" s="1668"/>
      <c r="V549" s="1668"/>
      <c r="W549" s="1668"/>
      <c r="X549" s="1668"/>
      <c r="Y549" s="1668"/>
      <c r="Z549" s="1668"/>
      <c r="AA549" s="1668"/>
      <c r="AB549" s="1668"/>
      <c r="AC549" s="1668"/>
      <c r="AD549" s="1668"/>
      <c r="AE549" s="1668"/>
      <c r="AF549" s="1668"/>
      <c r="AG549" s="1668"/>
      <c r="AH549" s="162"/>
      <c r="AI549" s="162"/>
      <c r="AJ549" s="162"/>
      <c r="AK549" s="163"/>
      <c r="AL549" s="163"/>
      <c r="AM549" s="163"/>
      <c r="AN549" s="281"/>
      <c r="AP549" s="440"/>
      <c r="AQ549" s="441"/>
      <c r="AR549" s="441"/>
      <c r="AS549" s="441"/>
      <c r="AT549" s="442" t="s">
        <v>606</v>
      </c>
      <c r="AU549" s="1691" t="str">
        <f>IF(AP548&gt;=AU546,"passed","failed")</f>
        <v>passed</v>
      </c>
      <c r="AV549" s="1836"/>
      <c r="AW549" s="1692"/>
      <c r="AX549" s="443"/>
      <c r="AY549" s="444"/>
      <c r="BE549" s="1693"/>
      <c r="BF549" s="1694"/>
      <c r="BG549" s="1694"/>
      <c r="BH549" s="1695"/>
      <c r="BI549" s="1693"/>
      <c r="BJ549" s="1694"/>
      <c r="BK549" s="1694"/>
      <c r="BL549" s="1695"/>
      <c r="BM549" s="1693"/>
      <c r="BN549" s="1694"/>
      <c r="BO549" s="1694"/>
      <c r="BP549" s="1695"/>
      <c r="BQ549" s="1693"/>
      <c r="BR549" s="1694"/>
      <c r="BS549" s="1694"/>
      <c r="BT549" s="1695"/>
      <c r="BU549" s="1693">
        <f>IF(AND(AND(AND(AND(CH550=1,BQ548=0,BM547=0,BI546=0,BE545=0)))),0,1)</f>
        <v>0</v>
      </c>
      <c r="BV549" s="1694"/>
      <c r="BW549" s="1694"/>
      <c r="BX549" s="1695"/>
      <c r="BY549" s="1703"/>
      <c r="BZ549" s="1704"/>
      <c r="CA549" s="1704"/>
      <c r="CB549" s="1705"/>
      <c r="CC549"/>
      <c r="CD549"/>
      <c r="CE549"/>
      <c r="CF549"/>
      <c r="CG549"/>
      <c r="CH549" s="1703">
        <f>IF(OR(Y612=0,Y612&gt;=0.1),1,0)</f>
        <v>1</v>
      </c>
      <c r="CI549" s="1704"/>
      <c r="CJ549" s="1704"/>
      <c r="CK549" s="1705"/>
    </row>
    <row r="550" spans="1:89" s="4" customFormat="1" ht="13.65" customHeight="1">
      <c r="B550" s="1668"/>
      <c r="C550" s="1668"/>
      <c r="D550" s="1668"/>
      <c r="E550" s="1668"/>
      <c r="F550" s="1668"/>
      <c r="G550" s="1668"/>
      <c r="H550" s="1668"/>
      <c r="I550" s="1668"/>
      <c r="J550" s="1668"/>
      <c r="K550" s="1668"/>
      <c r="L550" s="1668"/>
      <c r="M550" s="1668"/>
      <c r="N550" s="1668"/>
      <c r="O550" s="1668"/>
      <c r="P550" s="1668"/>
      <c r="Q550" s="1668"/>
      <c r="R550" s="1668"/>
      <c r="S550" s="1668"/>
      <c r="T550" s="1668"/>
      <c r="U550" s="1668"/>
      <c r="V550" s="1668"/>
      <c r="W550" s="1668"/>
      <c r="X550" s="1668"/>
      <c r="Y550" s="1668"/>
      <c r="Z550" s="1668"/>
      <c r="AA550" s="1668"/>
      <c r="AB550" s="1668"/>
      <c r="AC550" s="1668"/>
      <c r="AD550" s="1668"/>
      <c r="AE550" s="1668"/>
      <c r="AF550" s="1668"/>
      <c r="AG550" s="1668"/>
      <c r="AH550" s="162"/>
      <c r="AI550" s="162"/>
      <c r="AJ550" s="162"/>
      <c r="AK550" s="163"/>
      <c r="AL550" s="163"/>
      <c r="AM550" s="163"/>
      <c r="AN550" s="281"/>
      <c r="BE550" s="1693">
        <f>SUM(BE545:BH549)</f>
        <v>0</v>
      </c>
      <c r="BF550" s="1694"/>
      <c r="BG550" s="1694"/>
      <c r="BH550" s="1695"/>
      <c r="BI550" s="1693">
        <f>SUM(BI545:BL549)</f>
        <v>0</v>
      </c>
      <c r="BJ550" s="1694"/>
      <c r="BK550" s="1694"/>
      <c r="BL550" s="1695"/>
      <c r="BM550" s="1693">
        <f>SUM(BM545:BP549)</f>
        <v>0</v>
      </c>
      <c r="BN550" s="1694"/>
      <c r="BO550" s="1694"/>
      <c r="BP550" s="1695"/>
      <c r="BQ550" s="1693">
        <f>SUM(BQ545:BT549)</f>
        <v>0</v>
      </c>
      <c r="BR550" s="1694"/>
      <c r="BS550" s="1694"/>
      <c r="BT550" s="1695"/>
      <c r="BU550" s="1693">
        <f>SUM(BU545:BX549)</f>
        <v>0</v>
      </c>
      <c r="BV550" s="1694"/>
      <c r="BW550" s="1694"/>
      <c r="BX550" s="1695"/>
      <c r="BY550" s="1693">
        <f>SUM(BY545:CB549)</f>
        <v>0</v>
      </c>
      <c r="BZ550" s="1694"/>
      <c r="CA550" s="1694"/>
      <c r="CB550" s="1695"/>
      <c r="CC550" s="1703">
        <f>IF(AND(CH546=1,T609&gt;0),0,SUM(BE550:CB550))</f>
        <v>0</v>
      </c>
      <c r="CD550" s="1704"/>
      <c r="CE550" s="1704"/>
      <c r="CF550" s="1705"/>
      <c r="CG550"/>
      <c r="CH550" s="1703">
        <f>IF(OR(Y613=0,Y613&gt;=0.1),1,0)</f>
        <v>1</v>
      </c>
      <c r="CI550" s="1704"/>
      <c r="CJ550" s="1704"/>
      <c r="CK550" s="1705"/>
    </row>
    <row r="551" spans="1:89" s="4" customFormat="1" ht="12.45" customHeight="1">
      <c r="B551" s="1840" t="s">
        <v>1499</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0" t="s">
        <v>1761</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606</v>
      </c>
      <c r="AU554" s="151"/>
      <c r="AV554" s="1693" t="str">
        <f>IF(BJ590&gt;0,"failed","passed")</f>
        <v>failed</v>
      </c>
      <c r="AW554" s="1694"/>
      <c r="AX554" s="1694"/>
      <c r="AY554" s="1695"/>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0" t="s">
        <v>1500</v>
      </c>
      <c r="R557" s="1870"/>
      <c r="S557" s="1870"/>
      <c r="T557" s="1870"/>
      <c r="U557" s="1870"/>
      <c r="V557" s="1870"/>
      <c r="W557" s="1870"/>
      <c r="X557" s="1870"/>
      <c r="Y557" s="1870"/>
      <c r="Z557" s="1870"/>
      <c r="AA557" s="1870"/>
      <c r="AB557" s="1870"/>
      <c r="AC557" s="1870"/>
      <c r="AD557" s="1870"/>
      <c r="AE557" s="1870"/>
      <c r="AF557" s="1870"/>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0"/>
      <c r="R558" s="1870"/>
      <c r="S558" s="1870"/>
      <c r="T558" s="1870"/>
      <c r="U558" s="1870"/>
      <c r="V558" s="1870"/>
      <c r="W558" s="1870"/>
      <c r="X558" s="1870"/>
      <c r="Y558" s="1870"/>
      <c r="Z558" s="1870"/>
      <c r="AA558" s="1870"/>
      <c r="AB558" s="1870"/>
      <c r="AC558" s="1870"/>
      <c r="AD558" s="1870"/>
      <c r="AE558" s="1870"/>
      <c r="AF558" s="1870"/>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1760</v>
      </c>
      <c r="R559" s="1679"/>
      <c r="S559" s="1751" t="s">
        <v>204</v>
      </c>
      <c r="T559" s="1751"/>
      <c r="U559" s="1678">
        <v>0.5</v>
      </c>
      <c r="V559" s="1679"/>
      <c r="W559" s="1678">
        <v>0.45</v>
      </c>
      <c r="X559" s="1679"/>
      <c r="Y559" s="1678">
        <v>0.4</v>
      </c>
      <c r="Z559" s="1679"/>
      <c r="AA559" s="1678">
        <v>0.35</v>
      </c>
      <c r="AB559" s="1679"/>
      <c r="AC559" s="1834">
        <v>0.3</v>
      </c>
      <c r="AD559" s="1835"/>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5"/>
      <c r="P560" s="1676"/>
      <c r="Q560" s="1875"/>
      <c r="R560" s="1841"/>
      <c r="S560" s="1849"/>
      <c r="T560" s="1849"/>
      <c r="U560" s="1841"/>
      <c r="V560" s="1841"/>
      <c r="W560" s="1841"/>
      <c r="X560" s="1841"/>
      <c r="Y560" s="1841"/>
      <c r="Z560" s="1841"/>
      <c r="AA560" s="1844"/>
      <c r="AB560" s="1844"/>
      <c r="AC560" s="1841"/>
      <c r="AD560" s="1841"/>
      <c r="AE560" s="1832"/>
      <c r="AF560" s="1833"/>
      <c r="AN560" s="281"/>
      <c r="AP560" s="144" t="s">
        <v>713</v>
      </c>
      <c r="AQ560" s="9"/>
      <c r="AR560" s="9"/>
      <c r="AS560" s="9"/>
      <c r="AT560" s="1703" t="str">
        <f>IF(OR(AV554="passed",BD558="passed"),"passed","failed")</f>
        <v>passed</v>
      </c>
      <c r="AU560" s="1704"/>
      <c r="AV560" s="1704"/>
      <c r="AW560" s="1704"/>
      <c r="AX560" s="1705"/>
    </row>
    <row r="561" spans="1:96" s="4" customFormat="1" ht="12.75" customHeight="1">
      <c r="B561" s="63"/>
      <c r="I561" s="220"/>
      <c r="J561" s="162"/>
      <c r="N561" s="5"/>
      <c r="O561" s="1675"/>
      <c r="P561" s="1676"/>
      <c r="Q561" s="1848"/>
      <c r="R561" s="1683"/>
      <c r="S561" s="1683"/>
      <c r="T561" s="1683"/>
      <c r="U561" s="1683"/>
      <c r="V561" s="1683"/>
      <c r="W561" s="1683"/>
      <c r="X561" s="1683"/>
      <c r="Y561" s="1649"/>
      <c r="Z561" s="1649"/>
      <c r="AA561" s="1683"/>
      <c r="AB561" s="1683"/>
      <c r="AC561" s="1649"/>
      <c r="AD561" s="1649"/>
      <c r="AE561" s="1726"/>
      <c r="AF561" s="1727"/>
      <c r="AN561" s="281"/>
      <c r="AP561"/>
      <c r="AQ561"/>
      <c r="AR561"/>
      <c r="AS561"/>
      <c r="AT561"/>
      <c r="AU561"/>
      <c r="AV561"/>
      <c r="AW561"/>
      <c r="AX561"/>
      <c r="AY561"/>
    </row>
    <row r="562" spans="1:96" s="4" customFormat="1" ht="12.75" customHeight="1">
      <c r="B562" s="63"/>
      <c r="I562" s="220"/>
      <c r="J562" s="162"/>
      <c r="N562" s="5"/>
      <c r="O562" s="1675"/>
      <c r="P562" s="1676"/>
      <c r="Q562" s="1848"/>
      <c r="R562" s="1683"/>
      <c r="S562" s="1683"/>
      <c r="T562" s="1683"/>
      <c r="U562" s="1683"/>
      <c r="V562" s="1683"/>
      <c r="W562" s="1683"/>
      <c r="X562" s="1683"/>
      <c r="Y562" s="1683"/>
      <c r="Z562" s="1683"/>
      <c r="AA562" s="1649"/>
      <c r="AB562" s="1649"/>
      <c r="AC562" s="1683"/>
      <c r="AD562" s="1683"/>
      <c r="AE562" s="1728"/>
      <c r="AF562" s="1729"/>
      <c r="AN562" s="281"/>
      <c r="AP562" s="153" t="s">
        <v>607</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5"/>
      <c r="P563" s="1676"/>
      <c r="Q563" s="1848"/>
      <c r="R563" s="1683"/>
      <c r="S563" s="1683"/>
      <c r="T563" s="1683"/>
      <c r="U563" s="1683"/>
      <c r="V563" s="1683"/>
      <c r="W563" s="1683"/>
      <c r="X563" s="1683"/>
      <c r="Y563" s="1649"/>
      <c r="Z563" s="1649"/>
      <c r="AA563" s="1683"/>
      <c r="AB563" s="1683"/>
      <c r="AC563" s="1649"/>
      <c r="AD563" s="1649"/>
      <c r="AE563" s="1726"/>
      <c r="AF563" s="1727"/>
      <c r="AN563" s="281"/>
    </row>
    <row r="564" spans="1:96" s="4" customFormat="1" ht="12.75" customHeight="1">
      <c r="B564" s="63"/>
      <c r="I564" s="220"/>
      <c r="J564" s="162"/>
      <c r="N564" s="5"/>
      <c r="O564" s="1675"/>
      <c r="P564" s="1676"/>
      <c r="Q564" s="1848"/>
      <c r="R564" s="1683"/>
      <c r="S564" s="1683"/>
      <c r="T564" s="1683"/>
      <c r="U564" s="1683"/>
      <c r="V564" s="1683"/>
      <c r="W564" s="1649"/>
      <c r="X564" s="1649"/>
      <c r="Y564" s="1683"/>
      <c r="Z564" s="1683"/>
      <c r="AA564" s="1649"/>
      <c r="AB564" s="1649"/>
      <c r="AC564" s="1683"/>
      <c r="AD564" s="1683"/>
      <c r="AE564" s="1728"/>
      <c r="AF564" s="1729"/>
      <c r="AN564" s="281"/>
    </row>
    <row r="565" spans="1:96" s="4" customFormat="1" ht="12.75" customHeight="1">
      <c r="B565" s="63"/>
      <c r="I565" s="220"/>
      <c r="J565" s="162"/>
      <c r="N565" s="5"/>
      <c r="O565" s="1675"/>
      <c r="P565" s="1676"/>
      <c r="Q565" s="1848"/>
      <c r="R565" s="1683"/>
      <c r="S565" s="1683"/>
      <c r="T565" s="1683"/>
      <c r="U565" s="1683"/>
      <c r="V565" s="1683"/>
      <c r="W565" s="1683"/>
      <c r="X565" s="1683"/>
      <c r="Y565" s="1649"/>
      <c r="Z565" s="1649"/>
      <c r="AA565" s="1683"/>
      <c r="AB565" s="1683"/>
      <c r="AC565" s="1649"/>
      <c r="AD565" s="1649"/>
      <c r="AE565" s="1726"/>
      <c r="AF565" s="1727"/>
      <c r="AN565" s="281"/>
      <c r="AU565" s="21"/>
      <c r="AV565" s="21"/>
      <c r="AW565" s="8"/>
      <c r="AX565" s="9"/>
      <c r="AY565" s="9"/>
      <c r="AZ565" s="60" t="s">
        <v>1126</v>
      </c>
      <c r="BA565" s="1817" t="s">
        <v>714</v>
      </c>
      <c r="BB565" s="1818"/>
      <c r="BC565" s="1818"/>
      <c r="BD565" s="1818"/>
      <c r="BE565" s="1819"/>
      <c r="BF565" s="1845">
        <f>SUM(O609:S613)</f>
        <v>54</v>
      </c>
      <c r="BG565" s="1846"/>
      <c r="BH565" s="1846"/>
      <c r="BI565" s="1846"/>
      <c r="BJ565" s="1847"/>
      <c r="BK565" s="1653">
        <f>SUM(T609:X613)</f>
        <v>7</v>
      </c>
      <c r="BL565" s="1654"/>
      <c r="BM565" s="1654"/>
      <c r="BN565" s="1654"/>
      <c r="BO565" s="1655"/>
    </row>
    <row r="566" spans="1:96" s="4" customFormat="1" ht="12.75" customHeight="1">
      <c r="B566" s="35"/>
      <c r="I566" s="1507" t="s">
        <v>1498</v>
      </c>
      <c r="J566" s="1508"/>
      <c r="K566" s="1508"/>
      <c r="L566" s="1508"/>
      <c r="M566" s="1508"/>
      <c r="N566" s="1509"/>
      <c r="O566" s="1675">
        <v>0.5</v>
      </c>
      <c r="P566" s="1676"/>
      <c r="Q566" s="1888"/>
      <c r="R566" s="1725"/>
      <c r="S566" s="1683"/>
      <c r="T566" s="1683"/>
      <c r="U566" s="1869" t="s">
        <v>1502</v>
      </c>
      <c r="V566" s="1869"/>
      <c r="W566" s="1862">
        <v>37.5</v>
      </c>
      <c r="X566" s="1862"/>
      <c r="Y566" s="1725"/>
      <c r="Z566" s="1725"/>
      <c r="AA566" s="1862"/>
      <c r="AB566" s="1862"/>
      <c r="AC566" s="1725"/>
      <c r="AD566" s="1725"/>
      <c r="AE566" s="1842"/>
      <c r="AF566" s="1843"/>
      <c r="AN566" s="281"/>
      <c r="CL566"/>
      <c r="CM566"/>
    </row>
    <row r="567" spans="1:96" s="4" customFormat="1" ht="12.75" customHeight="1">
      <c r="B567" s="120"/>
      <c r="C567" s="61"/>
      <c r="I567" s="1507"/>
      <c r="J567" s="1508"/>
      <c r="K567" s="1508"/>
      <c r="L567" s="1508"/>
      <c r="M567" s="1508"/>
      <c r="N567" s="1509"/>
      <c r="O567" s="1675">
        <v>0.45</v>
      </c>
      <c r="P567" s="1676"/>
      <c r="Q567" s="1848"/>
      <c r="R567" s="1683"/>
      <c r="S567" s="1683"/>
      <c r="T567" s="1683"/>
      <c r="U567" s="1648" t="s">
        <v>130</v>
      </c>
      <c r="V567" s="1648"/>
      <c r="W567" s="1649">
        <v>33.799999999999997</v>
      </c>
      <c r="X567" s="1649"/>
      <c r="Y567" s="1649"/>
      <c r="Z567" s="1649"/>
      <c r="AA567" s="1683"/>
      <c r="AB567" s="1683"/>
      <c r="AC567" s="1649"/>
      <c r="AD567" s="1649"/>
      <c r="AE567" s="1726"/>
      <c r="AF567" s="1727"/>
      <c r="AN567" s="281"/>
      <c r="CL567"/>
      <c r="CM567"/>
    </row>
    <row r="568" spans="1:96" s="4" customFormat="1" ht="12.75" customHeight="1">
      <c r="B568" s="5"/>
      <c r="C568" s="5"/>
      <c r="D568" s="5"/>
      <c r="E568" s="5"/>
      <c r="I568" s="1507"/>
      <c r="J568" s="1508"/>
      <c r="K568" s="1508"/>
      <c r="L568" s="1508"/>
      <c r="M568" s="1508"/>
      <c r="N568" s="1509"/>
      <c r="O568" s="1675">
        <v>0.4</v>
      </c>
      <c r="P568" s="1676"/>
      <c r="Q568" s="1848"/>
      <c r="R568" s="1683"/>
      <c r="S568" s="1648" t="s">
        <v>1501</v>
      </c>
      <c r="T568" s="1648"/>
      <c r="U568" s="1649">
        <v>20</v>
      </c>
      <c r="V568" s="1649"/>
      <c r="W568" s="1649">
        <v>30</v>
      </c>
      <c r="X568" s="1649"/>
      <c r="Y568" s="1649"/>
      <c r="Z568" s="1649"/>
      <c r="AA568" s="1649"/>
      <c r="AB568" s="1649"/>
      <c r="AC568" s="1649"/>
      <c r="AD568" s="1649"/>
      <c r="AE568" s="1726"/>
      <c r="AF568" s="1727"/>
      <c r="AN568" s="281"/>
      <c r="AP568" s="1752" t="s">
        <v>205</v>
      </c>
      <c r="AQ568" s="1753"/>
      <c r="AR568" s="1753"/>
      <c r="AS568" s="1753"/>
      <c r="AT568" s="1753"/>
      <c r="AU568" s="1753"/>
      <c r="AV568" s="1753"/>
      <c r="AW568" s="1753"/>
      <c r="AX568" s="1753"/>
      <c r="AY568" s="1753"/>
      <c r="AZ568" s="1753"/>
      <c r="BA568" s="1753"/>
      <c r="BB568" s="1753"/>
      <c r="BC568" s="1753"/>
      <c r="BD568" s="1753"/>
      <c r="BE568" s="1753"/>
      <c r="BF568" s="1753"/>
      <c r="BG568" s="1753"/>
      <c r="BH568" s="1753"/>
      <c r="BI568" s="1753"/>
      <c r="BJ568" s="1754"/>
      <c r="BK568" s="1826">
        <f>BF565</f>
        <v>54</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7"/>
      <c r="J569" s="1508"/>
      <c r="K569" s="1508"/>
      <c r="L569" s="1508"/>
      <c r="M569" s="1508"/>
      <c r="N569" s="1509"/>
      <c r="O569" s="1675">
        <v>0.35</v>
      </c>
      <c r="P569" s="1676"/>
      <c r="Q569" s="1848"/>
      <c r="R569" s="1683"/>
      <c r="S569" s="1648" t="s">
        <v>1762</v>
      </c>
      <c r="T569" s="1648"/>
      <c r="U569" s="1649">
        <v>17.5</v>
      </c>
      <c r="V569" s="1649"/>
      <c r="W569" s="1649">
        <v>26.3</v>
      </c>
      <c r="X569" s="1649"/>
      <c r="Y569" s="1649">
        <v>35</v>
      </c>
      <c r="Z569" s="1649"/>
      <c r="AA569" s="1649"/>
      <c r="AB569" s="1649"/>
      <c r="AC569" s="1649">
        <v>50</v>
      </c>
      <c r="AD569" s="1649"/>
      <c r="AE569" s="1726"/>
      <c r="AF569" s="1727"/>
      <c r="AN569" s="281"/>
      <c r="AP569" s="1755"/>
      <c r="AQ569" s="1756"/>
      <c r="AR569" s="1756"/>
      <c r="AS569" s="1756"/>
      <c r="AT569" s="1756"/>
      <c r="AU569" s="1756"/>
      <c r="AV569" s="1756"/>
      <c r="AW569" s="1756"/>
      <c r="AX569" s="1756"/>
      <c r="AY569" s="1756"/>
      <c r="AZ569" s="1756"/>
      <c r="BA569" s="1756"/>
      <c r="BB569" s="1756"/>
      <c r="BC569" s="1756"/>
      <c r="BD569" s="1756"/>
      <c r="BE569" s="1756"/>
      <c r="BF569" s="1756"/>
      <c r="BG569" s="1756"/>
      <c r="BH569" s="1756"/>
      <c r="BI569" s="1756"/>
      <c r="BJ569" s="1757"/>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7"/>
      <c r="J570" s="1508"/>
      <c r="K570" s="1508"/>
      <c r="L570" s="1508"/>
      <c r="M570" s="1508"/>
      <c r="N570" s="1509"/>
      <c r="O570" s="1675">
        <v>0.3</v>
      </c>
      <c r="P570" s="1676"/>
      <c r="Q570" s="1848"/>
      <c r="R570" s="1683"/>
      <c r="S570" s="1648" t="s">
        <v>1763</v>
      </c>
      <c r="T570" s="1648"/>
      <c r="U570" s="1649">
        <v>15</v>
      </c>
      <c r="V570" s="1649"/>
      <c r="W570" s="1649">
        <v>22.5</v>
      </c>
      <c r="X570" s="1649"/>
      <c r="Y570" s="1649">
        <v>30</v>
      </c>
      <c r="Z570" s="1649"/>
      <c r="AA570" s="1649">
        <v>37.5</v>
      </c>
      <c r="AB570" s="1649"/>
      <c r="AC570" s="1649">
        <v>45</v>
      </c>
      <c r="AD570" s="1649"/>
      <c r="AE570" s="1726"/>
      <c r="AF570" s="172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7"/>
      <c r="J571" s="1508"/>
      <c r="K571" s="1508"/>
      <c r="L571" s="1508"/>
      <c r="M571" s="1508"/>
      <c r="N571" s="1509"/>
      <c r="O571" s="1675">
        <v>0.25</v>
      </c>
      <c r="P571" s="1676"/>
      <c r="Q571" s="1848"/>
      <c r="R571" s="1683"/>
      <c r="S571" s="1648" t="s">
        <v>1764</v>
      </c>
      <c r="T571" s="1648"/>
      <c r="U571" s="1649">
        <v>12.5</v>
      </c>
      <c r="V571" s="1649"/>
      <c r="W571" s="1649">
        <v>18.8</v>
      </c>
      <c r="X571" s="1649"/>
      <c r="Y571" s="1649">
        <v>25</v>
      </c>
      <c r="Z571" s="1649"/>
      <c r="AA571" s="1649">
        <v>31.3</v>
      </c>
      <c r="AB571" s="1649"/>
      <c r="AC571" s="1649">
        <v>37.5</v>
      </c>
      <c r="AD571" s="1649"/>
      <c r="AE571" s="1726">
        <v>50</v>
      </c>
      <c r="AF571" s="1727"/>
      <c r="AN571" s="281"/>
      <c r="AP571" s="1822" t="str">
        <f t="shared" ref="AP571:AP577" si="0">J608</f>
        <v>5 BR</v>
      </c>
      <c r="AQ571" s="1823"/>
      <c r="AR571" s="1823"/>
      <c r="AS571" s="1823"/>
      <c r="AT571" s="1824"/>
      <c r="AU571" s="1140">
        <f t="shared" ref="AU571:AU576" si="1">O608</f>
        <v>0</v>
      </c>
      <c r="AV571" s="1141"/>
      <c r="AW571" s="1141"/>
      <c r="AX571" s="1141"/>
      <c r="AY571" s="1142"/>
      <c r="AZ571" s="1140">
        <f t="shared" ref="AZ571:AZ576" si="2">T608</f>
        <v>0</v>
      </c>
      <c r="BA571" s="1141"/>
      <c r="BB571" s="1141"/>
      <c r="BC571" s="1141"/>
      <c r="BD571" s="1142"/>
      <c r="BE571" s="1814">
        <f t="shared" ref="BE571:BE576" si="3">Y608</f>
        <v>0</v>
      </c>
      <c r="BF571" s="1815"/>
      <c r="BG571" s="1815"/>
      <c r="BH571" s="1815"/>
      <c r="BI571" s="1816"/>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7"/>
      <c r="J572" s="1508"/>
      <c r="K572" s="1508"/>
      <c r="L572" s="1508"/>
      <c r="M572" s="1508"/>
      <c r="N572" s="1509"/>
      <c r="O572" s="1675">
        <v>0.2</v>
      </c>
      <c r="P572" s="1676"/>
      <c r="Q572" s="1848"/>
      <c r="R572" s="1683"/>
      <c r="S572" s="1874" t="s">
        <v>1767</v>
      </c>
      <c r="T572" s="1874"/>
      <c r="U572" s="1649">
        <v>10</v>
      </c>
      <c r="V572" s="1649"/>
      <c r="W572" s="1649">
        <v>15</v>
      </c>
      <c r="X572" s="1649"/>
      <c r="Y572" s="1649">
        <v>20</v>
      </c>
      <c r="Z572" s="1649"/>
      <c r="AA572" s="1649">
        <v>25</v>
      </c>
      <c r="AB572" s="1649"/>
      <c r="AC572" s="1649">
        <v>30</v>
      </c>
      <c r="AD572" s="1649"/>
      <c r="AE572" s="1726">
        <v>40</v>
      </c>
      <c r="AF572" s="1727"/>
      <c r="AN572" s="281"/>
      <c r="AP572" s="1822" t="str">
        <f t="shared" si="0"/>
        <v>4 BR</v>
      </c>
      <c r="AQ572" s="1823"/>
      <c r="AR572" s="1823"/>
      <c r="AS572" s="1823"/>
      <c r="AT572" s="1824"/>
      <c r="AU572" s="1140">
        <f t="shared" si="1"/>
        <v>0</v>
      </c>
      <c r="AV572" s="1141"/>
      <c r="AW572" s="1141"/>
      <c r="AX572" s="1141"/>
      <c r="AY572" s="1142"/>
      <c r="AZ572" s="1140">
        <f t="shared" si="2"/>
        <v>0</v>
      </c>
      <c r="BA572" s="1141"/>
      <c r="BB572" s="1141"/>
      <c r="BC572" s="1141"/>
      <c r="BD572" s="1142"/>
      <c r="BE572" s="1814">
        <f t="shared" si="3"/>
        <v>0</v>
      </c>
      <c r="BF572" s="1815"/>
      <c r="BG572" s="1815"/>
      <c r="BH572" s="1815"/>
      <c r="BI572" s="1816"/>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7"/>
      <c r="J573" s="1508"/>
      <c r="K573" s="1508"/>
      <c r="L573" s="1508"/>
      <c r="M573" s="1508"/>
      <c r="N573" s="1509"/>
      <c r="O573" s="1675">
        <v>0.15</v>
      </c>
      <c r="P573" s="1676"/>
      <c r="Q573" s="1848"/>
      <c r="R573" s="1683"/>
      <c r="S573" s="1648" t="s">
        <v>1765</v>
      </c>
      <c r="T573" s="1648"/>
      <c r="U573" s="1649">
        <v>7.5</v>
      </c>
      <c r="V573" s="1649"/>
      <c r="W573" s="1649">
        <v>11.3</v>
      </c>
      <c r="X573" s="1649"/>
      <c r="Y573" s="1649">
        <v>15</v>
      </c>
      <c r="Z573" s="1649"/>
      <c r="AA573" s="1649">
        <v>18.8</v>
      </c>
      <c r="AB573" s="1649"/>
      <c r="AC573" s="1649">
        <v>22.5</v>
      </c>
      <c r="AD573" s="1649"/>
      <c r="AE573" s="1726">
        <v>30</v>
      </c>
      <c r="AF573" s="1727"/>
      <c r="AN573" s="281"/>
      <c r="AP573" s="1822" t="str">
        <f t="shared" si="0"/>
        <v>3 BR</v>
      </c>
      <c r="AQ573" s="1823"/>
      <c r="AR573" s="1823"/>
      <c r="AS573" s="1823"/>
      <c r="AT573" s="1824"/>
      <c r="AU573" s="1140">
        <f t="shared" si="1"/>
        <v>14</v>
      </c>
      <c r="AV573" s="1141"/>
      <c r="AW573" s="1141"/>
      <c r="AX573" s="1141"/>
      <c r="AY573" s="1142"/>
      <c r="AZ573" s="1140">
        <f t="shared" si="2"/>
        <v>2</v>
      </c>
      <c r="BA573" s="1141"/>
      <c r="BB573" s="1141"/>
      <c r="BC573" s="1141"/>
      <c r="BD573" s="1142"/>
      <c r="BE573" s="1814">
        <f t="shared" si="3"/>
        <v>0.14285714285714285</v>
      </c>
      <c r="BF573" s="1815"/>
      <c r="BG573" s="1815"/>
      <c r="BH573" s="1815"/>
      <c r="BI573" s="1816"/>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0"/>
      <c r="J574" s="1511"/>
      <c r="K574" s="1511"/>
      <c r="L574" s="1511"/>
      <c r="M574" s="1511"/>
      <c r="N574" s="1512"/>
      <c r="O574" s="1675">
        <v>0.1</v>
      </c>
      <c r="P574" s="1676"/>
      <c r="Q574" s="1872"/>
      <c r="R574" s="1873"/>
      <c r="S574" s="1648" t="s">
        <v>1766</v>
      </c>
      <c r="T574" s="1648"/>
      <c r="U574" s="1736">
        <v>5</v>
      </c>
      <c r="V574" s="1736"/>
      <c r="W574" s="1736">
        <v>7.5</v>
      </c>
      <c r="X574" s="1736"/>
      <c r="Y574" s="1736">
        <v>10</v>
      </c>
      <c r="Z574" s="1736"/>
      <c r="AA574" s="1736">
        <v>12.5</v>
      </c>
      <c r="AB574" s="1736"/>
      <c r="AC574" s="1736">
        <v>15</v>
      </c>
      <c r="AD574" s="1736"/>
      <c r="AE574" s="1666">
        <v>20</v>
      </c>
      <c r="AF574" s="1667"/>
      <c r="AK574" s="167"/>
      <c r="AL574" s="167"/>
      <c r="AM574" s="5"/>
      <c r="AN574" s="281"/>
      <c r="AP574" s="1822" t="str">
        <f t="shared" si="0"/>
        <v>2 BR</v>
      </c>
      <c r="AQ574" s="1823"/>
      <c r="AR574" s="1823"/>
      <c r="AS574" s="1823"/>
      <c r="AT574" s="1824"/>
      <c r="AU574" s="1140">
        <f t="shared" si="1"/>
        <v>28</v>
      </c>
      <c r="AV574" s="1141"/>
      <c r="AW574" s="1141"/>
      <c r="AX574" s="1141"/>
      <c r="AY574" s="1142"/>
      <c r="AZ574" s="1140">
        <f t="shared" si="2"/>
        <v>3</v>
      </c>
      <c r="BA574" s="1141"/>
      <c r="BB574" s="1141"/>
      <c r="BC574" s="1141"/>
      <c r="BD574" s="1142"/>
      <c r="BE574" s="1814">
        <f t="shared" si="3"/>
        <v>0.10714285714285714</v>
      </c>
      <c r="BF574" s="1815"/>
      <c r="BG574" s="1815"/>
      <c r="BH574" s="1815"/>
      <c r="BI574" s="1816"/>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48" t="s">
        <v>939</v>
      </c>
      <c r="F575" s="1544"/>
      <c r="G575" s="1544"/>
      <c r="H575" s="1544"/>
      <c r="I575" s="1544"/>
      <c r="J575" s="1544"/>
      <c r="K575" s="1544"/>
      <c r="L575" s="1544"/>
      <c r="M575" s="1544"/>
      <c r="N575" s="1544"/>
      <c r="O575" s="1544"/>
      <c r="P575" s="1544"/>
      <c r="Q575" s="1544"/>
      <c r="R575" s="1544"/>
      <c r="S575" s="1544"/>
      <c r="T575" s="1544"/>
      <c r="U575" s="1544"/>
      <c r="V575" s="1544"/>
      <c r="W575" s="1544"/>
      <c r="X575" s="1544"/>
      <c r="Y575" s="1544"/>
      <c r="Z575" s="1544"/>
      <c r="AA575" s="1544"/>
      <c r="AB575" s="1544"/>
      <c r="AC575" s="1544"/>
      <c r="AD575" s="1544"/>
      <c r="AE575" s="1544"/>
      <c r="AF575" s="1544"/>
      <c r="AG575" s="1544"/>
      <c r="AH575" s="1545"/>
      <c r="AK575" s="167"/>
      <c r="AL575" s="167"/>
      <c r="AM575" s="5"/>
      <c r="AN575" s="281"/>
      <c r="AP575" s="1822" t="str">
        <f t="shared" si="0"/>
        <v>1 BR</v>
      </c>
      <c r="AQ575" s="1823"/>
      <c r="AR575" s="1823"/>
      <c r="AS575" s="1823"/>
      <c r="AT575" s="1824"/>
      <c r="AU575" s="1140">
        <f t="shared" si="1"/>
        <v>12</v>
      </c>
      <c r="AV575" s="1141"/>
      <c r="AW575" s="1141"/>
      <c r="AX575" s="1141"/>
      <c r="AY575" s="1142"/>
      <c r="AZ575" s="1140">
        <f t="shared" si="2"/>
        <v>2</v>
      </c>
      <c r="BA575" s="1141"/>
      <c r="BB575" s="1141"/>
      <c r="BC575" s="1141"/>
      <c r="BD575" s="1142"/>
      <c r="BE575" s="1814">
        <f t="shared" si="3"/>
        <v>0.16666666666666666</v>
      </c>
      <c r="BF575" s="1815"/>
      <c r="BG575" s="1815"/>
      <c r="BH575" s="1815"/>
      <c r="BI575" s="1816"/>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0"/>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1"/>
      <c r="AN576" s="281"/>
      <c r="AP576" s="1822" t="str">
        <f t="shared" si="0"/>
        <v>SRO</v>
      </c>
      <c r="AQ576" s="1823"/>
      <c r="AR576" s="1823"/>
      <c r="AS576" s="1823"/>
      <c r="AT576" s="1824"/>
      <c r="AU576" s="1140">
        <f t="shared" si="1"/>
        <v>0</v>
      </c>
      <c r="AV576" s="1141"/>
      <c r="AW576" s="1141"/>
      <c r="AX576" s="1141"/>
      <c r="AY576" s="1142"/>
      <c r="AZ576" s="1140">
        <f t="shared" si="2"/>
        <v>0</v>
      </c>
      <c r="BA576" s="1141"/>
      <c r="BB576" s="1141"/>
      <c r="BC576" s="1141"/>
      <c r="BD576" s="1142"/>
      <c r="BE576" s="1814">
        <f t="shared" si="3"/>
        <v>0</v>
      </c>
      <c r="BF576" s="1815"/>
      <c r="BG576" s="1815"/>
      <c r="BH576" s="1815"/>
      <c r="BI576" s="1816"/>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6" t="s">
        <v>1508</v>
      </c>
      <c r="F577" s="1657"/>
      <c r="G577" s="1657"/>
      <c r="H577" s="1657"/>
      <c r="I577" s="1657"/>
      <c r="J577" s="1658"/>
      <c r="K577" s="1656" t="s">
        <v>1758</v>
      </c>
      <c r="L577" s="1657"/>
      <c r="M577" s="1657"/>
      <c r="N577" s="1657"/>
      <c r="O577" s="1657"/>
      <c r="P577" s="1658"/>
      <c r="Q577" s="1504" t="s">
        <v>1504</v>
      </c>
      <c r="R577" s="1505"/>
      <c r="S577" s="1505"/>
      <c r="T577" s="1505"/>
      <c r="U577" s="1505"/>
      <c r="V577" s="1506"/>
      <c r="W577" s="1504" t="str">
        <f>I566</f>
        <v>Percent of Low-Income Units (exclusive of manager’s units)</v>
      </c>
      <c r="X577" s="1505"/>
      <c r="Y577" s="1505"/>
      <c r="Z577" s="1505"/>
      <c r="AA577" s="1505"/>
      <c r="AB577" s="1506"/>
      <c r="AC577" s="1504" t="s">
        <v>1507</v>
      </c>
      <c r="AD577" s="1505"/>
      <c r="AE577" s="1505"/>
      <c r="AF577" s="1505"/>
      <c r="AG577" s="1505"/>
      <c r="AH577" s="1506"/>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59"/>
      <c r="F578" s="1660"/>
      <c r="G578" s="1660"/>
      <c r="H578" s="1660"/>
      <c r="I578" s="1660"/>
      <c r="J578" s="1661"/>
      <c r="K578" s="1659"/>
      <c r="L578" s="1660"/>
      <c r="M578" s="1660"/>
      <c r="N578" s="1660"/>
      <c r="O578" s="1660"/>
      <c r="P578" s="1661"/>
      <c r="Q578" s="1507"/>
      <c r="R578" s="1508"/>
      <c r="S578" s="1508"/>
      <c r="T578" s="1508"/>
      <c r="U578" s="1508"/>
      <c r="V578" s="1509"/>
      <c r="W578" s="1507"/>
      <c r="X578" s="1508"/>
      <c r="Y578" s="1508"/>
      <c r="Z578" s="1508"/>
      <c r="AA578" s="1508"/>
      <c r="AB578" s="1509"/>
      <c r="AC578" s="1507"/>
      <c r="AD578" s="1508"/>
      <c r="AE578" s="1508"/>
      <c r="AF578" s="1508"/>
      <c r="AG578" s="1508"/>
      <c r="AH578" s="1509"/>
      <c r="AN578" s="281"/>
    </row>
    <row r="579" spans="5:96" s="4" customFormat="1" ht="12.75" customHeight="1">
      <c r="E579" s="1659"/>
      <c r="F579" s="1660"/>
      <c r="G579" s="1660"/>
      <c r="H579" s="1660"/>
      <c r="I579" s="1660"/>
      <c r="J579" s="1661"/>
      <c r="K579" s="1659"/>
      <c r="L579" s="1660"/>
      <c r="M579" s="1660"/>
      <c r="N579" s="1660"/>
      <c r="O579" s="1660"/>
      <c r="P579" s="1661"/>
      <c r="Q579" s="1507"/>
      <c r="R579" s="1508"/>
      <c r="S579" s="1508"/>
      <c r="T579" s="1508"/>
      <c r="U579" s="1508"/>
      <c r="V579" s="1509"/>
      <c r="W579" s="1507"/>
      <c r="X579" s="1508"/>
      <c r="Y579" s="1508"/>
      <c r="Z579" s="1508"/>
      <c r="AA579" s="1508"/>
      <c r="AB579" s="1509"/>
      <c r="AC579" s="1507"/>
      <c r="AD579" s="1508"/>
      <c r="AE579" s="1508"/>
      <c r="AF579" s="1508"/>
      <c r="AG579" s="1508"/>
      <c r="AH579" s="1509"/>
      <c r="AN579" s="281"/>
    </row>
    <row r="580" spans="5:96" s="4" customFormat="1" ht="12.75" customHeight="1">
      <c r="E580" s="1659"/>
      <c r="F580" s="1660"/>
      <c r="G580" s="1660"/>
      <c r="H580" s="1660"/>
      <c r="I580" s="1660"/>
      <c r="J580" s="1661"/>
      <c r="K580" s="1659"/>
      <c r="L580" s="1660"/>
      <c r="M580" s="1660"/>
      <c r="N580" s="1660"/>
      <c r="O580" s="1660"/>
      <c r="P580" s="1661"/>
      <c r="Q580" s="1507"/>
      <c r="R580" s="1508"/>
      <c r="S580" s="1508"/>
      <c r="T580" s="1508"/>
      <c r="U580" s="1508"/>
      <c r="V580" s="1509"/>
      <c r="W580" s="1507"/>
      <c r="X580" s="1508"/>
      <c r="Y580" s="1508"/>
      <c r="Z580" s="1508"/>
      <c r="AA580" s="1508"/>
      <c r="AB580" s="1509"/>
      <c r="AC580" s="1507"/>
      <c r="AD580" s="1508"/>
      <c r="AE580" s="1508"/>
      <c r="AF580" s="1508"/>
      <c r="AG580" s="1508"/>
      <c r="AH580" s="1509"/>
      <c r="AN580" s="281"/>
      <c r="AP580" s="3" t="s">
        <v>1127</v>
      </c>
      <c r="BH580" s="3" t="s">
        <v>1128</v>
      </c>
    </row>
    <row r="581" spans="5:96" s="4" customFormat="1" ht="12.75" customHeight="1">
      <c r="E581" s="1650"/>
      <c r="F581" s="1651"/>
      <c r="G581" s="1651"/>
      <c r="H581" s="1651"/>
      <c r="I581" s="1651"/>
      <c r="J581" s="1652"/>
      <c r="K581" s="1653">
        <v>20</v>
      </c>
      <c r="L581" s="1654"/>
      <c r="M581" s="1654"/>
      <c r="N581" s="1654"/>
      <c r="O581" s="1654"/>
      <c r="P581" s="1655"/>
      <c r="Q581" s="1722">
        <f>IF(ISERROR(IF((((E581/$BJ$528)*100)&gt;100),"EXCESSIVE VALUE",(E581/$BJ$528)*100)),0,IF((((E581/$BJ$528)*100)&gt;100),"EXCESSIVE VALUE",(E581/$BJ$528)*100))</f>
        <v>0</v>
      </c>
      <c r="R581" s="1723"/>
      <c r="S581" s="1723"/>
      <c r="T581" s="1723"/>
      <c r="U581" s="1723"/>
      <c r="V581" s="1724"/>
      <c r="W581" s="1662">
        <f>IF(FLOOR(Q581,5)&gt;80,80,FLOOR(Q581,5))</f>
        <v>0</v>
      </c>
      <c r="X581" s="1663"/>
      <c r="Y581" s="1663"/>
      <c r="Z581" s="1663"/>
      <c r="AA581" s="1663"/>
      <c r="AB581" s="1664"/>
      <c r="AC581" s="1662">
        <f t="shared" ref="AC581:AC586" si="4">IFERROR(IF(W581&gt;0,INDEX($BI$507:$BP$521,MATCH(W581,$BH$507:$BH$521,0),MATCH(K581,$BI$506:$BP$506,0)),0),0)</f>
        <v>0</v>
      </c>
      <c r="AD581" s="1663"/>
      <c r="AE581" s="1663"/>
      <c r="AF581" s="1663"/>
      <c r="AG581" s="1663"/>
      <c r="AH581" s="1664"/>
      <c r="AN581" s="281"/>
      <c r="AO581" s="4">
        <v>5</v>
      </c>
      <c r="AP581" s="1653">
        <f t="shared" ref="AP581:AP586" si="5">IF(OR(BE571&gt;=0.1,BE571=0),0,1)</f>
        <v>0</v>
      </c>
      <c r="AQ581" s="1654"/>
      <c r="AR581" s="1654"/>
      <c r="AS581" s="1654"/>
      <c r="AT581" s="1655"/>
      <c r="AX581" s="1693" t="s">
        <v>794</v>
      </c>
      <c r="AY581" s="1694"/>
      <c r="AZ581" s="1694"/>
      <c r="BA581" s="1694"/>
      <c r="BB581" s="1694"/>
      <c r="BC581" s="1694"/>
      <c r="BD581" s="1694"/>
      <c r="BE581" s="1694"/>
      <c r="BF581" s="1694"/>
      <c r="BG581" s="1694"/>
      <c r="BH581" s="1694"/>
      <c r="BI581" s="1694"/>
      <c r="BJ581" s="1694"/>
      <c r="BK581" s="1694"/>
      <c r="BL581" s="1694"/>
      <c r="BM581" s="1694"/>
      <c r="BN581" s="1694"/>
      <c r="BO581" s="1694"/>
      <c r="BP581" s="1694"/>
      <c r="BQ581" s="1695"/>
    </row>
    <row r="582" spans="5:96" s="4" customFormat="1" ht="12.75" customHeight="1">
      <c r="E582" s="1650">
        <v>7</v>
      </c>
      <c r="F582" s="1651"/>
      <c r="G582" s="1651"/>
      <c r="H582" s="1651"/>
      <c r="I582" s="1651"/>
      <c r="J582" s="1652"/>
      <c r="K582" s="1653">
        <v>30</v>
      </c>
      <c r="L582" s="1654"/>
      <c r="M582" s="1654"/>
      <c r="N582" s="1654"/>
      <c r="O582" s="1654"/>
      <c r="P582" s="1655"/>
      <c r="Q582" s="1722">
        <f>IF(ISERROR(IF((((E582/$BJ$528)*100)&gt;100),"EXCESSIVE VALUE",(E582/$BJ$528)*100)),0,IF((((E582/$BJ$528)*100)&gt;100),"EXCESSIVE VALUE",(E582/$BJ$528)*100))</f>
        <v>12.962962962962962</v>
      </c>
      <c r="R582" s="1723"/>
      <c r="S582" s="1723"/>
      <c r="T582" s="1723"/>
      <c r="U582" s="1723"/>
      <c r="V582" s="1724"/>
      <c r="W582" s="1662">
        <f>IF(FLOOR(Q582,5)&gt;80,80,FLOOR(Q582,5))</f>
        <v>10</v>
      </c>
      <c r="X582" s="1663"/>
      <c r="Y582" s="1663"/>
      <c r="Z582" s="1663"/>
      <c r="AA582" s="1663"/>
      <c r="AB582" s="1664"/>
      <c r="AC582" s="1662">
        <f t="shared" si="4"/>
        <v>15</v>
      </c>
      <c r="AD582" s="1663"/>
      <c r="AE582" s="1663"/>
      <c r="AF582" s="1663"/>
      <c r="AG582" s="1663"/>
      <c r="AH582" s="1664"/>
      <c r="AN582" s="281"/>
      <c r="AO582" s="4">
        <v>4</v>
      </c>
      <c r="AP582" s="1653">
        <f t="shared" si="5"/>
        <v>0</v>
      </c>
      <c r="AQ582" s="1654"/>
      <c r="AR582" s="1654"/>
      <c r="AS582" s="1654"/>
      <c r="AT582" s="1655"/>
      <c r="AX582" s="1774" t="s">
        <v>616</v>
      </c>
      <c r="AY582" s="1775"/>
      <c r="AZ582" s="1271" t="s">
        <v>616</v>
      </c>
      <c r="BA582" s="1273"/>
      <c r="BB582" s="1774" t="s">
        <v>265</v>
      </c>
      <c r="BC582" s="1775"/>
      <c r="BD582" s="1703" t="s">
        <v>265</v>
      </c>
      <c r="BE582" s="1705"/>
      <c r="BF582" s="1774" t="s">
        <v>264</v>
      </c>
      <c r="BG582" s="1775"/>
      <c r="BH582" s="1703" t="s">
        <v>264</v>
      </c>
      <c r="BI582" s="1705"/>
      <c r="BJ582" s="1774" t="s">
        <v>263</v>
      </c>
      <c r="BK582" s="1775"/>
      <c r="BL582" s="1703" t="s">
        <v>263</v>
      </c>
      <c r="BM582" s="1705"/>
      <c r="BN582" s="1774" t="s">
        <v>615</v>
      </c>
      <c r="BO582" s="1775"/>
      <c r="BP582" s="1703" t="s">
        <v>615</v>
      </c>
      <c r="BQ582" s="1705"/>
    </row>
    <row r="583" spans="5:96" s="4" customFormat="1" ht="12.75" customHeight="1">
      <c r="E583" s="1650"/>
      <c r="F583" s="1651"/>
      <c r="G583" s="1651"/>
      <c r="H583" s="1651"/>
      <c r="I583" s="1651"/>
      <c r="J583" s="1652"/>
      <c r="K583" s="1653">
        <v>35</v>
      </c>
      <c r="L583" s="1654"/>
      <c r="M583" s="1654"/>
      <c r="N583" s="1654"/>
      <c r="O583" s="1654"/>
      <c r="P583" s="1655"/>
      <c r="Q583" s="1722">
        <f t="shared" ref="Q583:Q589" si="6">IF(ISERROR(IF((((E583/$BJ$528)*100)&gt;100),"EXCESSIVE VALUE",(E583/$BJ$528)*100)),0,IF((((E583/$BJ$528)*100)&gt;100),"EXCESSIVE VALUE",(E583/$BJ$528)*100))</f>
        <v>0</v>
      </c>
      <c r="R583" s="1723"/>
      <c r="S583" s="1723"/>
      <c r="T583" s="1723"/>
      <c r="U583" s="1723"/>
      <c r="V583" s="1724"/>
      <c r="W583" s="1662">
        <f t="shared" ref="W583:W589" si="7">IF(FLOOR(Q583,5)&gt;80,80,FLOOR(Q583,5))</f>
        <v>0</v>
      </c>
      <c r="X583" s="1663"/>
      <c r="Y583" s="1663"/>
      <c r="Z583" s="1663"/>
      <c r="AA583" s="1663"/>
      <c r="AB583" s="1664"/>
      <c r="AC583" s="1662">
        <f t="shared" si="4"/>
        <v>0</v>
      </c>
      <c r="AD583" s="1663"/>
      <c r="AE583" s="1663"/>
      <c r="AF583" s="1663"/>
      <c r="AG583" s="1663"/>
      <c r="AH583" s="1664"/>
      <c r="AN583" s="281"/>
      <c r="AO583" s="4">
        <v>3</v>
      </c>
      <c r="AP583" s="1653">
        <f t="shared" si="5"/>
        <v>0</v>
      </c>
      <c r="AQ583" s="1654"/>
      <c r="AR583" s="1654"/>
      <c r="AS583" s="1654"/>
      <c r="AT583" s="1655"/>
      <c r="AX583" s="1774">
        <f>IF(AP533=1,1,0)</f>
        <v>0</v>
      </c>
      <c r="AY583" s="1775"/>
      <c r="AZ583" s="1693"/>
      <c r="BA583" s="1695"/>
      <c r="BB583" s="1820"/>
      <c r="BC583" s="1821"/>
      <c r="BD583" s="1703">
        <f>IF(AND(T609&gt;0,AP533&gt;0),1,0)</f>
        <v>0</v>
      </c>
      <c r="BE583" s="1705"/>
      <c r="BF583" s="1820"/>
      <c r="BG583" s="1821"/>
      <c r="BH583" s="1703">
        <f>IF(AND(T609&gt;0,AP533&gt;0),1,0)</f>
        <v>0</v>
      </c>
      <c r="BI583" s="1705"/>
      <c r="BJ583" s="1820"/>
      <c r="BK583" s="1821"/>
      <c r="BL583" s="1703">
        <f>IF(AND(T609&gt;0,AP533&gt;0),1,0)</f>
        <v>0</v>
      </c>
      <c r="BM583" s="1705"/>
      <c r="BN583" s="1820"/>
      <c r="BO583" s="1821"/>
      <c r="BP583" s="1703">
        <f>IF(AND(T609&gt;0,AP533&gt;0),1,0)</f>
        <v>0</v>
      </c>
      <c r="BQ583" s="1705"/>
    </row>
    <row r="584" spans="5:96" s="4" customFormat="1" ht="12.75" customHeight="1">
      <c r="E584" s="1650">
        <v>11</v>
      </c>
      <c r="F584" s="1651"/>
      <c r="G584" s="1651"/>
      <c r="H584" s="1651"/>
      <c r="I584" s="1651"/>
      <c r="J584" s="1652"/>
      <c r="K584" s="1653">
        <v>40</v>
      </c>
      <c r="L584" s="1654"/>
      <c r="M584" s="1654"/>
      <c r="N584" s="1654"/>
      <c r="O584" s="1654"/>
      <c r="P584" s="1655"/>
      <c r="Q584" s="1722">
        <f t="shared" si="6"/>
        <v>20.37037037037037</v>
      </c>
      <c r="R584" s="1723"/>
      <c r="S584" s="1723"/>
      <c r="T584" s="1723"/>
      <c r="U584" s="1723"/>
      <c r="V584" s="1724"/>
      <c r="W584" s="1662">
        <f t="shared" si="7"/>
        <v>20</v>
      </c>
      <c r="X584" s="1663"/>
      <c r="Y584" s="1663"/>
      <c r="Z584" s="1663"/>
      <c r="AA584" s="1663"/>
      <c r="AB584" s="1664"/>
      <c r="AC584" s="1662">
        <f t="shared" si="4"/>
        <v>20</v>
      </c>
      <c r="AD584" s="1663"/>
      <c r="AE584" s="1663"/>
      <c r="AF584" s="1663"/>
      <c r="AG584" s="1663"/>
      <c r="AH584" s="1664"/>
      <c r="AN584" s="281"/>
      <c r="AO584" s="4">
        <v>2</v>
      </c>
      <c r="AP584" s="1653">
        <f t="shared" si="5"/>
        <v>0</v>
      </c>
      <c r="AQ584" s="1654"/>
      <c r="AR584" s="1654"/>
      <c r="AS584" s="1654"/>
      <c r="AT584" s="1655"/>
      <c r="AX584" s="1820"/>
      <c r="AY584" s="1821"/>
      <c r="AZ584" s="1693"/>
      <c r="BA584" s="1695"/>
      <c r="BB584" s="1774">
        <f>IF(AP534=1,1,0)</f>
        <v>0</v>
      </c>
      <c r="BC584" s="1775"/>
      <c r="BD584" s="1693"/>
      <c r="BE584" s="1695"/>
      <c r="BF584" s="1820"/>
      <c r="BG584" s="1821"/>
      <c r="BH584" s="1703">
        <f>IF(AND(T610&gt;0,AP534&gt;0),1,0)</f>
        <v>1</v>
      </c>
      <c r="BI584" s="1705"/>
      <c r="BJ584" s="1820"/>
      <c r="BK584" s="1821"/>
      <c r="BL584" s="1703">
        <f>IF(AND(T610&gt;0,AP534&gt;0),1,0)</f>
        <v>1</v>
      </c>
      <c r="BM584" s="1705"/>
      <c r="BN584" s="1820"/>
      <c r="BO584" s="1821"/>
      <c r="BP584" s="1703">
        <f>IF(AND(T610&gt;0,AP534&gt;0),1,0)</f>
        <v>1</v>
      </c>
      <c r="BQ584" s="1705"/>
    </row>
    <row r="585" spans="5:96" s="4" customFormat="1" ht="12.75" customHeight="1">
      <c r="E585" s="1650"/>
      <c r="F585" s="1651"/>
      <c r="G585" s="1651"/>
      <c r="H585" s="1651"/>
      <c r="I585" s="1651"/>
      <c r="J585" s="1652"/>
      <c r="K585" s="1653">
        <v>45</v>
      </c>
      <c r="L585" s="1654"/>
      <c r="M585" s="1654"/>
      <c r="N585" s="1654"/>
      <c r="O585" s="1654"/>
      <c r="P585" s="1655"/>
      <c r="Q585" s="1722">
        <f t="shared" si="6"/>
        <v>0</v>
      </c>
      <c r="R585" s="1723"/>
      <c r="S585" s="1723"/>
      <c r="T585" s="1723"/>
      <c r="U585" s="1723"/>
      <c r="V585" s="1724"/>
      <c r="W585" s="1662">
        <f>IF(FLOOR(Q585,5)&gt;65,65,FLOOR(Q585,5))</f>
        <v>0</v>
      </c>
      <c r="X585" s="1663"/>
      <c r="Y585" s="1663"/>
      <c r="Z585" s="1663"/>
      <c r="AA585" s="1663"/>
      <c r="AB585" s="1664"/>
      <c r="AC585" s="1662">
        <f t="shared" si="4"/>
        <v>0</v>
      </c>
      <c r="AD585" s="1663"/>
      <c r="AE585" s="1663"/>
      <c r="AF585" s="1663"/>
      <c r="AG585" s="1663"/>
      <c r="AH585" s="1664"/>
      <c r="AN585" s="281"/>
      <c r="AO585" s="4">
        <v>1</v>
      </c>
      <c r="AP585" s="1653">
        <f t="shared" si="5"/>
        <v>0</v>
      </c>
      <c r="AQ585" s="1654"/>
      <c r="AR585" s="1654"/>
      <c r="AS585" s="1654"/>
      <c r="AT585" s="1655"/>
      <c r="AX585" s="1820"/>
      <c r="AY585" s="1821"/>
      <c r="AZ585" s="1693"/>
      <c r="BA585" s="1695"/>
      <c r="BB585" s="1820"/>
      <c r="BC585" s="1821"/>
      <c r="BD585" s="1693"/>
      <c r="BE585" s="1695"/>
      <c r="BF585" s="1774">
        <f>IF(AP535=1,1,0)</f>
        <v>1</v>
      </c>
      <c r="BG585" s="1775"/>
      <c r="BH585" s="1693"/>
      <c r="BI585" s="1695"/>
      <c r="BJ585" s="1820"/>
      <c r="BK585" s="1821"/>
      <c r="BL585" s="1703">
        <f>IF(AND(T611&gt;0,AP535&gt;0),1,0)</f>
        <v>1</v>
      </c>
      <c r="BM585" s="1705"/>
      <c r="BN585" s="1820"/>
      <c r="BO585" s="1821"/>
      <c r="BP585" s="1703">
        <f>IF(AND(T611&gt;0,AP535&gt;0),1,0)</f>
        <v>1</v>
      </c>
      <c r="BQ585" s="1705"/>
    </row>
    <row r="586" spans="5:96" s="4" customFormat="1" ht="12.75" customHeight="1">
      <c r="E586" s="1650"/>
      <c r="F586" s="1651"/>
      <c r="G586" s="1651"/>
      <c r="H586" s="1651"/>
      <c r="I586" s="1651"/>
      <c r="J586" s="1652"/>
      <c r="K586" s="1653" t="str">
        <f>IF(OR(Application!D211="Rural",Application!D211="Rural apportionment (Section 514)",Application!D211="Rural apportionment (Section 515)",Application!D211="Rural apportionment (CDBG-DR)",Application!D211="Rural apportionment (HOME)",Application!D211="Rural (Native American apportionment)"),"",50)</f>
        <v/>
      </c>
      <c r="L586" s="1654"/>
      <c r="M586" s="1654"/>
      <c r="N586" s="1654"/>
      <c r="O586" s="1654"/>
      <c r="P586" s="1655"/>
      <c r="Q586" s="1722">
        <f t="shared" si="6"/>
        <v>0</v>
      </c>
      <c r="R586" s="1723"/>
      <c r="S586" s="1723"/>
      <c r="T586" s="1723"/>
      <c r="U586" s="1723"/>
      <c r="V586" s="1724"/>
      <c r="W586" s="1662">
        <f>IF(FLOOR(Q586,5)&gt;40,40,FLOOR(Q586,5))</f>
        <v>0</v>
      </c>
      <c r="X586" s="1663"/>
      <c r="Y586" s="1663"/>
      <c r="Z586" s="1663"/>
      <c r="AA586" s="1663"/>
      <c r="AB586" s="1664"/>
      <c r="AC586" s="1662">
        <f t="shared" si="4"/>
        <v>0</v>
      </c>
      <c r="AD586" s="1663"/>
      <c r="AE586" s="1663"/>
      <c r="AF586" s="1663"/>
      <c r="AG586" s="1663"/>
      <c r="AH586" s="1664"/>
      <c r="AN586" s="281"/>
      <c r="AO586" s="4">
        <v>0</v>
      </c>
      <c r="AP586" s="1653">
        <f t="shared" si="5"/>
        <v>0</v>
      </c>
      <c r="AQ586" s="1654"/>
      <c r="AR586" s="1654"/>
      <c r="AS586" s="1654"/>
      <c r="AT586" s="1655"/>
      <c r="AX586" s="1820"/>
      <c r="AY586" s="1821"/>
      <c r="AZ586" s="1693"/>
      <c r="BA586" s="1695"/>
      <c r="BB586" s="1820"/>
      <c r="BC586" s="1821"/>
      <c r="BD586" s="1693"/>
      <c r="BE586" s="1695"/>
      <c r="BF586" s="1820"/>
      <c r="BG586" s="1821"/>
      <c r="BH586" s="1693"/>
      <c r="BI586" s="1695"/>
      <c r="BJ586" s="1774">
        <f>IF(AP536=1,1,0)</f>
        <v>0</v>
      </c>
      <c r="BK586" s="1775"/>
      <c r="BL586" s="1820"/>
      <c r="BM586" s="1821"/>
      <c r="BN586" s="1820"/>
      <c r="BO586" s="1821"/>
      <c r="BP586" s="1703">
        <f>IF(AND(T612&gt;0,AP536&gt;0),1,0)</f>
        <v>1</v>
      </c>
      <c r="BQ586" s="1705"/>
    </row>
    <row r="587" spans="5:96" s="4" customFormat="1" ht="12.75" customHeight="1">
      <c r="E587" s="1748">
        <v>19</v>
      </c>
      <c r="F587" s="1749"/>
      <c r="G587" s="1749"/>
      <c r="H587" s="1749"/>
      <c r="I587" s="1749"/>
      <c r="J587" s="1750"/>
      <c r="K587" s="1856">
        <f>IF(OR(Application!D211="Rural",Application!D211="Rural apportionment (Section 514)",Application!D211="Rural apportionment (Section 515)",Application!D211="Rural apportionment (HOME)",Application!D211="Rural apportionment (CDBG-DR)",Application!D211="Rural (Native American apportionment)"),50,"")</f>
        <v>50</v>
      </c>
      <c r="L587" s="1857"/>
      <c r="M587" s="1858" t="s">
        <v>2313</v>
      </c>
      <c r="N587" s="1858"/>
      <c r="O587" s="1858"/>
      <c r="P587" s="1859"/>
      <c r="Q587" s="1722">
        <f t="shared" si="6"/>
        <v>35.185185185185183</v>
      </c>
      <c r="R587" s="1723"/>
      <c r="S587" s="1723"/>
      <c r="T587" s="1723"/>
      <c r="U587" s="1723"/>
      <c r="V587" s="1724"/>
      <c r="W587" s="1662">
        <f>IF(FLOOR(Q587,5)&gt;50,50,FLOOR(Q587,5))</f>
        <v>35</v>
      </c>
      <c r="X587" s="1663"/>
      <c r="Y587" s="1663"/>
      <c r="Z587" s="1663"/>
      <c r="AA587" s="1663"/>
      <c r="AB587" s="1664"/>
      <c r="AC587" s="1662">
        <f>IFERROR(IF(W587&gt;0,INDEX($AT$507:$BA$521,MATCH(W587,$AS$507:$AS$521,0),MATCH(K587,$AT$506:$BA$506,0)),0),0)</f>
        <v>17.5</v>
      </c>
      <c r="AD587" s="1663"/>
      <c r="AE587" s="1663"/>
      <c r="AF587" s="1663"/>
      <c r="AG587" s="1663"/>
      <c r="AH587" s="1664"/>
      <c r="AN587" s="281"/>
      <c r="AP587" s="1653"/>
      <c r="AQ587" s="1654"/>
      <c r="AR587" s="1654"/>
      <c r="AS587" s="1654"/>
      <c r="AT587" s="1655"/>
      <c r="AX587" s="1820"/>
      <c r="AY587" s="1821"/>
      <c r="AZ587" s="1693"/>
      <c r="BA587" s="1695"/>
      <c r="BB587" s="1820"/>
      <c r="BC587" s="1821"/>
      <c r="BD587" s="1693"/>
      <c r="BE587" s="1695"/>
      <c r="BF587" s="1820"/>
      <c r="BG587" s="1821"/>
      <c r="BH587" s="1693"/>
      <c r="BI587" s="1695"/>
      <c r="BJ587" s="1820"/>
      <c r="BK587" s="1821"/>
      <c r="BL587" s="1820"/>
      <c r="BM587" s="1821"/>
      <c r="BN587" s="1774">
        <f>IF(AP537=1,1,0)</f>
        <v>0</v>
      </c>
      <c r="BO587" s="1775"/>
      <c r="BP587" s="1693"/>
      <c r="BQ587" s="1695"/>
    </row>
    <row r="588" spans="5:96" s="4" customFormat="1" ht="12.75" customHeight="1">
      <c r="E588" s="1748"/>
      <c r="F588" s="1749"/>
      <c r="G588" s="1749"/>
      <c r="H588" s="1749"/>
      <c r="I588" s="1749"/>
      <c r="J588" s="1750"/>
      <c r="K588" s="1856">
        <f>IF(OR(Application!D211="Rural",Application!D211="Rural apportionment (Section 514)",Application!D211="Rural apportionment (Section 515)",Application!D211="Rural apportionment (HOME)",Application!D211="Rural apportionment (CDBG-DR)",Application!D211="Rural (Native American apportionment)"),55,"")</f>
        <v>55</v>
      </c>
      <c r="L588" s="1857"/>
      <c r="M588" s="1858" t="s">
        <v>2313</v>
      </c>
      <c r="N588" s="1858"/>
      <c r="O588" s="1858"/>
      <c r="P588" s="1859"/>
      <c r="Q588" s="1722">
        <f t="shared" si="6"/>
        <v>0</v>
      </c>
      <c r="R588" s="1723"/>
      <c r="S588" s="1723"/>
      <c r="T588" s="1723"/>
      <c r="U588" s="1723"/>
      <c r="V588" s="1724"/>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81"/>
      <c r="AX588" s="1774">
        <f>SUM(AX583:AY587)</f>
        <v>0</v>
      </c>
      <c r="AY588" s="1775"/>
      <c r="AZ588" s="1703">
        <f>SUM(AZ584:BA587)</f>
        <v>0</v>
      </c>
      <c r="BA588" s="1705"/>
      <c r="BB588" s="1774">
        <f>SUM(BB584:BC587)</f>
        <v>0</v>
      </c>
      <c r="BC588" s="1775"/>
      <c r="BD588" s="1703">
        <f>SUM(BD583:BE587)</f>
        <v>0</v>
      </c>
      <c r="BE588" s="1705"/>
      <c r="BF588" s="1774">
        <f>SUM(BF585:BG587)</f>
        <v>1</v>
      </c>
      <c r="BG588" s="1775"/>
      <c r="BH588" s="1703">
        <f>SUM(BH583:BI587)</f>
        <v>1</v>
      </c>
      <c r="BI588" s="1705"/>
      <c r="BJ588" s="1774">
        <f>SUM(BJ583:BK587)</f>
        <v>0</v>
      </c>
      <c r="BK588" s="1775"/>
      <c r="BL588" s="1703">
        <f>SUM(BL583:BM587)</f>
        <v>2</v>
      </c>
      <c r="BM588" s="1705"/>
      <c r="BN588" s="1774">
        <f>SUM(BN583:BO587)</f>
        <v>0</v>
      </c>
      <c r="BO588" s="1775"/>
      <c r="BP588" s="1703">
        <f>SUM(BP583:BQ587)</f>
        <v>3</v>
      </c>
      <c r="BQ588" s="1705"/>
    </row>
    <row r="589" spans="5:96" s="4" customFormat="1" ht="12.75" customHeight="1">
      <c r="E589" s="1650">
        <v>17</v>
      </c>
      <c r="F589" s="1651"/>
      <c r="G589" s="1651"/>
      <c r="H589" s="1651"/>
      <c r="I589" s="1651"/>
      <c r="J589" s="1652"/>
      <c r="K589" s="1653" t="s">
        <v>2128</v>
      </c>
      <c r="L589" s="1654"/>
      <c r="M589" s="1654"/>
      <c r="N589" s="1654"/>
      <c r="O589" s="1654"/>
      <c r="P589" s="1655"/>
      <c r="Q589" s="1722">
        <f t="shared" si="6"/>
        <v>31.481481481481481</v>
      </c>
      <c r="R589" s="1723"/>
      <c r="S589" s="1723"/>
      <c r="T589" s="1723"/>
      <c r="U589" s="1723"/>
      <c r="V589" s="1724"/>
      <c r="W589" s="1662">
        <f t="shared" si="7"/>
        <v>30</v>
      </c>
      <c r="X589" s="1663"/>
      <c r="Y589" s="1663"/>
      <c r="Z589" s="1663"/>
      <c r="AA589" s="1663"/>
      <c r="AB589" s="1664"/>
      <c r="AC589" s="1662">
        <v>0</v>
      </c>
      <c r="AD589" s="1663"/>
      <c r="AE589" s="1663"/>
      <c r="AF589" s="1663"/>
      <c r="AG589" s="1663"/>
      <c r="AH589" s="1664"/>
      <c r="AN589" s="281"/>
      <c r="AX589" s="1788">
        <f>IF(AND(AX588=1,AZ588&gt;1),1,0)</f>
        <v>0</v>
      </c>
      <c r="AY589" s="1789"/>
      <c r="AZ589" s="1789"/>
      <c r="BA589" s="1790"/>
      <c r="BB589" s="1788">
        <f>IF(AND(BB588=1,BD588&gt;=1),1,0)</f>
        <v>0</v>
      </c>
      <c r="BC589" s="1789"/>
      <c r="BD589" s="1789"/>
      <c r="BE589" s="1790"/>
      <c r="BF589" s="1788">
        <f>IF(AND(BF588=1,BH588&gt;=1),1,0)</f>
        <v>1</v>
      </c>
      <c r="BG589" s="1789"/>
      <c r="BH589" s="1789"/>
      <c r="BI589" s="1790"/>
      <c r="BJ589" s="1788">
        <f>IF(AND(BJ588=1,BL588&gt;=1),1,0)</f>
        <v>0</v>
      </c>
      <c r="BK589" s="1789"/>
      <c r="BL589" s="1789"/>
      <c r="BM589" s="1790"/>
      <c r="BN589" s="1788">
        <f>IF(AND(BN588=1,BP588&gt;=1),1,0)</f>
        <v>0</v>
      </c>
      <c r="BO589" s="1789"/>
      <c r="BP589" s="1789"/>
      <c r="BQ589" s="1790"/>
    </row>
    <row r="590" spans="5:96" s="4" customFormat="1" ht="12.75" customHeight="1">
      <c r="E590" s="1650"/>
      <c r="F590" s="1651"/>
      <c r="G590" s="1651"/>
      <c r="H590" s="1651"/>
      <c r="I590" s="1651"/>
      <c r="J590" s="1652"/>
      <c r="K590" s="1653" t="s">
        <v>2129</v>
      </c>
      <c r="L590" s="1654"/>
      <c r="M590" s="1654"/>
      <c r="N590" s="1654"/>
      <c r="O590" s="1654"/>
      <c r="P590" s="1655"/>
      <c r="Q590" s="1722">
        <f>IF(ISERROR(IF((((E590/$BJ$528)*100)&gt;100),"EXCESSIVE VALUE",(E590/$BJ$528)*100)),0,IF((((E590/$BJ$528)*100)&gt;100),"EXCESSIVE VALUE",(E590/$BJ$528)*100))</f>
        <v>0</v>
      </c>
      <c r="R590" s="1723"/>
      <c r="S590" s="1723"/>
      <c r="T590" s="1723"/>
      <c r="U590" s="1723"/>
      <c r="V590" s="1724"/>
      <c r="W590" s="1662">
        <f>IF(FLOOR(Q590,5)&gt;80,80,FLOOR(Q590,5))</f>
        <v>0</v>
      </c>
      <c r="X590" s="1663"/>
      <c r="Y590" s="1663"/>
      <c r="Z590" s="1663"/>
      <c r="AA590" s="1663"/>
      <c r="AB590" s="1664"/>
      <c r="AC590" s="1662">
        <v>0</v>
      </c>
      <c r="AD590" s="1663"/>
      <c r="AE590" s="1663"/>
      <c r="AF590" s="1663"/>
      <c r="AG590" s="1663"/>
      <c r="AH590" s="1664"/>
      <c r="AN590" s="281"/>
      <c r="AX590"/>
      <c r="AY590"/>
      <c r="AZ590"/>
      <c r="BA590"/>
      <c r="BB590"/>
      <c r="BC590"/>
      <c r="BD590"/>
      <c r="BE590"/>
      <c r="BF590"/>
      <c r="BG590"/>
      <c r="BH590"/>
      <c r="BI590" s="34" t="s">
        <v>610</v>
      </c>
      <c r="BJ590" s="1788">
        <f>AX589+BB589+BF589+BJ589+BN589</f>
        <v>1</v>
      </c>
      <c r="BK590" s="1789"/>
      <c r="BL590" s="1789"/>
      <c r="BM590" s="1790"/>
      <c r="BN590"/>
      <c r="BO590"/>
      <c r="BP590"/>
      <c r="BQ590"/>
    </row>
    <row r="591" spans="5:96" s="4" customFormat="1" ht="12.75" customHeight="1">
      <c r="E591" s="1650"/>
      <c r="F591" s="1651"/>
      <c r="G591" s="1651"/>
      <c r="H591" s="1651"/>
      <c r="I591" s="1651"/>
      <c r="J591" s="1652"/>
      <c r="K591" s="1653" t="s">
        <v>2130</v>
      </c>
      <c r="L591" s="1654"/>
      <c r="M591" s="1654"/>
      <c r="N591" s="1654"/>
      <c r="O591" s="1654"/>
      <c r="P591" s="1655"/>
      <c r="Q591" s="1722">
        <f>IF(ISERROR(IF((((E591/$BJ$528)*100)&gt;100),"EXCESSIVE VALUE",(E591/$BJ$528)*100)),0,IF((((E591/$BJ$528)*100)&gt;100),"EXCESSIVE VALUE",(E591/$BJ$528)*100))</f>
        <v>0</v>
      </c>
      <c r="R591" s="1723"/>
      <c r="S591" s="1723"/>
      <c r="T591" s="1723"/>
      <c r="U591" s="1723"/>
      <c r="V591" s="1724"/>
      <c r="W591" s="1662">
        <f>IF(FLOOR(Q591,5)&gt;80,80,FLOOR(Q591,5))</f>
        <v>0</v>
      </c>
      <c r="X591" s="1663"/>
      <c r="Y591" s="1663"/>
      <c r="Z591" s="1663"/>
      <c r="AA591" s="1663"/>
      <c r="AB591" s="1664"/>
      <c r="AC591" s="1662">
        <v>0</v>
      </c>
      <c r="AD591" s="1663"/>
      <c r="AE591" s="1663"/>
      <c r="AF591" s="1663"/>
      <c r="AG591" s="1663"/>
      <c r="AH591" s="1664"/>
      <c r="AN591" s="281"/>
      <c r="AX591"/>
      <c r="AY591"/>
      <c r="AZ591"/>
      <c r="BA591"/>
      <c r="BB591"/>
      <c r="BC591"/>
      <c r="BD591"/>
      <c r="BE591"/>
      <c r="BF591"/>
      <c r="BG591"/>
      <c r="BI591"/>
      <c r="BJ591" t="s">
        <v>609</v>
      </c>
      <c r="BK591"/>
      <c r="BL591"/>
      <c r="BM591"/>
      <c r="BN591"/>
      <c r="BO591"/>
      <c r="BP591"/>
      <c r="BQ591"/>
    </row>
    <row r="592" spans="5:96" s="4" customFormat="1" ht="12.75" customHeight="1">
      <c r="E592" s="1745">
        <f>SUM(E581:J591)</f>
        <v>54</v>
      </c>
      <c r="F592" s="1746"/>
      <c r="G592" s="1746"/>
      <c r="H592" s="1746"/>
      <c r="I592" s="1746"/>
      <c r="J592" s="1747"/>
      <c r="K592" s="89"/>
      <c r="L592" s="89"/>
      <c r="M592" s="89"/>
      <c r="N592" s="89"/>
      <c r="O592" s="89"/>
      <c r="P592" s="89"/>
      <c r="Q592" s="89"/>
      <c r="R592" s="89"/>
      <c r="S592" s="89"/>
      <c r="T592" s="89"/>
      <c r="U592" s="93"/>
      <c r="V592" s="93"/>
      <c r="W592" s="93"/>
      <c r="X592" s="93"/>
      <c r="Y592" s="93"/>
      <c r="Z592" s="89"/>
      <c r="AA592" s="93"/>
      <c r="AB592" s="60" t="s">
        <v>605</v>
      </c>
      <c r="AC592" s="1742">
        <f>IF(SUM(AC581:AH591)&gt;0,SUM(AC581:AH591),0)</f>
        <v>52.5</v>
      </c>
      <c r="AD592" s="1743"/>
      <c r="AE592" s="1743"/>
      <c r="AF592" s="1743"/>
      <c r="AG592" s="1743"/>
      <c r="AH592" s="174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6" t="s">
        <v>103</v>
      </c>
      <c r="AH596" s="1706"/>
      <c r="AI596" s="1706"/>
      <c r="AJ596" s="1706"/>
      <c r="AK596" s="5"/>
      <c r="AL596" s="5"/>
      <c r="AM596" s="5"/>
      <c r="AN596" s="281"/>
    </row>
    <row r="597" spans="1:64" s="4" customFormat="1" ht="12.75" customHeight="1">
      <c r="B597" s="1668" t="s">
        <v>2118</v>
      </c>
      <c r="C597" s="1668"/>
      <c r="D597" s="1668"/>
      <c r="E597" s="1668"/>
      <c r="F597" s="1668"/>
      <c r="G597" s="1668"/>
      <c r="H597" s="1668"/>
      <c r="I597" s="1668"/>
      <c r="J597" s="1668"/>
      <c r="K597" s="1668"/>
      <c r="L597" s="1668"/>
      <c r="M597" s="1668"/>
      <c r="N597" s="1668"/>
      <c r="O597" s="1668"/>
      <c r="P597" s="1668"/>
      <c r="Q597" s="1668"/>
      <c r="R597" s="1668"/>
      <c r="S597" s="1668"/>
      <c r="T597" s="1668"/>
      <c r="U597" s="1668"/>
      <c r="V597" s="1668"/>
      <c r="W597" s="1668"/>
      <c r="X597" s="1668"/>
      <c r="Y597" s="1668"/>
      <c r="Z597" s="1668"/>
      <c r="AA597" s="1668"/>
      <c r="AB597" s="1668"/>
      <c r="AC597" s="1668"/>
      <c r="AD597" s="1668"/>
      <c r="AE597" s="1668"/>
      <c r="AF597" s="1668"/>
      <c r="AG597" s="1668"/>
      <c r="AH597" s="1668"/>
      <c r="AI597" s="21"/>
      <c r="AJ597" s="21"/>
      <c r="AK597"/>
      <c r="AL597"/>
      <c r="AM597"/>
      <c r="AN597" s="281"/>
    </row>
    <row r="598" spans="1:64" s="4" customFormat="1" ht="12.75" customHeight="1">
      <c r="A598" s="21"/>
      <c r="B598" s="1668"/>
      <c r="C598" s="1668"/>
      <c r="D598" s="1668"/>
      <c r="E598" s="1668"/>
      <c r="F598" s="1668"/>
      <c r="G598" s="1668"/>
      <c r="H598" s="1668"/>
      <c r="I598" s="1668"/>
      <c r="J598" s="1668"/>
      <c r="K598" s="1668"/>
      <c r="L598" s="1668"/>
      <c r="M598" s="1668"/>
      <c r="N598" s="1668"/>
      <c r="O598" s="1668"/>
      <c r="P598" s="1668"/>
      <c r="Q598" s="1668"/>
      <c r="R598" s="1668"/>
      <c r="S598" s="1668"/>
      <c r="T598" s="1668"/>
      <c r="U598" s="1668"/>
      <c r="V598" s="1668"/>
      <c r="W598" s="1668"/>
      <c r="X598" s="1668"/>
      <c r="Y598" s="1668"/>
      <c r="Z598" s="1668"/>
      <c r="AA598" s="1668"/>
      <c r="AB598" s="1668"/>
      <c r="AC598" s="1668"/>
      <c r="AD598" s="1668"/>
      <c r="AE598" s="1668"/>
      <c r="AF598" s="1668"/>
      <c r="AG598" s="1668"/>
      <c r="AH598" s="1668"/>
      <c r="AI598" s="21"/>
      <c r="AJ598" s="21"/>
      <c r="AK598"/>
      <c r="AL598"/>
      <c r="AM598"/>
      <c r="AN598" s="281"/>
    </row>
    <row r="599" spans="1:64" s="4" customFormat="1" ht="12.75" customHeight="1">
      <c r="A599" s="21"/>
      <c r="B599" s="1668"/>
      <c r="C599" s="1668"/>
      <c r="D599" s="1668"/>
      <c r="E599" s="1668"/>
      <c r="F599" s="1668"/>
      <c r="G599" s="1668"/>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68"/>
      <c r="AI599" s="21"/>
      <c r="AJ599" s="21"/>
      <c r="AK599"/>
      <c r="AL599"/>
      <c r="AM599"/>
      <c r="AN599" s="281"/>
    </row>
    <row r="600" spans="1:64" s="4" customFormat="1" ht="12.75" customHeight="1">
      <c r="A600" s="21"/>
      <c r="B600" s="1668"/>
      <c r="C600" s="1668"/>
      <c r="D600" s="1668"/>
      <c r="E600" s="1668"/>
      <c r="F600" s="1668"/>
      <c r="G600" s="1668"/>
      <c r="H600" s="1668"/>
      <c r="I600" s="1668"/>
      <c r="J600" s="1668"/>
      <c r="K600" s="1668"/>
      <c r="L600" s="1668"/>
      <c r="M600" s="1668"/>
      <c r="N600" s="1668"/>
      <c r="O600" s="1668"/>
      <c r="P600" s="1668"/>
      <c r="Q600" s="1668"/>
      <c r="R600" s="1668"/>
      <c r="S600" s="1668"/>
      <c r="T600" s="1668"/>
      <c r="U600" s="1668"/>
      <c r="V600" s="1668"/>
      <c r="W600" s="1668"/>
      <c r="X600" s="1668"/>
      <c r="Y600" s="1668"/>
      <c r="Z600" s="1668"/>
      <c r="AA600" s="1668"/>
      <c r="AB600" s="1668"/>
      <c r="AC600" s="1668"/>
      <c r="AD600" s="1668"/>
      <c r="AE600" s="1668"/>
      <c r="AF600" s="1668"/>
      <c r="AG600" s="1668"/>
      <c r="AH600" s="1668"/>
      <c r="AI600" s="21"/>
      <c r="AJ600" s="21"/>
      <c r="AK600"/>
      <c r="AL600"/>
      <c r="AM600"/>
      <c r="AN600" s="669"/>
    </row>
    <row r="601" spans="1:64">
      <c r="B601" s="1668"/>
      <c r="C601" s="1668"/>
      <c r="D601" s="1668"/>
      <c r="E601" s="1668"/>
      <c r="F601" s="1668"/>
      <c r="G601" s="1668"/>
      <c r="H601" s="1668"/>
      <c r="I601" s="1668"/>
      <c r="J601" s="1668"/>
      <c r="K601" s="1668"/>
      <c r="L601" s="1668"/>
      <c r="M601" s="1668"/>
      <c r="N601" s="1668"/>
      <c r="O601" s="1668"/>
      <c r="P601" s="1668"/>
      <c r="Q601" s="1668"/>
      <c r="R601" s="1668"/>
      <c r="S601" s="1668"/>
      <c r="T601" s="1668"/>
      <c r="U601" s="1668"/>
      <c r="V601" s="1668"/>
      <c r="W601" s="1668"/>
      <c r="X601" s="1668"/>
      <c r="Y601" s="1668"/>
      <c r="Z601" s="1668"/>
      <c r="AA601" s="1668"/>
      <c r="AB601" s="1668"/>
      <c r="AC601" s="1668"/>
      <c r="AD601" s="1668"/>
      <c r="AE601" s="1668"/>
      <c r="AF601" s="1668"/>
      <c r="AG601" s="1668"/>
      <c r="AH601" s="1668"/>
      <c r="AK601"/>
      <c r="AL601"/>
      <c r="AM601"/>
      <c r="BD601" s="21"/>
      <c r="BE601" s="21"/>
      <c r="BF601" s="21"/>
      <c r="BG601" s="21"/>
      <c r="BH601" s="21"/>
    </row>
    <row r="602" spans="1:64" ht="12.75" customHeight="1">
      <c r="B602" s="1668"/>
      <c r="C602" s="1668"/>
      <c r="D602" s="1668"/>
      <c r="E602" s="1668"/>
      <c r="F602" s="1668"/>
      <c r="G602" s="1668"/>
      <c r="H602" s="1668"/>
      <c r="I602" s="1668"/>
      <c r="J602" s="1668"/>
      <c r="K602" s="1668"/>
      <c r="L602" s="1668"/>
      <c r="M602" s="1668"/>
      <c r="N602" s="1668"/>
      <c r="O602" s="1668"/>
      <c r="P602" s="1668"/>
      <c r="Q602" s="1668"/>
      <c r="R602" s="1668"/>
      <c r="S602" s="1668"/>
      <c r="T602" s="1668"/>
      <c r="U602" s="1668"/>
      <c r="V602" s="1668"/>
      <c r="W602" s="1668"/>
      <c r="X602" s="1668"/>
      <c r="Y602" s="1668"/>
      <c r="Z602" s="1668"/>
      <c r="AA602" s="1668"/>
      <c r="AB602" s="1668"/>
      <c r="AC602" s="1668"/>
      <c r="AD602" s="1668"/>
      <c r="AE602" s="1668"/>
      <c r="AF602" s="1668"/>
      <c r="AG602" s="1668"/>
      <c r="AH602" s="1668"/>
    </row>
    <row r="603" spans="1:64" ht="12.75" customHeight="1">
      <c r="E603" s="162"/>
    </row>
    <row r="604" spans="1:64">
      <c r="J604" s="1799" t="s">
        <v>795</v>
      </c>
      <c r="K604" s="1800"/>
      <c r="L604" s="1800"/>
      <c r="M604" s="1800"/>
      <c r="N604" s="1801"/>
      <c r="O604" s="1504" t="s">
        <v>1505</v>
      </c>
      <c r="P604" s="1505"/>
      <c r="Q604" s="1505"/>
      <c r="R604" s="1505"/>
      <c r="S604" s="1506"/>
      <c r="T604" s="1504" t="s">
        <v>1768</v>
      </c>
      <c r="U604" s="1505"/>
      <c r="V604" s="1505"/>
      <c r="W604" s="1505"/>
      <c r="X604" s="1506"/>
      <c r="Y604" s="1504" t="s">
        <v>1506</v>
      </c>
      <c r="Z604" s="1505"/>
      <c r="AA604" s="1505"/>
      <c r="AB604" s="1505"/>
      <c r="AC604" s="1506"/>
      <c r="AF604"/>
      <c r="AG604"/>
      <c r="AH604"/>
      <c r="AI604"/>
      <c r="AJ604"/>
    </row>
    <row r="605" spans="1:64">
      <c r="D605"/>
      <c r="E605"/>
      <c r="F605"/>
      <c r="G605"/>
      <c r="H605"/>
      <c r="I605"/>
      <c r="J605" s="1699"/>
      <c r="K605" s="1700"/>
      <c r="L605" s="1700"/>
      <c r="M605" s="1700"/>
      <c r="N605" s="1802"/>
      <c r="O605" s="1507"/>
      <c r="P605" s="1508"/>
      <c r="Q605" s="1508"/>
      <c r="R605" s="1508"/>
      <c r="S605" s="1509"/>
      <c r="T605" s="1507"/>
      <c r="U605" s="1508"/>
      <c r="V605" s="1508"/>
      <c r="W605" s="1508"/>
      <c r="X605" s="1509"/>
      <c r="Y605" s="1507"/>
      <c r="Z605" s="1508"/>
      <c r="AA605" s="1508"/>
      <c r="AB605" s="1508"/>
      <c r="AC605" s="1509"/>
      <c r="AF605"/>
      <c r="AG605"/>
      <c r="AH605"/>
      <c r="AI605"/>
      <c r="AJ605"/>
      <c r="AO605" s="38" t="s">
        <v>2228</v>
      </c>
      <c r="AR605" s="21" t="b">
        <f>$Y$614&gt;=10%</f>
        <v>1</v>
      </c>
    </row>
    <row r="606" spans="1:64">
      <c r="I606"/>
      <c r="J606" s="1699"/>
      <c r="K606" s="1700"/>
      <c r="L606" s="1700"/>
      <c r="M606" s="1700"/>
      <c r="N606" s="1802"/>
      <c r="O606" s="1507"/>
      <c r="P606" s="1508"/>
      <c r="Q606" s="1508"/>
      <c r="R606" s="1508"/>
      <c r="S606" s="1509"/>
      <c r="T606" s="1507"/>
      <c r="U606" s="1508"/>
      <c r="V606" s="1508"/>
      <c r="W606" s="1508"/>
      <c r="X606" s="1509"/>
      <c r="Y606" s="1507"/>
      <c r="Z606" s="1508"/>
      <c r="AA606" s="1508"/>
      <c r="AB606" s="1508"/>
      <c r="AC606" s="1509"/>
      <c r="AD606"/>
      <c r="AF606"/>
      <c r="AG606"/>
      <c r="AH606"/>
      <c r="AI606"/>
      <c r="AJ606"/>
      <c r="AO606" s="38" t="s">
        <v>2229</v>
      </c>
      <c r="AR606" s="955">
        <f>ROUNDUP(($O$614*10%),0)</f>
        <v>6</v>
      </c>
    </row>
    <row r="607" spans="1:64">
      <c r="D607"/>
      <c r="E607"/>
      <c r="F607"/>
      <c r="G607"/>
      <c r="H607"/>
      <c r="I607"/>
      <c r="J607" s="1699"/>
      <c r="K607" s="1700"/>
      <c r="L607" s="1700"/>
      <c r="M607" s="1700"/>
      <c r="N607" s="1802"/>
      <c r="O607" s="1507"/>
      <c r="P607" s="1508"/>
      <c r="Q607" s="1508"/>
      <c r="R607" s="1508"/>
      <c r="S607" s="1509"/>
      <c r="T607" s="1507"/>
      <c r="U607" s="1508"/>
      <c r="V607" s="1508"/>
      <c r="W607" s="1508"/>
      <c r="X607" s="1509"/>
      <c r="Y607" s="1507"/>
      <c r="Z607" s="1508"/>
      <c r="AA607" s="1508"/>
      <c r="AB607" s="1508"/>
      <c r="AC607" s="1509"/>
      <c r="AD607"/>
      <c r="AF607"/>
      <c r="AG607"/>
      <c r="AH607"/>
      <c r="AI607"/>
      <c r="AJ607"/>
      <c r="AO607" s="38" t="s">
        <v>2230</v>
      </c>
      <c r="AR607" s="21" t="s">
        <v>2231</v>
      </c>
    </row>
    <row r="608" spans="1:64">
      <c r="D608"/>
      <c r="E608"/>
      <c r="F608"/>
      <c r="G608"/>
      <c r="H608"/>
      <c r="I608"/>
      <c r="J608" s="1730" t="s">
        <v>225</v>
      </c>
      <c r="K608" s="1731"/>
      <c r="L608" s="1731"/>
      <c r="M608" s="1731"/>
      <c r="N608" s="1732"/>
      <c r="O608" s="1653">
        <f>Application!CM626</f>
        <v>0</v>
      </c>
      <c r="P608" s="1654"/>
      <c r="Q608" s="1654"/>
      <c r="R608" s="1654"/>
      <c r="S608" s="1655"/>
      <c r="T608" s="1653">
        <f>Application!DR627</f>
        <v>0</v>
      </c>
      <c r="U608" s="1654"/>
      <c r="V608" s="1654"/>
      <c r="W608" s="1654"/>
      <c r="X608" s="1655"/>
      <c r="Y608" s="1737">
        <f t="shared" ref="Y608:Y612" si="8">IF(T608&gt;0,T608/O608,0)</f>
        <v>0</v>
      </c>
      <c r="Z608" s="1738"/>
      <c r="AA608" s="1738"/>
      <c r="AB608" s="1738"/>
      <c r="AC608" s="1739"/>
      <c r="AD608"/>
      <c r="AF608"/>
      <c r="AG608"/>
      <c r="AH608"/>
      <c r="AI608"/>
      <c r="AJ608"/>
      <c r="AO608" s="955">
        <f>ROUNDUP((O608*10%),0)</f>
        <v>0</v>
      </c>
      <c r="AP608" s="206"/>
      <c r="AR608" s="956" t="b">
        <f>OR(SUM($T$608:T608)&gt;=$AR$606,T608&gt;=AO608)</f>
        <v>1</v>
      </c>
    </row>
    <row r="609" spans="1:60">
      <c r="D609"/>
      <c r="E609"/>
      <c r="F609"/>
      <c r="G609"/>
      <c r="H609"/>
      <c r="I609"/>
      <c r="J609" s="1730" t="s">
        <v>31</v>
      </c>
      <c r="K609" s="1731"/>
      <c r="L609" s="1731"/>
      <c r="M609" s="1731"/>
      <c r="N609" s="1732"/>
      <c r="O609" s="1653">
        <f>Application!CH626</f>
        <v>0</v>
      </c>
      <c r="P609" s="1654"/>
      <c r="Q609" s="1654"/>
      <c r="R609" s="1654"/>
      <c r="S609" s="1655"/>
      <c r="T609" s="1653">
        <f>Application!DM627</f>
        <v>0</v>
      </c>
      <c r="U609" s="1654"/>
      <c r="V609" s="1654"/>
      <c r="W609" s="1654"/>
      <c r="X609" s="1655"/>
      <c r="Y609" s="1737">
        <f t="shared" si="8"/>
        <v>0</v>
      </c>
      <c r="Z609" s="1738"/>
      <c r="AA609" s="1738"/>
      <c r="AB609" s="1738"/>
      <c r="AC609" s="1739"/>
      <c r="AD609"/>
      <c r="AF609"/>
      <c r="AG609"/>
      <c r="AH609"/>
      <c r="AI609"/>
      <c r="AJ609"/>
      <c r="AO609" s="955">
        <f t="shared" ref="AO609:AO613" si="9">ROUNDUP((O609*10%),0)</f>
        <v>0</v>
      </c>
      <c r="AP609" s="206"/>
      <c r="AR609" s="956" t="b">
        <f>OR(SUM($T$608:T609)&gt;=$AR$606,T609&gt;=AO609)</f>
        <v>1</v>
      </c>
    </row>
    <row r="610" spans="1:60">
      <c r="D610"/>
      <c r="E610"/>
      <c r="F610"/>
      <c r="G610"/>
      <c r="H610"/>
      <c r="I610"/>
      <c r="J610" s="1730" t="s">
        <v>265</v>
      </c>
      <c r="K610" s="1731"/>
      <c r="L610" s="1731"/>
      <c r="M610" s="1731"/>
      <c r="N610" s="1732"/>
      <c r="O610" s="1653">
        <f>Application!CC626</f>
        <v>14</v>
      </c>
      <c r="P610" s="1654"/>
      <c r="Q610" s="1654"/>
      <c r="R610" s="1654"/>
      <c r="S610" s="1655"/>
      <c r="T610" s="1653">
        <f>Application!DH627</f>
        <v>2</v>
      </c>
      <c r="U610" s="1654"/>
      <c r="V610" s="1654"/>
      <c r="W610" s="1654"/>
      <c r="X610" s="1655"/>
      <c r="Y610" s="1737">
        <f t="shared" si="8"/>
        <v>0.14285714285714285</v>
      </c>
      <c r="Z610" s="1738"/>
      <c r="AA610" s="1738"/>
      <c r="AB610" s="1738"/>
      <c r="AC610" s="1739"/>
      <c r="AD610"/>
      <c r="AF610"/>
      <c r="AG610"/>
      <c r="AH610"/>
      <c r="AI610"/>
      <c r="AJ610"/>
      <c r="AO610" s="955">
        <f t="shared" si="9"/>
        <v>2</v>
      </c>
      <c r="AP610" s="206"/>
      <c r="AR610" s="956" t="b">
        <f>OR(SUM($T$608:T610)&gt;=$AR$606,T610&gt;=AO610)</f>
        <v>1</v>
      </c>
    </row>
    <row r="611" spans="1:60">
      <c r="D611"/>
      <c r="E611"/>
      <c r="F611"/>
      <c r="G611"/>
      <c r="H611"/>
      <c r="I611"/>
      <c r="J611" s="1730" t="s">
        <v>264</v>
      </c>
      <c r="K611" s="1731"/>
      <c r="L611" s="1731"/>
      <c r="M611" s="1731"/>
      <c r="N611" s="1732"/>
      <c r="O611" s="1653">
        <f>Application!BX626</f>
        <v>28</v>
      </c>
      <c r="P611" s="1654"/>
      <c r="Q611" s="1654"/>
      <c r="R611" s="1654"/>
      <c r="S611" s="1655"/>
      <c r="T611" s="1653">
        <f>Application!DC627</f>
        <v>3</v>
      </c>
      <c r="U611" s="1654"/>
      <c r="V611" s="1654"/>
      <c r="W611" s="1654"/>
      <c r="X611" s="1655"/>
      <c r="Y611" s="1737">
        <f t="shared" si="8"/>
        <v>0.10714285714285714</v>
      </c>
      <c r="Z611" s="1738"/>
      <c r="AA611" s="1738"/>
      <c r="AB611" s="1738"/>
      <c r="AC611" s="1739"/>
      <c r="AD611"/>
      <c r="AF611"/>
      <c r="AG611"/>
      <c r="AH611"/>
      <c r="AI611"/>
      <c r="AJ611"/>
      <c r="AO611" s="955">
        <f t="shared" si="9"/>
        <v>3</v>
      </c>
      <c r="AP611" s="206"/>
      <c r="AR611" s="956" t="b">
        <f>OR(SUM($T$608:T611)&gt;=$AR$606,T611&gt;=AO611)</f>
        <v>1</v>
      </c>
    </row>
    <row r="612" spans="1:60">
      <c r="D612"/>
      <c r="E612"/>
      <c r="F612"/>
      <c r="G612"/>
      <c r="H612"/>
      <c r="I612"/>
      <c r="J612" s="1730" t="s">
        <v>263</v>
      </c>
      <c r="K612" s="1731"/>
      <c r="L612" s="1731"/>
      <c r="M612" s="1731"/>
      <c r="N612" s="1732"/>
      <c r="O612" s="1653">
        <f>Application!BS626</f>
        <v>12</v>
      </c>
      <c r="P612" s="1654"/>
      <c r="Q612" s="1654"/>
      <c r="R612" s="1654"/>
      <c r="S612" s="1655"/>
      <c r="T612" s="1653">
        <f>Application!CX627</f>
        <v>2</v>
      </c>
      <c r="U612" s="1654"/>
      <c r="V612" s="1654"/>
      <c r="W612" s="1654"/>
      <c r="X612" s="1655"/>
      <c r="Y612" s="1737">
        <f t="shared" si="8"/>
        <v>0.16666666666666666</v>
      </c>
      <c r="Z612" s="1738"/>
      <c r="AA612" s="1738"/>
      <c r="AB612" s="1738"/>
      <c r="AC612" s="1739"/>
      <c r="AD612"/>
      <c r="AF612"/>
      <c r="AG612"/>
      <c r="AH612"/>
      <c r="AI612"/>
      <c r="AJ612"/>
      <c r="AO612" s="955">
        <f t="shared" si="9"/>
        <v>2</v>
      </c>
      <c r="AP612" s="206"/>
      <c r="AR612" s="956" t="b">
        <f>OR(SUM($T$608:T612)&gt;=$AR$606,T612&gt;=AO612)</f>
        <v>1</v>
      </c>
    </row>
    <row r="613" spans="1:60">
      <c r="D613"/>
      <c r="E613"/>
      <c r="F613"/>
      <c r="G613"/>
      <c r="H613"/>
      <c r="I613"/>
      <c r="J613" s="1730" t="s">
        <v>615</v>
      </c>
      <c r="K613" s="1731"/>
      <c r="L613" s="1731"/>
      <c r="M613" s="1731"/>
      <c r="N613" s="1732"/>
      <c r="O613" s="1653">
        <f>Application!BN626</f>
        <v>0</v>
      </c>
      <c r="P613" s="1654"/>
      <c r="Q613" s="1654"/>
      <c r="R613" s="1654"/>
      <c r="S613" s="1655"/>
      <c r="T613" s="1653">
        <f>Application!CS627</f>
        <v>0</v>
      </c>
      <c r="U613" s="1654"/>
      <c r="V613" s="1654"/>
      <c r="W613" s="1654"/>
      <c r="X613" s="1655"/>
      <c r="Y613" s="1737">
        <f>IF(T613&gt;0,T613/O613,0)</f>
        <v>0</v>
      </c>
      <c r="Z613" s="1738"/>
      <c r="AA613" s="1738"/>
      <c r="AB613" s="1738"/>
      <c r="AC613" s="1739"/>
      <c r="AD613"/>
      <c r="AF613"/>
      <c r="AG613"/>
      <c r="AH613"/>
      <c r="AI613"/>
      <c r="AJ613"/>
      <c r="AO613" s="955">
        <f t="shared" si="9"/>
        <v>0</v>
      </c>
      <c r="AP613" s="206"/>
      <c r="AR613" s="956" t="b">
        <f>OR(SUM($T$608:T613)&gt;=$AR$606,T613&gt;=AO613)</f>
        <v>1</v>
      </c>
    </row>
    <row r="614" spans="1:60">
      <c r="D614"/>
      <c r="E614"/>
      <c r="F614"/>
      <c r="G614"/>
      <c r="H614"/>
      <c r="I614"/>
      <c r="J614" s="1153" t="s">
        <v>876</v>
      </c>
      <c r="K614" s="1154"/>
      <c r="L614" s="1154"/>
      <c r="M614" s="1154"/>
      <c r="N614" s="1155"/>
      <c r="O614" s="1719">
        <f>SUM(O608:S613)</f>
        <v>54</v>
      </c>
      <c r="P614" s="1720"/>
      <c r="Q614" s="1720"/>
      <c r="R614" s="1720"/>
      <c r="S614" s="1721"/>
      <c r="T614" s="1719">
        <f>SUM(T608:X613)</f>
        <v>7</v>
      </c>
      <c r="U614" s="1720"/>
      <c r="V614" s="1720"/>
      <c r="W614" s="1720"/>
      <c r="X614" s="1721"/>
      <c r="Y614" s="1796">
        <f>IF(T614&gt;0,T614/O614,0)</f>
        <v>0.12962962962962962</v>
      </c>
      <c r="Z614" s="1797"/>
      <c r="AA614" s="1797"/>
      <c r="AB614" s="1797"/>
      <c r="AC614" s="179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6">
        <f>IF(AND(AR605,AR608,AR609,AR610,AR611,AR612,AR613),2,0)</f>
        <v>2</v>
      </c>
      <c r="AK617" s="177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3" t="s">
        <v>180</v>
      </c>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c r="AB619" s="1803"/>
      <c r="AC619" s="1803"/>
      <c r="AD619" s="1803"/>
      <c r="AE619" s="1803"/>
      <c r="AF619" s="1803"/>
      <c r="AG619" s="1803"/>
      <c r="AH619" s="1803"/>
      <c r="AI619" s="1803"/>
      <c r="AJ619" s="1803"/>
      <c r="AK619" s="1265">
        <f>IF($E$592=Application!G730,$AC$592+$AJ$617,0)</f>
        <v>54.5</v>
      </c>
      <c r="AL619" s="1266"/>
      <c r="AM619" s="126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0" t="s">
        <v>1510</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79" t="s">
        <v>2221</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5" t="s">
        <v>938</v>
      </c>
      <c r="AH627" s="1035"/>
      <c r="AI627" s="1035"/>
      <c r="AJ627" s="1035"/>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65"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0" t="s">
        <v>2226</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5"/>
      <c r="AJ631" s="4"/>
      <c r="AK631" s="4"/>
      <c r="AL631" s="4"/>
      <c r="AM631" s="4"/>
      <c r="AN631" s="79"/>
    </row>
    <row r="632" spans="1:44" ht="13.65"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c r="AR632" s="41"/>
    </row>
    <row r="633" spans="1:44" ht="13.65"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44" ht="13.65"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44" ht="13.65"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44" ht="13.65"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44" ht="13.65"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2"/>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2"/>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2"/>
      <c r="AJ641" s="4"/>
      <c r="AK641" s="4"/>
      <c r="AL641" s="4"/>
      <c r="AM641" s="4"/>
      <c r="AN641" s="79"/>
    </row>
    <row r="642" spans="1:60" s="644" customFormat="1" ht="12.45"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2"/>
      <c r="AJ642" s="4"/>
      <c r="AK642" s="4"/>
      <c r="AL642" s="4"/>
      <c r="AM642" s="4"/>
      <c r="AN642" s="678"/>
      <c r="BD642" s="646"/>
      <c r="BE642" s="646"/>
      <c r="BF642" s="646"/>
      <c r="BG642" s="646"/>
      <c r="BH642" s="646"/>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108</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124</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0" t="s">
        <v>2212</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4" t="s">
        <v>722</v>
      </c>
      <c r="B691" s="1794"/>
      <c r="C691" s="1794"/>
      <c r="D691" s="1794"/>
      <c r="E691" s="1794"/>
      <c r="F691" s="1794"/>
      <c r="G691" s="1794"/>
      <c r="H691" s="1794"/>
      <c r="I691" s="1794"/>
      <c r="J691" s="1794"/>
      <c r="K691" s="1794"/>
      <c r="L691" s="1794"/>
      <c r="M691" s="1794"/>
      <c r="N691" s="1794"/>
      <c r="O691" s="1794"/>
      <c r="P691" s="1794"/>
      <c r="Q691" s="1794"/>
      <c r="R691" s="1794"/>
      <c r="S691" s="1794"/>
      <c r="T691" s="1794"/>
      <c r="U691" s="1794"/>
      <c r="V691" s="1794"/>
      <c r="W691" s="1794"/>
      <c r="X691" s="1794"/>
      <c r="Y691" s="1794"/>
      <c r="Z691" s="1794"/>
      <c r="AA691" s="1794"/>
      <c r="AB691" s="1794"/>
      <c r="AC691" s="1794"/>
      <c r="AD691" s="1794"/>
      <c r="AE691" s="1794"/>
      <c r="AF691" s="1794"/>
      <c r="AG691" s="1794"/>
      <c r="AH691" s="1794"/>
      <c r="AI691" s="1794"/>
      <c r="AJ691" s="1794"/>
      <c r="AK691" s="1794"/>
      <c r="AL691" s="1794"/>
      <c r="AM691" s="1794"/>
      <c r="AO691" s="206"/>
      <c r="AP691" s="206"/>
      <c r="AQ691" s="206"/>
    </row>
    <row r="692" spans="1:43">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c r="AB692" s="1795"/>
      <c r="AC692" s="1795"/>
      <c r="AD692" s="1795"/>
      <c r="AE692" s="1795"/>
      <c r="AF692" s="1795"/>
      <c r="AG692" s="1795"/>
      <c r="AH692" s="1795"/>
      <c r="AI692" s="1795"/>
      <c r="AJ692" s="1795"/>
      <c r="AK692" s="1795"/>
      <c r="AL692" s="1795"/>
      <c r="AM692" s="179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8" t="s">
        <v>234</v>
      </c>
      <c r="U696" s="1546"/>
      <c r="V696" s="1546"/>
      <c r="W696" s="1546"/>
      <c r="X696" s="1546"/>
      <c r="Y696" s="1547"/>
      <c r="Z696" s="1548" t="s">
        <v>233</v>
      </c>
      <c r="AA696" s="1546"/>
      <c r="AB696" s="1546"/>
      <c r="AC696" s="1546"/>
      <c r="AD696" s="1546"/>
      <c r="AE696" s="1547"/>
      <c r="AF696" s="1548" t="s">
        <v>235</v>
      </c>
      <c r="AG696" s="1546"/>
      <c r="AH696" s="1546"/>
      <c r="AI696" s="1546"/>
      <c r="AJ696" s="1546"/>
      <c r="AK696" s="154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39"/>
      <c r="U697" s="1540"/>
      <c r="V697" s="1540"/>
      <c r="W697" s="1540"/>
      <c r="X697" s="1540"/>
      <c r="Y697" s="1541"/>
      <c r="Z697" s="1539"/>
      <c r="AA697" s="1540"/>
      <c r="AB697" s="1540"/>
      <c r="AC697" s="1540"/>
      <c r="AD697" s="1540"/>
      <c r="AE697" s="1541"/>
      <c r="AF697" s="1539"/>
      <c r="AG697" s="1540"/>
      <c r="AH697" s="1540"/>
      <c r="AI697" s="1540"/>
      <c r="AJ697" s="1540"/>
      <c r="AK697" s="1541"/>
      <c r="AL697" s="778"/>
      <c r="AM697" s="20"/>
    </row>
    <row r="698" spans="1:43">
      <c r="A698" s="594" t="s">
        <v>653</v>
      </c>
      <c r="B698" s="1763" t="s">
        <v>270</v>
      </c>
      <c r="C698" s="1763"/>
      <c r="D698" s="1763"/>
      <c r="E698" s="1763"/>
      <c r="F698" s="1763"/>
      <c r="G698" s="1763"/>
      <c r="H698" s="1763"/>
      <c r="I698" s="1763"/>
      <c r="J698" s="1763"/>
      <c r="K698" s="1763"/>
      <c r="L698" s="1763"/>
      <c r="M698" s="1763"/>
      <c r="N698" s="1763"/>
      <c r="O698" s="1763"/>
      <c r="P698" s="1763"/>
      <c r="Q698" s="1763"/>
      <c r="R698" s="1763"/>
      <c r="S698" s="1764"/>
      <c r="T698" s="1762">
        <f>SUM(T699:Y700)</f>
        <v>10</v>
      </c>
      <c r="U698" s="1762"/>
      <c r="V698" s="1762"/>
      <c r="W698" s="1762"/>
      <c r="X698" s="1762"/>
      <c r="Y698" s="1762"/>
      <c r="Z698" s="1494">
        <v>10</v>
      </c>
      <c r="AA698" s="1494"/>
      <c r="AB698" s="1494"/>
      <c r="AC698" s="1494"/>
      <c r="AD698" s="1494"/>
      <c r="AE698" s="1494"/>
      <c r="AF698" s="1494">
        <f>IF(T698&gt;Z698,Z698,T698)</f>
        <v>10</v>
      </c>
      <c r="AG698" s="1494"/>
      <c r="AH698" s="1494"/>
      <c r="AI698" s="1494"/>
      <c r="AJ698" s="1494"/>
      <c r="AK698" s="1494"/>
      <c r="AL698" s="778"/>
      <c r="AM698" s="20"/>
      <c r="AO698" s="4">
        <f>IF(T707&gt;50,50,T707)</f>
        <v>50</v>
      </c>
    </row>
    <row r="699" spans="1:43">
      <c r="A699" s="614"/>
      <c r="B699" s="615"/>
      <c r="C699" s="620"/>
      <c r="D699" s="306" t="s">
        <v>210</v>
      </c>
      <c r="E699" s="1766" t="s">
        <v>236</v>
      </c>
      <c r="F699" s="1766"/>
      <c r="G699" s="1766"/>
      <c r="H699" s="1766"/>
      <c r="I699" s="1766"/>
      <c r="J699" s="1766"/>
      <c r="K699" s="1766"/>
      <c r="L699" s="1766"/>
      <c r="M699" s="1766"/>
      <c r="N699" s="1766"/>
      <c r="O699" s="1766"/>
      <c r="P699" s="1766"/>
      <c r="Q699" s="1766"/>
      <c r="R699" s="1766"/>
      <c r="S699" s="1767"/>
      <c r="T699" s="1765">
        <f>AJ31</f>
        <v>7</v>
      </c>
      <c r="U699" s="1765"/>
      <c r="V699" s="1765"/>
      <c r="W699" s="1765"/>
      <c r="X699" s="1765"/>
      <c r="Y699" s="1765"/>
      <c r="Z699" s="1665">
        <v>7</v>
      </c>
      <c r="AA699" s="1665"/>
      <c r="AB699" s="1665"/>
      <c r="AC699" s="1665"/>
      <c r="AD699" s="1665"/>
      <c r="AE699" s="1665"/>
      <c r="AF699" s="1778"/>
      <c r="AG699" s="1778"/>
      <c r="AH699" s="1778"/>
      <c r="AI699" s="1778"/>
      <c r="AJ699" s="1778"/>
      <c r="AK699" s="1778"/>
      <c r="AL699" s="778"/>
      <c r="AM699" s="20"/>
    </row>
    <row r="700" spans="1:43">
      <c r="A700" s="616"/>
      <c r="B700" s="615"/>
      <c r="C700" s="615"/>
      <c r="D700" s="306" t="s">
        <v>428</v>
      </c>
      <c r="E700" s="1766" t="s">
        <v>237</v>
      </c>
      <c r="F700" s="1766"/>
      <c r="G700" s="1766"/>
      <c r="H700" s="1766"/>
      <c r="I700" s="1766"/>
      <c r="J700" s="1766"/>
      <c r="K700" s="1766"/>
      <c r="L700" s="1766"/>
      <c r="M700" s="1766"/>
      <c r="N700" s="1766"/>
      <c r="O700" s="1766"/>
      <c r="P700" s="1766"/>
      <c r="Q700" s="1766"/>
      <c r="R700" s="1766"/>
      <c r="S700" s="1767"/>
      <c r="T700" s="1765">
        <f>AJ47</f>
        <v>3</v>
      </c>
      <c r="U700" s="1765"/>
      <c r="V700" s="1765"/>
      <c r="W700" s="1765"/>
      <c r="X700" s="1765"/>
      <c r="Y700" s="1765"/>
      <c r="Z700" s="1665">
        <v>3</v>
      </c>
      <c r="AA700" s="1665"/>
      <c r="AB700" s="1665"/>
      <c r="AC700" s="1665"/>
      <c r="AD700" s="1665"/>
      <c r="AE700" s="1665"/>
      <c r="AF700" s="1778"/>
      <c r="AG700" s="1778"/>
      <c r="AH700" s="1778"/>
      <c r="AI700" s="1778"/>
      <c r="AJ700" s="1778"/>
      <c r="AK700" s="1778"/>
      <c r="AL700" s="778"/>
      <c r="AM700" s="20"/>
    </row>
    <row r="701" spans="1:43">
      <c r="A701" s="594" t="s">
        <v>8</v>
      </c>
      <c r="B701" s="1763" t="s">
        <v>271</v>
      </c>
      <c r="C701" s="1763"/>
      <c r="D701" s="1763"/>
      <c r="E701" s="1763"/>
      <c r="F701" s="1763"/>
      <c r="G701" s="1763"/>
      <c r="H701" s="1763"/>
      <c r="I701" s="1763"/>
      <c r="J701" s="1763"/>
      <c r="K701" s="1763"/>
      <c r="L701" s="1763"/>
      <c r="M701" s="1763"/>
      <c r="N701" s="1763"/>
      <c r="O701" s="1763"/>
      <c r="P701" s="1763"/>
      <c r="Q701" s="1763"/>
      <c r="R701" s="1763"/>
      <c r="S701" s="1764"/>
      <c r="T701" s="1762">
        <f>AK68</f>
        <v>10</v>
      </c>
      <c r="U701" s="1762"/>
      <c r="V701" s="1762"/>
      <c r="W701" s="1762"/>
      <c r="X701" s="1762"/>
      <c r="Y701" s="1762"/>
      <c r="Z701" s="1494">
        <v>10</v>
      </c>
      <c r="AA701" s="1494"/>
      <c r="AB701" s="1494"/>
      <c r="AC701" s="1494"/>
      <c r="AD701" s="1494"/>
      <c r="AE701" s="1494"/>
      <c r="AF701" s="1494">
        <f>IF(T701&gt;Z701,Z701,T701)</f>
        <v>10</v>
      </c>
      <c r="AG701" s="1494"/>
      <c r="AH701" s="1494"/>
      <c r="AI701" s="1494"/>
      <c r="AJ701" s="1494"/>
      <c r="AK701" s="1494"/>
      <c r="AL701" s="778"/>
      <c r="AM701" s="20"/>
    </row>
    <row r="702" spans="1:43">
      <c r="A702" s="594" t="s">
        <v>119</v>
      </c>
      <c r="B702" s="1763" t="s">
        <v>272</v>
      </c>
      <c r="C702" s="1763"/>
      <c r="D702" s="1763"/>
      <c r="E702" s="1763"/>
      <c r="F702" s="1763"/>
      <c r="G702" s="1763"/>
      <c r="H702" s="1763"/>
      <c r="I702" s="1763"/>
      <c r="J702" s="1763"/>
      <c r="K702" s="1763"/>
      <c r="L702" s="1763"/>
      <c r="M702" s="1763"/>
      <c r="N702" s="1763"/>
      <c r="O702" s="1763"/>
      <c r="P702" s="1763"/>
      <c r="Q702" s="1763"/>
      <c r="R702" s="1763"/>
      <c r="S702" s="1764"/>
      <c r="T702" s="1762">
        <f>AO693</f>
        <v>25</v>
      </c>
      <c r="U702" s="1762">
        <f>IF(AND(AND(A703&gt;15,15+A704),A704&gt;10,A703+10),A702,0)</f>
        <v>0</v>
      </c>
      <c r="V702" s="1762">
        <f>IF(AND(AND(B703&gt;15,15+B704),B704&gt;10,B703+10),#REF!,0)</f>
        <v>0</v>
      </c>
      <c r="W702" s="1762">
        <f>IF(AND(AND(C703&gt;15,15+C704),C704&gt;10,C703+10),B702,0)</f>
        <v>0</v>
      </c>
      <c r="X702" s="1762" t="e">
        <f>IF(AND(AND(D703&gt;15,15+D704),D704&gt;10,D703+10),D702,0)</f>
        <v>#VALUE!</v>
      </c>
      <c r="Y702" s="1762" t="e">
        <f>IF(AND(AND(E703&gt;15,15+E704),E704&gt;10,E703+10),E702,0)</f>
        <v>#VALUE!</v>
      </c>
      <c r="Z702" s="1494">
        <v>25</v>
      </c>
      <c r="AA702" s="1494"/>
      <c r="AB702" s="1494"/>
      <c r="AC702" s="1494"/>
      <c r="AD702" s="1494"/>
      <c r="AE702" s="1494"/>
      <c r="AF702" s="1494">
        <f>IF(T702&gt;Z702,Z702,T702)</f>
        <v>25</v>
      </c>
      <c r="AG702" s="1494"/>
      <c r="AH702" s="1494"/>
      <c r="AI702" s="1494"/>
      <c r="AJ702" s="1494"/>
      <c r="AK702" s="1494"/>
      <c r="AL702" s="778"/>
      <c r="AM702" s="20"/>
    </row>
    <row r="703" spans="1:43">
      <c r="A703" s="594"/>
      <c r="B703" s="615"/>
      <c r="C703" s="615"/>
      <c r="D703" s="306" t="s">
        <v>1468</v>
      </c>
      <c r="E703" s="1766" t="s">
        <v>294</v>
      </c>
      <c r="F703" s="1766"/>
      <c r="G703" s="1766"/>
      <c r="H703" s="1766"/>
      <c r="I703" s="1766"/>
      <c r="J703" s="1766"/>
      <c r="K703" s="1766"/>
      <c r="L703" s="1766"/>
      <c r="M703" s="1766"/>
      <c r="N703" s="1766"/>
      <c r="O703" s="1766"/>
      <c r="P703" s="1766"/>
      <c r="Q703" s="1766"/>
      <c r="R703" s="1766"/>
      <c r="S703" s="1767"/>
      <c r="T703" s="1765">
        <f>AK283</f>
        <v>19</v>
      </c>
      <c r="U703" s="1765"/>
      <c r="V703" s="1765"/>
      <c r="W703" s="1765"/>
      <c r="X703" s="1765"/>
      <c r="Y703" s="1765"/>
      <c r="Z703" s="1665">
        <v>15</v>
      </c>
      <c r="AA703" s="1665"/>
      <c r="AB703" s="1665"/>
      <c r="AC703" s="1665"/>
      <c r="AD703" s="1665"/>
      <c r="AE703" s="1665"/>
      <c r="AF703" s="1778"/>
      <c r="AG703" s="1778"/>
      <c r="AH703" s="1778"/>
      <c r="AI703" s="1778"/>
      <c r="AJ703" s="1778"/>
      <c r="AK703" s="1778"/>
      <c r="AL703" s="778"/>
      <c r="AM703" s="20"/>
    </row>
    <row r="704" spans="1:43">
      <c r="A704" s="617"/>
      <c r="B704" s="90"/>
      <c r="C704" s="90"/>
      <c r="D704" s="618" t="s">
        <v>1469</v>
      </c>
      <c r="E704" s="1766" t="s">
        <v>295</v>
      </c>
      <c r="F704" s="1766"/>
      <c r="G704" s="1766"/>
      <c r="H704" s="1766"/>
      <c r="I704" s="1766"/>
      <c r="J704" s="1766"/>
      <c r="K704" s="1766"/>
      <c r="L704" s="1766"/>
      <c r="M704" s="1766"/>
      <c r="N704" s="1766"/>
      <c r="O704" s="1766"/>
      <c r="P704" s="1766"/>
      <c r="Q704" s="1766"/>
      <c r="R704" s="1766"/>
      <c r="S704" s="1767"/>
      <c r="T704" s="1765">
        <f>AK474</f>
        <v>10</v>
      </c>
      <c r="U704" s="1765"/>
      <c r="V704" s="1765"/>
      <c r="W704" s="1765"/>
      <c r="X704" s="1765"/>
      <c r="Y704" s="1765"/>
      <c r="Z704" s="1665">
        <v>10</v>
      </c>
      <c r="AA704" s="1665"/>
      <c r="AB704" s="1665"/>
      <c r="AC704" s="1665"/>
      <c r="AD704" s="1665"/>
      <c r="AE704" s="1665"/>
      <c r="AF704" s="1778"/>
      <c r="AG704" s="1778"/>
      <c r="AH704" s="1778"/>
      <c r="AI704" s="1778"/>
      <c r="AJ704" s="1778"/>
      <c r="AK704" s="1778"/>
      <c r="AL704" s="778"/>
      <c r="AM704" s="20"/>
    </row>
    <row r="705" spans="1:39" hidden="1">
      <c r="A705" s="594" t="s">
        <v>122</v>
      </c>
      <c r="B705" s="1763" t="s">
        <v>540</v>
      </c>
      <c r="C705" s="1763"/>
      <c r="D705" s="1763"/>
      <c r="E705" s="1763"/>
      <c r="F705" s="1763"/>
      <c r="G705" s="1763"/>
      <c r="H705" s="1763"/>
      <c r="I705" s="1763"/>
      <c r="J705" s="1763"/>
      <c r="K705" s="1763"/>
      <c r="L705" s="1763"/>
      <c r="M705" s="1763"/>
      <c r="N705" s="1763"/>
      <c r="O705" s="1763"/>
      <c r="P705" s="1763"/>
      <c r="Q705" s="1763"/>
      <c r="R705" s="1763"/>
      <c r="S705" s="1764"/>
      <c r="T705" s="1762"/>
      <c r="U705" s="1762"/>
      <c r="V705" s="1762"/>
      <c r="W705" s="1762"/>
      <c r="X705" s="1762"/>
      <c r="Y705" s="1762"/>
      <c r="Z705" s="1494"/>
      <c r="AA705" s="1494"/>
      <c r="AB705" s="1494"/>
      <c r="AC705" s="1494"/>
      <c r="AD705" s="1494"/>
      <c r="AE705" s="1494"/>
      <c r="AF705" s="1494"/>
      <c r="AG705" s="1494"/>
      <c r="AH705" s="1494"/>
      <c r="AI705" s="1494"/>
      <c r="AJ705" s="1494"/>
      <c r="AK705" s="1494"/>
      <c r="AL705" s="778"/>
      <c r="AM705" s="20"/>
    </row>
    <row r="706" spans="1:39">
      <c r="A706" s="594" t="s">
        <v>122</v>
      </c>
      <c r="B706" s="1763" t="s">
        <v>541</v>
      </c>
      <c r="C706" s="1763"/>
      <c r="D706" s="1763"/>
      <c r="E706" s="1763"/>
      <c r="F706" s="1763"/>
      <c r="G706" s="1763"/>
      <c r="H706" s="1763"/>
      <c r="I706" s="1763"/>
      <c r="J706" s="1763"/>
      <c r="K706" s="1763"/>
      <c r="L706" s="1763"/>
      <c r="M706" s="1763"/>
      <c r="N706" s="1763"/>
      <c r="O706" s="1763"/>
      <c r="P706" s="1763"/>
      <c r="Q706" s="1763"/>
      <c r="R706" s="1763"/>
      <c r="S706" s="1764"/>
      <c r="T706" s="1784">
        <f>IF(SUM(T707:Y708)&gt;52,52,SUM(T707:Y708))</f>
        <v>52</v>
      </c>
      <c r="U706" s="1758"/>
      <c r="V706" s="1758"/>
      <c r="W706" s="1758"/>
      <c r="X706" s="1758"/>
      <c r="Y706" s="1758"/>
      <c r="Z706" s="1758">
        <v>52</v>
      </c>
      <c r="AA706" s="1758"/>
      <c r="AB706" s="1758"/>
      <c r="AC706" s="1758"/>
      <c r="AD706" s="1758"/>
      <c r="AE706" s="1758"/>
      <c r="AF706" s="1758">
        <f>$AO$698+$T$708</f>
        <v>52</v>
      </c>
      <c r="AG706" s="1758"/>
      <c r="AH706" s="1758"/>
      <c r="AI706" s="1758"/>
      <c r="AJ706" s="1758"/>
      <c r="AK706" s="1758"/>
      <c r="AL706" s="778"/>
      <c r="AM706" s="20"/>
    </row>
    <row r="707" spans="1:39">
      <c r="A707" s="619"/>
      <c r="B707" s="621"/>
      <c r="C707" s="621"/>
      <c r="D707" s="622" t="s">
        <v>2217</v>
      </c>
      <c r="E707" s="1766" t="s">
        <v>183</v>
      </c>
      <c r="F707" s="1766"/>
      <c r="G707" s="1766"/>
      <c r="H707" s="1766"/>
      <c r="I707" s="1766"/>
      <c r="J707" s="1766"/>
      <c r="K707" s="1766"/>
      <c r="L707" s="1766"/>
      <c r="M707" s="1766"/>
      <c r="N707" s="1766"/>
      <c r="O707" s="1766"/>
      <c r="P707" s="1766"/>
      <c r="Q707" s="1766"/>
      <c r="R707" s="1766"/>
      <c r="S707" s="1767"/>
      <c r="T707" s="1759">
        <f>AC592</f>
        <v>52.5</v>
      </c>
      <c r="U707" s="1760"/>
      <c r="V707" s="1760"/>
      <c r="W707" s="1760"/>
      <c r="X707" s="1760"/>
      <c r="Y707" s="1761"/>
      <c r="Z707" s="1759">
        <v>50</v>
      </c>
      <c r="AA707" s="1760"/>
      <c r="AB707" s="1760"/>
      <c r="AC707" s="1760"/>
      <c r="AD707" s="1760"/>
      <c r="AE707" s="1761"/>
      <c r="AF707" s="1791"/>
      <c r="AG707" s="1792"/>
      <c r="AH707" s="1792"/>
      <c r="AI707" s="1792"/>
      <c r="AJ707" s="1792"/>
      <c r="AK707" s="1793"/>
      <c r="AL707" s="778"/>
      <c r="AM707" s="4"/>
    </row>
    <row r="708" spans="1:39">
      <c r="A708" s="623"/>
      <c r="B708" s="615"/>
      <c r="C708" s="615"/>
      <c r="D708" s="306" t="s">
        <v>2218</v>
      </c>
      <c r="E708" s="1766" t="s">
        <v>269</v>
      </c>
      <c r="F708" s="1766"/>
      <c r="G708" s="1766"/>
      <c r="H708" s="1766"/>
      <c r="I708" s="1766"/>
      <c r="J708" s="1766"/>
      <c r="K708" s="1766"/>
      <c r="L708" s="1766"/>
      <c r="M708" s="1766"/>
      <c r="N708" s="1766"/>
      <c r="O708" s="1766"/>
      <c r="P708" s="1766"/>
      <c r="Q708" s="1766"/>
      <c r="R708" s="1766"/>
      <c r="S708" s="1767"/>
      <c r="T708" s="1745">
        <f>IF(AJ617&gt;0,2,0)</f>
        <v>2</v>
      </c>
      <c r="U708" s="1746"/>
      <c r="V708" s="1746"/>
      <c r="W708" s="1746"/>
      <c r="X708" s="1746"/>
      <c r="Y708" s="1747"/>
      <c r="Z708" s="1265">
        <v>2</v>
      </c>
      <c r="AA708" s="1266"/>
      <c r="AB708" s="1266"/>
      <c r="AC708" s="1266"/>
      <c r="AD708" s="1266"/>
      <c r="AE708" s="1267"/>
      <c r="AF708" s="1781"/>
      <c r="AG708" s="1782"/>
      <c r="AH708" s="1782"/>
      <c r="AI708" s="1782"/>
      <c r="AJ708" s="1782"/>
      <c r="AK708" s="1783"/>
      <c r="AL708" s="778"/>
      <c r="AM708" s="4"/>
    </row>
    <row r="709" spans="1:39">
      <c r="A709" s="619" t="s">
        <v>123</v>
      </c>
      <c r="B709" s="1763" t="s">
        <v>542</v>
      </c>
      <c r="C709" s="1763"/>
      <c r="D709" s="1763"/>
      <c r="E709" s="1763"/>
      <c r="F709" s="1763"/>
      <c r="G709" s="1763"/>
      <c r="H709" s="1763"/>
      <c r="I709" s="1763"/>
      <c r="J709" s="1763"/>
      <c r="K709" s="1763"/>
      <c r="L709" s="1763"/>
      <c r="M709" s="1763"/>
      <c r="N709" s="1763"/>
      <c r="O709" s="1763"/>
      <c r="P709" s="1763"/>
      <c r="Q709" s="1763"/>
      <c r="R709" s="1763"/>
      <c r="S709" s="1764"/>
      <c r="T709" s="1762">
        <f>AK645</f>
        <v>10</v>
      </c>
      <c r="U709" s="1762"/>
      <c r="V709" s="1762"/>
      <c r="W709" s="1762"/>
      <c r="X709" s="1762"/>
      <c r="Y709" s="1762"/>
      <c r="Z709" s="1494">
        <v>10</v>
      </c>
      <c r="AA709" s="1494"/>
      <c r="AB709" s="1494"/>
      <c r="AC709" s="1494"/>
      <c r="AD709" s="1494"/>
      <c r="AE709" s="1494"/>
      <c r="AF709" s="1346">
        <f>IF(T709&gt;Z709,Z709,T709)</f>
        <v>10</v>
      </c>
      <c r="AG709" s="1347"/>
      <c r="AH709" s="1347"/>
      <c r="AI709" s="1347"/>
      <c r="AJ709" s="1347"/>
      <c r="AK709" s="1365"/>
      <c r="AL709" s="778"/>
      <c r="AM709" s="20"/>
    </row>
    <row r="710" spans="1:39">
      <c r="A710" s="619" t="s">
        <v>125</v>
      </c>
      <c r="B710" s="1763" t="s">
        <v>985</v>
      </c>
      <c r="C710" s="1763"/>
      <c r="D710" s="1763"/>
      <c r="E710" s="1763"/>
      <c r="F710" s="1763"/>
      <c r="G710" s="1763"/>
      <c r="H710" s="1763"/>
      <c r="I710" s="1763"/>
      <c r="J710" s="1763"/>
      <c r="K710" s="1763"/>
      <c r="L710" s="1763"/>
      <c r="M710" s="1763"/>
      <c r="N710" s="1763"/>
      <c r="O710" s="1763"/>
      <c r="P710" s="1763"/>
      <c r="Q710" s="1763"/>
      <c r="R710" s="1763"/>
      <c r="S710" s="1764"/>
      <c r="T710" s="1785">
        <f>IF(AK688&gt;2,2,AK688)</f>
        <v>2</v>
      </c>
      <c r="U710" s="1786"/>
      <c r="V710" s="1786"/>
      <c r="W710" s="1786"/>
      <c r="X710" s="1786"/>
      <c r="Y710" s="1787"/>
      <c r="Z710" s="1346">
        <v>2</v>
      </c>
      <c r="AA710" s="1347"/>
      <c r="AB710" s="1347"/>
      <c r="AC710" s="1347"/>
      <c r="AD710" s="1347"/>
      <c r="AE710" s="1365"/>
      <c r="AF710" s="1346">
        <f>IF(T710&gt;Z710,Z710,T710)</f>
        <v>2</v>
      </c>
      <c r="AG710" s="1779"/>
      <c r="AH710" s="1779"/>
      <c r="AI710" s="1779"/>
      <c r="AJ710" s="1779"/>
      <c r="AK710" s="1780"/>
      <c r="AL710" s="3"/>
      <c r="AM710" s="20"/>
    </row>
    <row r="711" spans="1:39">
      <c r="A711" s="1860" t="s">
        <v>297</v>
      </c>
      <c r="B711" s="1763"/>
      <c r="C711" s="1763"/>
      <c r="D711" s="1763"/>
      <c r="E711" s="1763"/>
      <c r="F711" s="1763"/>
      <c r="G711" s="1763"/>
      <c r="H711" s="1763"/>
      <c r="I711" s="1763"/>
      <c r="J711" s="1763"/>
      <c r="K711" s="1763"/>
      <c r="L711" s="1763"/>
      <c r="M711" s="1763"/>
      <c r="N711" s="1763"/>
      <c r="O711" s="1763"/>
      <c r="P711" s="1763"/>
      <c r="Q711" s="1763"/>
      <c r="R711" s="1763"/>
      <c r="S711" s="1764"/>
      <c r="T711" s="1091"/>
      <c r="U711" s="1091"/>
      <c r="V711" s="1091"/>
      <c r="W711" s="1091"/>
      <c r="X711" s="1091"/>
      <c r="Y711" s="1091"/>
      <c r="Z711" s="1665" t="s">
        <v>296</v>
      </c>
      <c r="AA711" s="1665"/>
      <c r="AB711" s="1665"/>
      <c r="AC711" s="1665"/>
      <c r="AD711" s="1665"/>
      <c r="AE711" s="1665"/>
      <c r="AF711" s="1346">
        <f>IF(T711&gt;0,T711,0)</f>
        <v>0</v>
      </c>
      <c r="AG711" s="1347"/>
      <c r="AH711" s="1347"/>
      <c r="AI711" s="1347"/>
      <c r="AJ711" s="1347"/>
      <c r="AK711" s="1365"/>
      <c r="AL711" s="18"/>
      <c r="AM711" s="20"/>
    </row>
    <row r="712" spans="1:39" ht="15.6">
      <c r="A712" s="1850" t="s">
        <v>721</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8">
        <f>SUM(AF698:AK710)-AF711</f>
        <v>109</v>
      </c>
      <c r="AG712" s="1769"/>
      <c r="AH712" s="1769"/>
      <c r="AI712" s="1769"/>
      <c r="AJ712" s="1769"/>
      <c r="AK712" s="1770"/>
      <c r="AL712" s="779"/>
      <c r="AM712" s="4"/>
    </row>
    <row r="713" spans="1:39" ht="12.45"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1"/>
      <c r="AG713" s="1772"/>
      <c r="AH713" s="1772"/>
      <c r="AI713" s="1772"/>
      <c r="AJ713" s="1772"/>
      <c r="AK713" s="1773"/>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7"/>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7"/>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7"/>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7"/>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7"/>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894" t="s">
        <v>2035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c r="A5" s="898"/>
      <c r="B5" s="898"/>
      <c r="I5" s="899"/>
      <c r="K5" s="900"/>
    </row>
    <row r="6" spans="1:57">
      <c r="A6" s="898"/>
      <c r="B6" s="898"/>
      <c r="D6" s="896" t="s">
        <v>2038</v>
      </c>
      <c r="I6" s="899"/>
      <c r="K6" s="900"/>
      <c r="U6" s="1904"/>
      <c r="V6" s="1904"/>
      <c r="W6" s="1904"/>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5"/>
      <c r="Q9" s="1895"/>
      <c r="R9" s="1895"/>
      <c r="S9" s="1895"/>
      <c r="T9" s="1895"/>
    </row>
    <row r="10" spans="1:57">
      <c r="A10" s="898"/>
      <c r="B10" s="898"/>
      <c r="I10" s="899"/>
      <c r="K10" s="900"/>
    </row>
    <row r="11" spans="1:57">
      <c r="A11" s="1894" t="s">
        <v>2041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108</v>
      </c>
    </row>
    <row r="12" spans="1:57">
      <c r="A12" s="898"/>
      <c r="B12" s="898"/>
      <c r="I12" s="899"/>
      <c r="K12" s="900"/>
      <c r="BC12" s="896" t="s">
        <v>482</v>
      </c>
    </row>
    <row r="13" spans="1:57">
      <c r="A13" s="898"/>
      <c r="B13" s="898"/>
      <c r="D13" s="896" t="s">
        <v>2042</v>
      </c>
      <c r="I13" s="899"/>
      <c r="K13" s="900"/>
      <c r="T13" s="1904"/>
      <c r="U13" s="1904"/>
      <c r="V13" s="1904"/>
    </row>
    <row r="14" spans="1:57">
      <c r="A14" s="898"/>
      <c r="B14" s="898"/>
      <c r="E14" s="896" t="s">
        <v>2049</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2370700.2000000002</v>
      </c>
    </row>
    <row r="16" spans="1:57">
      <c r="A16" s="898"/>
      <c r="B16" s="898"/>
      <c r="BC16" s="896" t="s">
        <v>2053</v>
      </c>
      <c r="BE16" s="896">
        <f>'Basis &amp; Credits'!T11+'Basis &amp; Credits'!AD11</f>
        <v>23364864</v>
      </c>
    </row>
    <row r="17" spans="1:43">
      <c r="A17" s="898"/>
      <c r="B17" s="898"/>
      <c r="D17" s="896" t="s">
        <v>2044</v>
      </c>
      <c r="I17" s="899"/>
      <c r="K17" s="900"/>
      <c r="U17" s="1893" t="str">
        <f>IF(T13="yes",(BE15/BE16)," ")</f>
        <v xml:space="preserve"> </v>
      </c>
      <c r="V17" s="1893"/>
      <c r="W17" s="1893"/>
      <c r="X17" s="1893"/>
      <c r="Y17" s="1893"/>
    </row>
    <row r="18" spans="1:43">
      <c r="A18" s="898"/>
      <c r="B18" s="898"/>
      <c r="I18" s="899"/>
      <c r="K18" s="900"/>
    </row>
    <row r="19" spans="1:43">
      <c r="A19" s="1894" t="s">
        <v>2046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c r="C20" s="898"/>
      <c r="D20" s="898"/>
      <c r="K20" s="899"/>
      <c r="M20" s="900"/>
    </row>
    <row r="21" spans="1:43">
      <c r="C21" s="898"/>
      <c r="D21" s="898"/>
      <c r="K21" s="899"/>
      <c r="M21" s="900"/>
    </row>
    <row r="22" spans="1:43">
      <c r="C22" s="901" t="s">
        <v>728</v>
      </c>
      <c r="D22" s="901"/>
      <c r="E22" s="896" t="s">
        <v>2047</v>
      </c>
      <c r="H22" s="902"/>
      <c r="K22" s="896"/>
      <c r="Q22" s="1896">
        <f>ROUND('Basis &amp; Credits'!AB55,0)</f>
        <v>2370700</v>
      </c>
      <c r="R22" s="1896"/>
      <c r="S22" s="1896"/>
      <c r="T22" s="1896"/>
      <c r="U22" s="1896"/>
      <c r="V22" s="1896"/>
      <c r="W22" s="1896"/>
      <c r="X22" s="1896"/>
      <c r="Y22" s="916"/>
    </row>
    <row r="23" spans="1:43">
      <c r="C23" s="898"/>
      <c r="D23" s="898"/>
      <c r="G23" s="903"/>
      <c r="H23" s="903"/>
      <c r="I23" s="904"/>
      <c r="J23" s="904"/>
      <c r="K23" s="903"/>
      <c r="M23" s="897"/>
    </row>
    <row r="24" spans="1:43">
      <c r="C24" s="905"/>
      <c r="D24" s="905"/>
      <c r="E24" s="906"/>
      <c r="J24" s="904"/>
      <c r="K24" s="896"/>
      <c r="L24" s="1903" t="s">
        <v>2024</v>
      </c>
      <c r="M24" s="1903"/>
      <c r="N24" s="1903"/>
      <c r="P24" s="1899" t="s">
        <v>2025</v>
      </c>
      <c r="Q24" s="1899"/>
      <c r="R24" s="1899"/>
      <c r="S24" s="1899"/>
      <c r="T24" s="1899"/>
      <c r="V24" s="1899" t="s">
        <v>2026</v>
      </c>
      <c r="W24" s="1899"/>
      <c r="X24" s="1899"/>
    </row>
    <row r="25" spans="1:43">
      <c r="C25" s="901" t="s">
        <v>190</v>
      </c>
      <c r="D25" s="901"/>
      <c r="E25" s="896" t="s">
        <v>986</v>
      </c>
      <c r="J25" s="904"/>
      <c r="L25" s="1900" t="s">
        <v>2027</v>
      </c>
      <c r="M25" s="1900"/>
      <c r="N25" s="1900"/>
      <c r="P25" s="1900" t="s">
        <v>2028</v>
      </c>
      <c r="Q25" s="1900"/>
      <c r="R25" s="1900"/>
      <c r="S25" s="1900"/>
      <c r="T25" s="1900"/>
      <c r="V25" s="1900" t="s">
        <v>2027</v>
      </c>
      <c r="W25" s="1900"/>
      <c r="X25" s="1900"/>
    </row>
    <row r="26" spans="1:43">
      <c r="C26" s="898"/>
      <c r="D26" s="898"/>
      <c r="E26" s="907" t="s">
        <v>2029</v>
      </c>
      <c r="F26" s="907"/>
      <c r="J26" s="908"/>
      <c r="L26" s="1897">
        <f>Application!BN626</f>
        <v>0</v>
      </c>
      <c r="M26" s="1897"/>
      <c r="N26" s="1897"/>
      <c r="P26" s="1901">
        <v>0.9</v>
      </c>
      <c r="Q26" s="1901"/>
      <c r="R26" s="1901"/>
      <c r="S26" s="1901"/>
      <c r="T26" s="1901"/>
      <c r="V26" s="1901">
        <f>L26*P26</f>
        <v>0</v>
      </c>
      <c r="W26" s="1901"/>
      <c r="X26" s="1901"/>
    </row>
    <row r="27" spans="1:43">
      <c r="C27" s="898"/>
      <c r="D27" s="898"/>
      <c r="E27" s="896" t="s">
        <v>2030</v>
      </c>
      <c r="J27" s="908"/>
      <c r="L27" s="1906">
        <f>Application!BS626</f>
        <v>12</v>
      </c>
      <c r="M27" s="1906">
        <f>Application!BS634+Application!BS643+Application!CX657</f>
        <v>0</v>
      </c>
      <c r="N27" s="1906"/>
      <c r="P27" s="1902">
        <v>1</v>
      </c>
      <c r="Q27" s="1902"/>
      <c r="R27" s="1902"/>
      <c r="S27" s="1902"/>
      <c r="T27" s="1902"/>
      <c r="V27" s="1902">
        <f>L27*P27</f>
        <v>12</v>
      </c>
      <c r="W27" s="1902"/>
      <c r="X27" s="1902"/>
    </row>
    <row r="28" spans="1:43">
      <c r="C28" s="898"/>
      <c r="D28" s="898"/>
      <c r="E28" s="896" t="s">
        <v>2031</v>
      </c>
      <c r="J28" s="908"/>
      <c r="L28" s="1906">
        <f>Application!BX626</f>
        <v>28</v>
      </c>
      <c r="M28" s="1906">
        <f>Application!BX634+Application!BX643+Application!DC657</f>
        <v>0</v>
      </c>
      <c r="N28" s="1906"/>
      <c r="P28" s="1902">
        <v>1.25</v>
      </c>
      <c r="Q28" s="1902"/>
      <c r="R28" s="1902"/>
      <c r="S28" s="1902"/>
      <c r="T28" s="1902"/>
      <c r="V28" s="1902">
        <f>L28*P28</f>
        <v>35</v>
      </c>
      <c r="W28" s="1902"/>
      <c r="X28" s="1902"/>
    </row>
    <row r="29" spans="1:43">
      <c r="C29" s="898"/>
      <c r="D29" s="898"/>
      <c r="E29" s="896" t="s">
        <v>2032</v>
      </c>
      <c r="J29" s="908"/>
      <c r="L29" s="1906">
        <f>Application!CC626</f>
        <v>14</v>
      </c>
      <c r="M29" s="1906">
        <f>Application!CC634+Application!CC643+Application!DH657</f>
        <v>0</v>
      </c>
      <c r="N29" s="1906"/>
      <c r="P29" s="1902">
        <v>1.5</v>
      </c>
      <c r="Q29" s="1902"/>
      <c r="R29" s="1902"/>
      <c r="S29" s="1902"/>
      <c r="T29" s="1902"/>
      <c r="V29" s="1902">
        <f>L29*P29</f>
        <v>21</v>
      </c>
      <c r="W29" s="1902"/>
      <c r="X29" s="1902"/>
    </row>
    <row r="30" spans="1:43">
      <c r="C30" s="898"/>
      <c r="D30" s="898"/>
      <c r="E30" s="896" t="s">
        <v>2033</v>
      </c>
      <c r="J30" s="908"/>
      <c r="L30" s="1907">
        <f>Application!CH626+Application!CM626</f>
        <v>0</v>
      </c>
      <c r="M30" s="1907"/>
      <c r="N30" s="1907"/>
      <c r="P30" s="1902">
        <v>1.75</v>
      </c>
      <c r="Q30" s="1902"/>
      <c r="R30" s="1902">
        <f>1.75+0.25*0</f>
        <v>1.75</v>
      </c>
      <c r="S30" s="1902"/>
      <c r="T30" s="1902"/>
      <c r="V30" s="1911">
        <f>L30*P30</f>
        <v>0</v>
      </c>
      <c r="W30" s="1911"/>
      <c r="X30" s="1911"/>
    </row>
    <row r="31" spans="1:43">
      <c r="C31" s="898"/>
      <c r="D31" s="898"/>
      <c r="L31" s="1897">
        <f>SUM(L26:N30)</f>
        <v>54</v>
      </c>
      <c r="M31" s="1898"/>
      <c r="N31" s="1898"/>
      <c r="V31" s="1901">
        <f>SUM(V26:X30)</f>
        <v>68</v>
      </c>
      <c r="W31" s="1901"/>
      <c r="X31" s="1901"/>
    </row>
    <row r="32" spans="1:43">
      <c r="C32" s="898"/>
      <c r="D32" s="898"/>
      <c r="K32" s="909"/>
    </row>
    <row r="33" spans="1:27">
      <c r="C33" s="901" t="s">
        <v>191</v>
      </c>
      <c r="D33" s="901"/>
      <c r="E33" s="898" t="s">
        <v>2048</v>
      </c>
      <c r="H33" s="910"/>
      <c r="I33" s="911"/>
      <c r="J33" s="912"/>
      <c r="K33" s="909"/>
      <c r="M33" s="897"/>
      <c r="V33" s="1908">
        <f>IF(V31&gt;0,V31/Q22," ")</f>
        <v>2.8683511199223858E-5</v>
      </c>
      <c r="W33" s="1909"/>
      <c r="X33" s="1909"/>
      <c r="Y33" s="1909"/>
      <c r="Z33" s="1909"/>
      <c r="AA33" s="1910"/>
    </row>
    <row r="34" spans="1:27">
      <c r="K34" s="896"/>
      <c r="M34" s="897"/>
    </row>
    <row r="35" spans="1:27">
      <c r="E35" s="898" t="s">
        <v>2054</v>
      </c>
      <c r="F35" s="898"/>
      <c r="G35" s="898"/>
      <c r="H35" s="898"/>
      <c r="I35" s="898"/>
      <c r="J35" s="898"/>
      <c r="K35" s="898"/>
      <c r="L35" s="898"/>
      <c r="M35" s="918"/>
      <c r="N35" s="898"/>
      <c r="O35" s="898"/>
      <c r="P35" s="898"/>
      <c r="Q35" s="898"/>
      <c r="R35" s="898"/>
      <c r="V35" s="1889">
        <f>IF(V31&gt;0,1/V33," ")</f>
        <v>34863.23529411765</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7" workbookViewId="0">
      <selection activeCell="D50" sqref="D50"/>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28" t="s">
        <v>1862</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2119</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2227</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2205</v>
      </c>
      <c r="C10" s="1912"/>
      <c r="D10" s="1912"/>
      <c r="E10" s="1912"/>
      <c r="F10" s="1912"/>
      <c r="G10" s="1912"/>
      <c r="H10" s="1912"/>
      <c r="I10" s="1912"/>
      <c r="J10" s="1912"/>
      <c r="K10" s="1912"/>
      <c r="L10" s="1912"/>
      <c r="M10" s="1912"/>
      <c r="N10" s="1912"/>
      <c r="O10" s="1912"/>
      <c r="P10" s="1912"/>
      <c r="Q10" s="1912"/>
      <c r="R10" s="1912"/>
    </row>
    <row r="11" spans="1:19" ht="29.25"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2120</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1801</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1802</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1695</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0" t="s">
        <v>1608</v>
      </c>
      <c r="C29" s="1920"/>
      <c r="D29" s="1920"/>
      <c r="E29" s="1920"/>
      <c r="F29" s="1920"/>
      <c r="G29" s="1920"/>
      <c r="H29" s="376"/>
      <c r="I29" s="376"/>
      <c r="J29" s="376"/>
      <c r="K29" s="376"/>
      <c r="L29" s="376"/>
      <c r="M29" s="376"/>
      <c r="N29" s="376"/>
      <c r="O29" s="1918" t="s">
        <v>1617</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139</v>
      </c>
      <c r="J32" s="1923" t="s">
        <v>992</v>
      </c>
      <c r="K32" s="1924">
        <v>1</v>
      </c>
      <c r="M32" s="509"/>
      <c r="O32" s="1919"/>
      <c r="P32" s="1923" t="s">
        <v>1940</v>
      </c>
    </row>
    <row r="33" spans="1:21" ht="15" customHeight="1">
      <c r="B33" s="1925" t="s">
        <v>1612</v>
      </c>
      <c r="C33" s="1925"/>
      <c r="D33" s="1925"/>
      <c r="E33" s="1925"/>
      <c r="F33" s="1925"/>
      <c r="G33" s="1925"/>
      <c r="I33" s="1922"/>
      <c r="J33" s="1923"/>
      <c r="K33" s="1924"/>
      <c r="M33" s="510"/>
      <c r="O33" s="1925"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1602</v>
      </c>
      <c r="C37" s="1929"/>
      <c r="D37" s="1929"/>
      <c r="E37" s="1929"/>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0</v>
      </c>
      <c r="H38" s="384"/>
      <c r="I38" s="519"/>
      <c r="J38" s="384"/>
      <c r="K38" s="1941" t="s">
        <v>2224</v>
      </c>
      <c r="L38" s="1941"/>
      <c r="M38" s="1941"/>
      <c r="N38" s="1941"/>
      <c r="O38" s="1941"/>
      <c r="P38" s="1941"/>
      <c r="Q38" s="1941"/>
      <c r="R38" s="1941"/>
      <c r="S38" s="1941"/>
    </row>
    <row r="39" spans="1:21" ht="15" customHeight="1">
      <c r="B39" s="1935" t="s">
        <v>1283</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1284</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1613</v>
      </c>
      <c r="C41" s="1936"/>
      <c r="D41" s="1936"/>
      <c r="E41" s="1936"/>
      <c r="F41" s="650"/>
      <c r="G41" s="384"/>
      <c r="H41" s="384"/>
      <c r="I41" s="519"/>
      <c r="J41" s="384"/>
      <c r="K41" s="1940" t="s">
        <v>124</v>
      </c>
      <c r="L41" s="1940"/>
      <c r="M41" s="1940"/>
      <c r="N41" s="1940"/>
      <c r="O41" s="1940"/>
      <c r="P41" s="1940"/>
      <c r="Q41" s="1940"/>
      <c r="R41" s="1940"/>
      <c r="S41" s="1940"/>
    </row>
    <row r="42" spans="1:21" ht="15" customHeight="1">
      <c r="B42" s="634" t="str">
        <f>[1]Summary!B15</f>
        <v>PLHA</v>
      </c>
      <c r="C42" s="634"/>
      <c r="D42" s="628"/>
      <c r="E42" s="652">
        <f>[1]Summary!C15</f>
        <v>4750000</v>
      </c>
      <c r="F42" s="650"/>
      <c r="G42" s="384"/>
      <c r="H42" s="384"/>
      <c r="I42" s="519"/>
      <c r="J42" s="384"/>
      <c r="K42" s="1939"/>
      <c r="L42" s="1939"/>
      <c r="M42" s="1939"/>
      <c r="N42" s="1939"/>
      <c r="O42" s="1939"/>
      <c r="Q42" s="1942"/>
      <c r="R42" s="1942"/>
      <c r="U42" s="754" t="s">
        <v>124</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1853</v>
      </c>
      <c r="Q44" s="1942"/>
      <c r="R44" s="1942"/>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6" t="s">
        <v>1849</v>
      </c>
      <c r="L46" s="1916"/>
      <c r="M46" s="1916"/>
      <c r="N46" s="1916"/>
      <c r="O46" s="1916"/>
      <c r="Q46" s="1913"/>
      <c r="R46" s="1913"/>
    </row>
    <row r="47" spans="1:21" ht="15" customHeight="1">
      <c r="B47" s="634"/>
      <c r="C47" s="634"/>
      <c r="D47" s="504"/>
      <c r="E47" s="652"/>
      <c r="F47" s="650"/>
      <c r="G47" s="384"/>
      <c r="H47" s="384"/>
      <c r="I47" s="519"/>
      <c r="J47" s="384"/>
      <c r="K47" s="1917" t="s">
        <v>1850</v>
      </c>
      <c r="L47" s="1917"/>
      <c r="M47" s="1917"/>
      <c r="N47" s="1917"/>
      <c r="O47" s="1917"/>
      <c r="Q47" s="1915"/>
      <c r="R47" s="1915"/>
    </row>
    <row r="48" spans="1:21" ht="15" customHeight="1">
      <c r="B48" s="634"/>
      <c r="C48" s="634"/>
      <c r="D48" s="504"/>
      <c r="E48" s="652"/>
      <c r="F48" s="650"/>
      <c r="G48" s="384"/>
      <c r="H48" s="384"/>
      <c r="I48" s="519"/>
      <c r="J48" s="384"/>
      <c r="K48" s="1914" t="s">
        <v>1851</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4" t="s">
        <v>1609</v>
      </c>
      <c r="C52" s="1934"/>
      <c r="D52" s="1934"/>
      <c r="E52" s="1934"/>
      <c r="F52" s="650"/>
      <c r="G52" s="518">
        <f>SUM(E42:E49)-ABS(E50)-ABS(E51)</f>
        <v>4750000</v>
      </c>
      <c r="H52" s="384"/>
      <c r="I52" s="519"/>
      <c r="J52" s="384"/>
    </row>
    <row r="53" spans="1:29" ht="15" customHeight="1">
      <c r="C53" s="523"/>
      <c r="D53" s="523" t="s">
        <v>875</v>
      </c>
      <c r="E53" s="523"/>
      <c r="F53" s="523"/>
      <c r="G53" s="524">
        <f>SUM(G38:G40)+G52</f>
        <v>4750000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7" t="s">
        <v>1264</v>
      </c>
      <c r="C56" s="1937"/>
      <c r="D56" s="650"/>
      <c r="E56" s="650"/>
      <c r="F56" s="650"/>
      <c r="G56" s="650"/>
      <c r="H56" s="650"/>
      <c r="I56" s="650"/>
      <c r="J56" s="650"/>
      <c r="K56" s="650"/>
      <c r="L56" s="650"/>
      <c r="M56" s="650"/>
      <c r="N56" s="650"/>
      <c r="O56" s="650"/>
      <c r="P56" s="650"/>
      <c r="U56" s="952" t="s">
        <v>1796</v>
      </c>
      <c r="AC56" s="953">
        <v>0.2</v>
      </c>
    </row>
    <row r="57" spans="1:29" ht="15" customHeight="1">
      <c r="A57" s="521"/>
      <c r="B57" s="1938" t="s">
        <v>1604</v>
      </c>
      <c r="C57" s="1938"/>
      <c r="D57" s="1938"/>
      <c r="E57" s="1938"/>
      <c r="F57" s="1938"/>
      <c r="G57" s="1938"/>
      <c r="H57" s="1938"/>
      <c r="I57" s="1938"/>
      <c r="J57" s="1938"/>
      <c r="K57" s="1938"/>
      <c r="L57" s="1938"/>
      <c r="M57" s="1938"/>
      <c r="N57" s="1938"/>
      <c r="O57" s="1938"/>
      <c r="P57" s="650"/>
      <c r="U57" s="952" t="s">
        <v>1797</v>
      </c>
      <c r="AC57" s="953">
        <v>0.1</v>
      </c>
    </row>
    <row r="58" spans="1:29" ht="15" customHeight="1">
      <c r="B58" s="1929" t="s">
        <v>2222</v>
      </c>
      <c r="C58" s="1930"/>
      <c r="D58" s="1930"/>
      <c r="E58" s="1930"/>
      <c r="F58" s="526"/>
      <c r="G58" s="526"/>
      <c r="H58" s="516"/>
      <c r="I58" s="516"/>
      <c r="J58" s="1931">
        <f>('Sources and Uses Budget'!D104+Q47)/('Sources and Uses Budget'!B104+Q48)</f>
        <v>0</v>
      </c>
      <c r="K58" s="1932"/>
      <c r="L58" s="1932"/>
      <c r="M58" s="1932"/>
      <c r="N58" s="1933"/>
      <c r="O58" s="516"/>
      <c r="P58" s="516"/>
      <c r="U58" s="952" t="s">
        <v>1798</v>
      </c>
      <c r="AC58" s="953">
        <v>0.1</v>
      </c>
    </row>
    <row r="59" spans="1:29" ht="15" customHeight="1">
      <c r="B59" s="1912" t="s">
        <v>2121</v>
      </c>
      <c r="C59" s="1912"/>
      <c r="D59" s="1912"/>
      <c r="E59" s="1912"/>
      <c r="F59" s="1912"/>
      <c r="G59" s="1912"/>
      <c r="H59" s="1912"/>
      <c r="I59" s="1912"/>
      <c r="J59" s="1912"/>
      <c r="K59" s="1912"/>
      <c r="L59" s="1912"/>
      <c r="M59" s="1912"/>
      <c r="N59" s="1912"/>
      <c r="O59" s="1912"/>
      <c r="P59" s="516"/>
      <c r="U59" s="952" t="s">
        <v>1799</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2225</v>
      </c>
      <c r="K63" s="1945"/>
      <c r="L63" s="1945"/>
      <c r="M63" s="1945"/>
      <c r="N63" s="1945"/>
      <c r="O63" s="1945"/>
      <c r="P63" s="1945"/>
      <c r="Q63" s="1945"/>
      <c r="R63" s="1945"/>
    </row>
    <row r="64" spans="1:29" ht="15" customHeight="1" thickBot="1">
      <c r="B64" s="1937" t="s">
        <v>1614</v>
      </c>
      <c r="C64" s="1937"/>
      <c r="D64" s="376"/>
      <c r="F64" s="376"/>
      <c r="G64" s="523" t="s">
        <v>1852</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1683</v>
      </c>
      <c r="C66" s="638">
        <f>Application!AG430-Application!AG431</f>
        <v>55</v>
      </c>
      <c r="D66" s="788"/>
      <c r="E66" s="528" t="s">
        <v>1855</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1603</v>
      </c>
      <c r="C67" s="639">
        <f>MIN(IF(AND(C65="Yes",G67&gt;=50),(0.75+(G67/200)),1),1.5)</f>
        <v>1.0249999999999999</v>
      </c>
      <c r="D67" s="529"/>
      <c r="E67" s="528" t="s">
        <v>1684</v>
      </c>
      <c r="G67" s="638">
        <f>C66+G66</f>
        <v>55</v>
      </c>
      <c r="H67" s="529"/>
      <c r="I67" s="759"/>
      <c r="J67" s="1943" t="s">
        <v>124</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6">
        <f>SUM(U62:U68)</f>
        <v>0</v>
      </c>
    </row>
    <row r="70" spans="1:22" ht="15" customHeight="1" thickBot="1">
      <c r="B70" s="508" t="s">
        <v>1611</v>
      </c>
      <c r="C70" s="508"/>
      <c r="D70" s="508"/>
      <c r="E70" s="508"/>
      <c r="F70" s="508"/>
      <c r="G70" s="508"/>
      <c r="U70" s="1927"/>
      <c r="V70" s="373" t="s">
        <v>1800</v>
      </c>
    </row>
    <row r="71" spans="1:22" ht="15" customHeight="1">
      <c r="B71" s="1934" t="s">
        <v>1615</v>
      </c>
      <c r="C71" s="1934"/>
      <c r="D71" s="1934"/>
      <c r="E71" s="508"/>
      <c r="F71" s="508"/>
      <c r="G71" s="518">
        <f>G53*(1-J58)</f>
        <v>4750000</v>
      </c>
      <c r="J71" s="530"/>
      <c r="K71" s="687" t="s">
        <v>1617</v>
      </c>
      <c r="L71" s="687"/>
      <c r="M71" s="687"/>
      <c r="N71" s="687"/>
      <c r="O71" s="687"/>
      <c r="Q71" s="1916">
        <f>'Basis &amp; Credits'!T23+'Basis &amp; Credits'!Y23+'Basis &amp; Credits'!AD23+'Basis &amp; Credits'!AI23</f>
        <v>20262398</v>
      </c>
      <c r="R71" s="1916"/>
    </row>
    <row r="72" spans="1:22" ht="15" customHeight="1">
      <c r="B72" s="1948" t="s">
        <v>1616</v>
      </c>
      <c r="C72" s="1948"/>
      <c r="D72" s="1948"/>
      <c r="E72" s="508"/>
      <c r="F72" s="508"/>
      <c r="G72" s="518">
        <f>G71*C67</f>
        <v>4868750</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$G$72</f>
        <v>4868750</v>
      </c>
      <c r="C75" s="1950"/>
      <c r="D75" s="1950"/>
      <c r="E75" s="1950"/>
      <c r="F75" s="1950"/>
      <c r="G75" s="1950"/>
      <c r="H75" s="531"/>
      <c r="I75" s="1922" t="s">
        <v>139</v>
      </c>
      <c r="J75" s="1923" t="s">
        <v>992</v>
      </c>
      <c r="K75" s="1922">
        <v>1</v>
      </c>
      <c r="M75" s="395"/>
      <c r="N75" s="510"/>
      <c r="O75" s="657">
        <f>$Q$71</f>
        <v>20262398</v>
      </c>
      <c r="P75" s="1923" t="s">
        <v>1940</v>
      </c>
      <c r="Q75" s="1951" t="s">
        <v>138</v>
      </c>
      <c r="R75" s="1954">
        <f>((B75/B76)+((1-(O75/O76))/2))+U69</f>
        <v>0.3243307110480747</v>
      </c>
    </row>
    <row r="76" spans="1:22" ht="15" customHeight="1" thickBot="1">
      <c r="B76" s="1952">
        <f>'Sources and Uses Budget'!$C$104+$Q$46-($E$50+$E$51)*(1-$J$58)</f>
        <v>29956568</v>
      </c>
      <c r="C76" s="1953"/>
      <c r="D76" s="1953"/>
      <c r="E76" s="1953"/>
      <c r="F76" s="1953"/>
      <c r="G76" s="1952"/>
      <c r="I76" s="1922"/>
      <c r="J76" s="1923"/>
      <c r="K76" s="1922"/>
      <c r="M76" s="648"/>
      <c r="O76" s="656">
        <f>B76</f>
        <v>29956568</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3"/>
      <c r="R84" s="1913"/>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3"/>
      <c r="R89" s="1913"/>
    </row>
    <row r="90" spans="2:18" ht="15" customHeight="1">
      <c r="B90" s="497" t="s">
        <v>615</v>
      </c>
      <c r="C90" s="498"/>
      <c r="D90" s="499"/>
      <c r="E90" s="499"/>
      <c r="F90" s="540"/>
      <c r="G90" s="384">
        <f>MAX(($E90-$D90)*$C90*12,0)</f>
        <v>0</v>
      </c>
      <c r="I90" s="519"/>
      <c r="K90" s="756" t="s">
        <v>1626</v>
      </c>
      <c r="L90" s="684"/>
      <c r="M90" s="684"/>
      <c r="N90" s="684"/>
      <c r="O90" s="684"/>
      <c r="P90" s="684"/>
      <c r="Q90" s="1956"/>
      <c r="R90" s="1956"/>
    </row>
    <row r="91" spans="2:18" ht="15" customHeight="1">
      <c r="B91" s="497" t="s">
        <v>615</v>
      </c>
      <c r="C91" s="498"/>
      <c r="D91" s="499"/>
      <c r="E91" s="499"/>
      <c r="F91" s="540"/>
      <c r="G91" s="384">
        <f t="shared" ref="G91:G97" si="0">MAX(($E91-$D91)*$C91*12,0)</f>
        <v>0</v>
      </c>
      <c r="I91" s="519"/>
      <c r="K91" s="756" t="s">
        <v>1629</v>
      </c>
      <c r="L91" s="684"/>
      <c r="M91" s="684"/>
      <c r="N91" s="684"/>
      <c r="O91" s="684"/>
      <c r="P91" s="684"/>
      <c r="Q91" s="1917">
        <f>IFERROR(Q89/Q90,0)</f>
        <v>0</v>
      </c>
      <c r="R91" s="191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F26" sqref="F26"/>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615180</v>
      </c>
      <c r="F4" s="384"/>
      <c r="G4" s="384">
        <f>E4*$C$4</f>
        <v>630559.5</v>
      </c>
      <c r="H4" s="384"/>
      <c r="I4" s="384">
        <f>G4*$C$4</f>
        <v>646323.48749999993</v>
      </c>
      <c r="J4" s="384"/>
      <c r="K4" s="384">
        <f>I4*$C$4</f>
        <v>662481.5746874999</v>
      </c>
      <c r="L4" s="384"/>
      <c r="M4" s="384">
        <f>K4*$C$4</f>
        <v>679043.61405468732</v>
      </c>
      <c r="N4" s="384"/>
      <c r="O4" s="384">
        <f>M4*$C$4</f>
        <v>696019.70440605446</v>
      </c>
      <c r="P4" s="384"/>
      <c r="Q4" s="384">
        <f>O4*$C$4</f>
        <v>713420.19701620576</v>
      </c>
      <c r="R4" s="384"/>
      <c r="S4" s="384">
        <f>Q4*$C$4</f>
        <v>731255.70194161078</v>
      </c>
      <c r="T4" s="384"/>
      <c r="U4" s="384">
        <f>S4*$C$4</f>
        <v>749537.09449015104</v>
      </c>
      <c r="V4" s="384"/>
      <c r="W4" s="384">
        <f>U4*$C$4</f>
        <v>768275.52185240469</v>
      </c>
      <c r="X4" s="384"/>
      <c r="Y4" s="384">
        <f>W4*$C$4</f>
        <v>787482.40989871474</v>
      </c>
      <c r="Z4" s="384"/>
      <c r="AA4" s="384">
        <f>Y4*$C$4</f>
        <v>807169.47014618258</v>
      </c>
      <c r="AB4" s="384"/>
      <c r="AC4" s="384">
        <f>AA4*$C$4</f>
        <v>827348.70689983713</v>
      </c>
      <c r="AD4" s="384"/>
      <c r="AE4" s="384">
        <f>AC4*$C$4</f>
        <v>848032.424572333</v>
      </c>
      <c r="AF4" s="384"/>
      <c r="AG4" s="384">
        <f>AE4*$C$4</f>
        <v>869233.23518664122</v>
      </c>
      <c r="AH4" s="384"/>
    </row>
    <row r="5" spans="1:34" ht="13.8">
      <c r="A5" s="376"/>
      <c r="B5" s="376" t="s">
        <v>988</v>
      </c>
      <c r="C5" s="408">
        <f>IF(Application!$D$214="Special Needs",0.1,0.05)</f>
        <v>0.05</v>
      </c>
      <c r="D5" s="376"/>
      <c r="E5" s="386">
        <f>-E4*$C$5</f>
        <v>-30759</v>
      </c>
      <c r="F5" s="386"/>
      <c r="G5" s="386">
        <f>-G4*$C$5</f>
        <v>-31527.975000000002</v>
      </c>
      <c r="H5" s="386"/>
      <c r="I5" s="386">
        <f>-I4*$C$5</f>
        <v>-32316.174374999999</v>
      </c>
      <c r="J5" s="386"/>
      <c r="K5" s="386">
        <f>-K4*$C$5</f>
        <v>-33124.078734374998</v>
      </c>
      <c r="L5" s="386"/>
      <c r="M5" s="386">
        <f>-M4*$C$5</f>
        <v>-33952.180702734368</v>
      </c>
      <c r="N5" s="386"/>
      <c r="O5" s="386">
        <f>-O4*$C$5</f>
        <v>-34800.985220302726</v>
      </c>
      <c r="P5" s="386"/>
      <c r="Q5" s="386">
        <f>-Q4*$C$5</f>
        <v>-35671.009850810289</v>
      </c>
      <c r="R5" s="386"/>
      <c r="S5" s="386">
        <f>-S4*$C$5</f>
        <v>-36562.785097080538</v>
      </c>
      <c r="T5" s="386"/>
      <c r="U5" s="386">
        <f>-U4*$C$5</f>
        <v>-37476.854724507553</v>
      </c>
      <c r="V5" s="386"/>
      <c r="W5" s="386">
        <f>-W4*$C$5</f>
        <v>-38413.776092620239</v>
      </c>
      <c r="X5" s="386"/>
      <c r="Y5" s="386">
        <f>-Y4*$C$5</f>
        <v>-39374.120494935742</v>
      </c>
      <c r="Z5" s="386"/>
      <c r="AA5" s="386">
        <f>-AA4*$C$5</f>
        <v>-40358.473507309129</v>
      </c>
      <c r="AB5" s="386"/>
      <c r="AC5" s="386">
        <f>-AC4*$C$5</f>
        <v>-41367.435344991856</v>
      </c>
      <c r="AD5" s="386"/>
      <c r="AE5" s="386">
        <f>-AE4*$C$5</f>
        <v>-42401.621228616656</v>
      </c>
      <c r="AF5" s="386"/>
      <c r="AG5" s="386">
        <f>-AG4*$C$5</f>
        <v>-43461.661759332063</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13200</v>
      </c>
      <c r="F8" s="387"/>
      <c r="G8" s="387">
        <f>E8*$C$8</f>
        <v>13529.999999999998</v>
      </c>
      <c r="H8" s="387"/>
      <c r="I8" s="387">
        <f>G8*$C$8</f>
        <v>13868.249999999996</v>
      </c>
      <c r="J8" s="387"/>
      <c r="K8" s="387">
        <f>I8*$C$8</f>
        <v>14214.956249999996</v>
      </c>
      <c r="L8" s="387"/>
      <c r="M8" s="387">
        <f>K8*$C$8</f>
        <v>14570.330156249995</v>
      </c>
      <c r="N8" s="387"/>
      <c r="O8" s="387">
        <f>M8*$C$8</f>
        <v>14934.588410156242</v>
      </c>
      <c r="P8" s="387"/>
      <c r="Q8" s="387">
        <f>O8*$C$8</f>
        <v>15307.953120410148</v>
      </c>
      <c r="R8" s="387"/>
      <c r="S8" s="387">
        <f>Q8*$C$8</f>
        <v>15690.6519484204</v>
      </c>
      <c r="T8" s="387"/>
      <c r="U8" s="387">
        <f>S8*$C$8</f>
        <v>16082.918247130909</v>
      </c>
      <c r="V8" s="387"/>
      <c r="W8" s="387">
        <f>U8*$C$8</f>
        <v>16484.991203309179</v>
      </c>
      <c r="X8" s="387"/>
      <c r="Y8" s="387">
        <f>W8*$C$8</f>
        <v>16897.115983391908</v>
      </c>
      <c r="Z8" s="387"/>
      <c r="AA8" s="387">
        <f>Y8*$C$8</f>
        <v>17319.543882976704</v>
      </c>
      <c r="AB8" s="387"/>
      <c r="AC8" s="387">
        <f>AA8*$C$8</f>
        <v>17752.532480051119</v>
      </c>
      <c r="AD8" s="387"/>
      <c r="AE8" s="387">
        <f>AC8*$C$8</f>
        <v>18196.345792052394</v>
      </c>
      <c r="AF8" s="387"/>
      <c r="AG8" s="387">
        <f>AE8*$C$8</f>
        <v>18651.254436853702</v>
      </c>
      <c r="AH8" s="376"/>
    </row>
    <row r="9" spans="1:34" ht="13.8">
      <c r="A9" s="376"/>
      <c r="B9" s="376" t="s">
        <v>988</v>
      </c>
      <c r="C9" s="408">
        <f>IF(Application!$D$214="Special Needs",0.1,0.05)</f>
        <v>0.05</v>
      </c>
      <c r="D9" s="376"/>
      <c r="E9" s="386">
        <f>-E8*$C$9</f>
        <v>-660</v>
      </c>
      <c r="F9" s="386"/>
      <c r="G9" s="386">
        <f>-G8*$C$9</f>
        <v>-676.5</v>
      </c>
      <c r="H9" s="386"/>
      <c r="I9" s="386">
        <f>-I8*$C$9</f>
        <v>-693.41249999999991</v>
      </c>
      <c r="J9" s="386"/>
      <c r="K9" s="386">
        <f>-K8*$C$9</f>
        <v>-710.74781249999978</v>
      </c>
      <c r="L9" s="386"/>
      <c r="M9" s="386">
        <f>-M8*$C$9</f>
        <v>-728.51650781249975</v>
      </c>
      <c r="N9" s="386"/>
      <c r="O9" s="386">
        <f>-O8*$C$9</f>
        <v>-746.72942050781216</v>
      </c>
      <c r="P9" s="386"/>
      <c r="Q9" s="386">
        <f>-Q8*$C$9</f>
        <v>-765.39765602050738</v>
      </c>
      <c r="R9" s="386"/>
      <c r="S9" s="386">
        <f>-S8*$C$9</f>
        <v>-784.53259742102</v>
      </c>
      <c r="T9" s="386"/>
      <c r="U9" s="386">
        <f>-U8*$C$9</f>
        <v>-804.14591235654552</v>
      </c>
      <c r="V9" s="386"/>
      <c r="W9" s="386">
        <f>-W8*$C$9</f>
        <v>-824.249560165459</v>
      </c>
      <c r="X9" s="386"/>
      <c r="Y9" s="386">
        <f>-Y8*$C$9</f>
        <v>-844.85579916959546</v>
      </c>
      <c r="Z9" s="386"/>
      <c r="AA9" s="386">
        <f>-AA8*$C$9</f>
        <v>-865.97719414883522</v>
      </c>
      <c r="AB9" s="386"/>
      <c r="AC9" s="386">
        <f>-AC8*$C$9</f>
        <v>-887.62662400255601</v>
      </c>
      <c r="AD9" s="386"/>
      <c r="AE9" s="386">
        <f>-AE8*$C$9</f>
        <v>-909.81728960261978</v>
      </c>
      <c r="AF9" s="386"/>
      <c r="AG9" s="386">
        <f>-AG8*$C$9</f>
        <v>-932.56272184268516</v>
      </c>
      <c r="AH9" s="376"/>
    </row>
    <row r="10" spans="1:34" ht="13.8">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596961</v>
      </c>
      <c r="F11" s="388"/>
      <c r="G11" s="388">
        <f>SUM(G4:G10)</f>
        <v>611885.02500000002</v>
      </c>
      <c r="H11" s="388"/>
      <c r="I11" s="388">
        <f>SUM(I4:I10)</f>
        <v>627182.15062500001</v>
      </c>
      <c r="J11" s="388"/>
      <c r="K11" s="388">
        <f>SUM(K4:K10)</f>
        <v>642861.704390625</v>
      </c>
      <c r="L11" s="388"/>
      <c r="M11" s="388">
        <f>SUM(M4:M10)</f>
        <v>658933.24700039043</v>
      </c>
      <c r="N11" s="388"/>
      <c r="O11" s="388">
        <f>SUM(O4:O10)</f>
        <v>675406.57817540015</v>
      </c>
      <c r="P11" s="388"/>
      <c r="Q11" s="388">
        <f>SUM(Q4:Q10)</f>
        <v>692291.74262978509</v>
      </c>
      <c r="R11" s="388"/>
      <c r="S11" s="388">
        <f>SUM(S4:S10)</f>
        <v>709599.03619552974</v>
      </c>
      <c r="T11" s="388"/>
      <c r="U11" s="388">
        <f>SUM(U4:U10)</f>
        <v>727339.01210041787</v>
      </c>
      <c r="V11" s="388"/>
      <c r="W11" s="388">
        <f>SUM(W4:W10)</f>
        <v>745522.48740292818</v>
      </c>
      <c r="X11" s="388"/>
      <c r="Y11" s="388">
        <f>SUM(Y4:Y10)</f>
        <v>764160.54958800122</v>
      </c>
      <c r="Z11" s="388"/>
      <c r="AA11" s="388">
        <f>SUM(AA4:AA10)</f>
        <v>783264.56332770141</v>
      </c>
      <c r="AB11" s="388"/>
      <c r="AC11" s="388">
        <f>SUM(AC4:AC10)</f>
        <v>802846.17741089384</v>
      </c>
      <c r="AD11" s="388"/>
      <c r="AE11" s="388">
        <f>SUM(AE4:AE10)</f>
        <v>822917.33184616605</v>
      </c>
      <c r="AF11" s="388"/>
      <c r="AG11" s="388">
        <f>SUM(AG4:AG10)</f>
        <v>843490.26514232019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11386</v>
      </c>
      <c r="F15" s="384"/>
      <c r="G15" s="384">
        <f t="shared" ref="G15:G21" si="0">E15*$C$14</f>
        <v>11784.509999999998</v>
      </c>
      <c r="H15" s="384"/>
      <c r="I15" s="384">
        <f t="shared" ref="I15:I21" si="1">G15*$C$14</f>
        <v>12196.967849999997</v>
      </c>
      <c r="J15" s="384"/>
      <c r="K15" s="384">
        <f t="shared" ref="K15:K21" si="2">I15*$C$14</f>
        <v>12623.861724749997</v>
      </c>
      <c r="L15" s="384"/>
      <c r="M15" s="384">
        <f t="shared" ref="M15:M21" si="3">K15*$C$14</f>
        <v>13065.696885116246</v>
      </c>
      <c r="N15" s="384"/>
      <c r="O15" s="384">
        <f t="shared" ref="O15:O21" si="4">M15*$C$14</f>
        <v>13522.996276095313</v>
      </c>
      <c r="P15" s="384"/>
      <c r="Q15" s="384">
        <f t="shared" ref="Q15:Q21" si="5">O15*$C$14</f>
        <v>13996.301145758647</v>
      </c>
      <c r="R15" s="384"/>
      <c r="S15" s="384">
        <f t="shared" ref="S15:S21" si="6">Q15*$C$14</f>
        <v>14486.171685860199</v>
      </c>
      <c r="T15" s="384"/>
      <c r="U15" s="384">
        <f t="shared" ref="U15:U21" si="7">S15*$C$14</f>
        <v>14993.187694865304</v>
      </c>
      <c r="V15" s="384"/>
      <c r="W15" s="384">
        <f t="shared" ref="W15:W21" si="8">U15*$C$14</f>
        <v>15517.949264185589</v>
      </c>
      <c r="X15" s="384"/>
      <c r="Y15" s="384">
        <f t="shared" ref="Y15:Y21" si="9">W15*$C$14</f>
        <v>16061.077488432084</v>
      </c>
      <c r="Z15" s="384"/>
      <c r="AA15" s="384">
        <f t="shared" ref="AA15:AA21" si="10">Y15*$C$14</f>
        <v>16623.215200527204</v>
      </c>
      <c r="AB15" s="384"/>
      <c r="AC15" s="384">
        <f t="shared" ref="AC15:AC21" si="11">AA15*$C$14</f>
        <v>17205.027732545655</v>
      </c>
      <c r="AD15" s="384"/>
      <c r="AE15" s="384">
        <f t="shared" ref="AE15:AE21" si="12">AC15*$C$14</f>
        <v>17807.20370318475</v>
      </c>
      <c r="AF15" s="384"/>
      <c r="AG15" s="384">
        <f t="shared" ref="AG15:AG21" si="13">AE15*$C$14</f>
        <v>18430.455832796215</v>
      </c>
      <c r="AH15" s="384"/>
    </row>
    <row r="16" spans="1:34" ht="13.8">
      <c r="A16" s="376" t="s">
        <v>468</v>
      </c>
      <c r="B16" s="376"/>
      <c r="C16" s="398"/>
      <c r="D16" s="376"/>
      <c r="E16" s="387">
        <f>Application!W828</f>
        <v>26863</v>
      </c>
      <c r="F16" s="387"/>
      <c r="G16" s="387">
        <f t="shared" si="0"/>
        <v>27803.204999999998</v>
      </c>
      <c r="H16" s="387"/>
      <c r="I16" s="387">
        <f t="shared" si="1"/>
        <v>28776.317174999996</v>
      </c>
      <c r="J16" s="387"/>
      <c r="K16" s="387">
        <f t="shared" si="2"/>
        <v>29783.488276124994</v>
      </c>
      <c r="L16" s="387"/>
      <c r="M16" s="387">
        <f t="shared" si="3"/>
        <v>30825.910365789365</v>
      </c>
      <c r="N16" s="387"/>
      <c r="O16" s="387">
        <f t="shared" si="4"/>
        <v>31904.81722859199</v>
      </c>
      <c r="P16" s="387"/>
      <c r="Q16" s="387">
        <f t="shared" si="5"/>
        <v>33021.485831592705</v>
      </c>
      <c r="R16" s="387"/>
      <c r="S16" s="387">
        <f t="shared" si="6"/>
        <v>34177.237835698448</v>
      </c>
      <c r="T16" s="387"/>
      <c r="U16" s="387">
        <f t="shared" si="7"/>
        <v>35373.441159947892</v>
      </c>
      <c r="V16" s="387"/>
      <c r="W16" s="387">
        <f t="shared" si="8"/>
        <v>36611.511600546066</v>
      </c>
      <c r="X16" s="387"/>
      <c r="Y16" s="387">
        <f t="shared" si="9"/>
        <v>37892.914506565176</v>
      </c>
      <c r="Z16" s="387"/>
      <c r="AA16" s="387">
        <f t="shared" si="10"/>
        <v>39219.166514294957</v>
      </c>
      <c r="AB16" s="387"/>
      <c r="AC16" s="387">
        <f t="shared" si="11"/>
        <v>40591.837342295279</v>
      </c>
      <c r="AD16" s="387"/>
      <c r="AE16" s="387">
        <f t="shared" si="12"/>
        <v>42012.551649275614</v>
      </c>
      <c r="AF16" s="387"/>
      <c r="AG16" s="387">
        <f t="shared" si="13"/>
        <v>43482.990957000256</v>
      </c>
      <c r="AH16" s="376"/>
    </row>
    <row r="17" spans="1:34" ht="13.8">
      <c r="A17" s="376" t="s">
        <v>734</v>
      </c>
      <c r="B17" s="376"/>
      <c r="C17" s="398"/>
      <c r="D17" s="376"/>
      <c r="E17" s="387">
        <f>Application!W834</f>
        <v>92970</v>
      </c>
      <c r="F17" s="387"/>
      <c r="G17" s="387">
        <f t="shared" si="0"/>
        <v>96223.95</v>
      </c>
      <c r="H17" s="387"/>
      <c r="I17" s="387">
        <f t="shared" si="1"/>
        <v>99591.788249999983</v>
      </c>
      <c r="J17" s="387"/>
      <c r="K17" s="387">
        <f t="shared" si="2"/>
        <v>103077.50083874997</v>
      </c>
      <c r="L17" s="387"/>
      <c r="M17" s="387">
        <f t="shared" si="3"/>
        <v>106685.21336810621</v>
      </c>
      <c r="N17" s="387"/>
      <c r="O17" s="387">
        <f t="shared" si="4"/>
        <v>110419.19583598991</v>
      </c>
      <c r="P17" s="387"/>
      <c r="Q17" s="387">
        <f t="shared" si="5"/>
        <v>114283.86769024955</v>
      </c>
      <c r="R17" s="387"/>
      <c r="S17" s="387">
        <f t="shared" si="6"/>
        <v>118283.80305940828</v>
      </c>
      <c r="T17" s="387"/>
      <c r="U17" s="387">
        <f t="shared" si="7"/>
        <v>122423.73616648756</v>
      </c>
      <c r="V17" s="387"/>
      <c r="W17" s="387">
        <f t="shared" si="8"/>
        <v>126708.56693231461</v>
      </c>
      <c r="X17" s="387"/>
      <c r="Y17" s="387">
        <f t="shared" si="9"/>
        <v>131143.36677494561</v>
      </c>
      <c r="Z17" s="387"/>
      <c r="AA17" s="387">
        <f t="shared" si="10"/>
        <v>135733.38461206868</v>
      </c>
      <c r="AB17" s="387"/>
      <c r="AC17" s="387">
        <f t="shared" si="11"/>
        <v>140484.05307349109</v>
      </c>
      <c r="AD17" s="387"/>
      <c r="AE17" s="387">
        <f t="shared" si="12"/>
        <v>145400.99493106327</v>
      </c>
      <c r="AF17" s="387"/>
      <c r="AG17" s="387">
        <f t="shared" si="13"/>
        <v>150490.02975365048</v>
      </c>
      <c r="AH17" s="376"/>
    </row>
    <row r="18" spans="1:34" ht="13.8">
      <c r="A18" s="376" t="s">
        <v>1079</v>
      </c>
      <c r="B18" s="376"/>
      <c r="C18" s="398"/>
      <c r="D18" s="376"/>
      <c r="E18" s="387">
        <f>Application!W841</f>
        <v>39284</v>
      </c>
      <c r="F18" s="387"/>
      <c r="G18" s="387">
        <f t="shared" si="0"/>
        <v>40658.939999999995</v>
      </c>
      <c r="H18" s="387"/>
      <c r="I18" s="387">
        <f t="shared" si="1"/>
        <v>42082.002899999992</v>
      </c>
      <c r="J18" s="387"/>
      <c r="K18" s="387">
        <f t="shared" si="2"/>
        <v>43554.873001499989</v>
      </c>
      <c r="L18" s="387"/>
      <c r="M18" s="387">
        <f t="shared" si="3"/>
        <v>45079.293556552482</v>
      </c>
      <c r="N18" s="387"/>
      <c r="O18" s="387">
        <f t="shared" si="4"/>
        <v>46657.068831031815</v>
      </c>
      <c r="P18" s="387"/>
      <c r="Q18" s="387">
        <f t="shared" si="5"/>
        <v>48290.066240117922</v>
      </c>
      <c r="R18" s="387"/>
      <c r="S18" s="387">
        <f t="shared" si="6"/>
        <v>49980.218558522043</v>
      </c>
      <c r="T18" s="387"/>
      <c r="U18" s="387">
        <f t="shared" si="7"/>
        <v>51729.526208070311</v>
      </c>
      <c r="V18" s="387"/>
      <c r="W18" s="387">
        <f t="shared" si="8"/>
        <v>53540.059625352769</v>
      </c>
      <c r="X18" s="387"/>
      <c r="Y18" s="387">
        <f t="shared" si="9"/>
        <v>55413.961712240111</v>
      </c>
      <c r="Z18" s="387"/>
      <c r="AA18" s="387">
        <f t="shared" si="10"/>
        <v>57353.450372168511</v>
      </c>
      <c r="AB18" s="387"/>
      <c r="AC18" s="387">
        <f t="shared" si="11"/>
        <v>59360.821135194405</v>
      </c>
      <c r="AD18" s="387"/>
      <c r="AE18" s="387">
        <f t="shared" si="12"/>
        <v>61438.449874926206</v>
      </c>
      <c r="AF18" s="387"/>
      <c r="AG18" s="387">
        <f t="shared" si="13"/>
        <v>63588.795620548619</v>
      </c>
    </row>
    <row r="19" spans="1:34" ht="13.8">
      <c r="A19" s="376" t="s">
        <v>931</v>
      </c>
      <c r="B19" s="376"/>
      <c r="C19" s="398"/>
      <c r="D19" s="376"/>
      <c r="E19" s="387">
        <f>Application!W842</f>
        <v>11414</v>
      </c>
      <c r="F19" s="387"/>
      <c r="G19" s="387">
        <f t="shared" si="0"/>
        <v>11813.49</v>
      </c>
      <c r="H19" s="387"/>
      <c r="I19" s="387">
        <f t="shared" si="1"/>
        <v>12226.962149999999</v>
      </c>
      <c r="J19" s="387"/>
      <c r="K19" s="387">
        <f t="shared" si="2"/>
        <v>12654.905825249998</v>
      </c>
      <c r="L19" s="387"/>
      <c r="M19" s="387">
        <f t="shared" si="3"/>
        <v>13097.827529133747</v>
      </c>
      <c r="N19" s="387"/>
      <c r="O19" s="387">
        <f t="shared" si="4"/>
        <v>13556.251492653428</v>
      </c>
      <c r="P19" s="387"/>
      <c r="Q19" s="387">
        <f t="shared" si="5"/>
        <v>14030.720294896297</v>
      </c>
      <c r="R19" s="387"/>
      <c r="S19" s="387">
        <f t="shared" si="6"/>
        <v>14521.795505217666</v>
      </c>
      <c r="T19" s="387"/>
      <c r="U19" s="387">
        <f t="shared" si="7"/>
        <v>15030.058347900283</v>
      </c>
      <c r="V19" s="387"/>
      <c r="W19" s="387">
        <f t="shared" si="8"/>
        <v>15556.110390076792</v>
      </c>
      <c r="X19" s="387"/>
      <c r="Y19" s="387">
        <f t="shared" si="9"/>
        <v>16100.574253729479</v>
      </c>
      <c r="Z19" s="387"/>
      <c r="AA19" s="387">
        <f t="shared" si="10"/>
        <v>16664.094352610009</v>
      </c>
      <c r="AB19" s="387"/>
      <c r="AC19" s="387">
        <f t="shared" si="11"/>
        <v>17247.33765495136</v>
      </c>
      <c r="AD19" s="387"/>
      <c r="AE19" s="387">
        <f t="shared" si="12"/>
        <v>17850.994472874656</v>
      </c>
      <c r="AF19" s="387"/>
      <c r="AG19" s="387">
        <f t="shared" si="13"/>
        <v>18475.779279425267</v>
      </c>
    </row>
    <row r="20" spans="1:34" ht="13.8">
      <c r="A20" s="376" t="s">
        <v>55</v>
      </c>
      <c r="B20" s="376"/>
      <c r="C20" s="398"/>
      <c r="D20" s="376"/>
      <c r="E20" s="387">
        <f>Application!W851</f>
        <v>95118</v>
      </c>
      <c r="F20" s="387"/>
      <c r="G20" s="387">
        <f t="shared" si="0"/>
        <v>98447.12999999999</v>
      </c>
      <c r="H20" s="387"/>
      <c r="I20" s="387">
        <f t="shared" si="1"/>
        <v>101892.77954999998</v>
      </c>
      <c r="J20" s="387"/>
      <c r="K20" s="387">
        <f t="shared" si="2"/>
        <v>105459.02683424996</v>
      </c>
      <c r="L20" s="387"/>
      <c r="M20" s="387">
        <f t="shared" si="3"/>
        <v>109150.0927734487</v>
      </c>
      <c r="N20" s="387"/>
      <c r="O20" s="387">
        <f t="shared" si="4"/>
        <v>112970.3460205194</v>
      </c>
      <c r="P20" s="387"/>
      <c r="Q20" s="387">
        <f t="shared" si="5"/>
        <v>116924.30813123757</v>
      </c>
      <c r="R20" s="387"/>
      <c r="S20" s="387">
        <f t="shared" si="6"/>
        <v>121016.65891583088</v>
      </c>
      <c r="T20" s="387"/>
      <c r="U20" s="387">
        <f t="shared" si="7"/>
        <v>125252.24197788494</v>
      </c>
      <c r="V20" s="387"/>
      <c r="W20" s="387">
        <f t="shared" si="8"/>
        <v>129636.07044711091</v>
      </c>
      <c r="X20" s="387"/>
      <c r="Y20" s="387">
        <f t="shared" si="9"/>
        <v>134173.33291275977</v>
      </c>
      <c r="Z20" s="387"/>
      <c r="AA20" s="387">
        <f t="shared" si="10"/>
        <v>138869.39956470634</v>
      </c>
      <c r="AB20" s="387"/>
      <c r="AC20" s="387">
        <f t="shared" si="11"/>
        <v>143729.82854947104</v>
      </c>
      <c r="AD20" s="387"/>
      <c r="AE20" s="387">
        <f t="shared" si="12"/>
        <v>148760.37254870252</v>
      </c>
      <c r="AF20" s="387"/>
      <c r="AG20" s="387">
        <f t="shared" si="13"/>
        <v>153966.98558790711</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277035</v>
      </c>
      <c r="F22" s="388"/>
      <c r="G22" s="388">
        <f>SUM(G15:G21)</f>
        <v>286731.22499999998</v>
      </c>
      <c r="H22" s="388"/>
      <c r="I22" s="388">
        <f>SUM(I15:I21)</f>
        <v>296766.81787499995</v>
      </c>
      <c r="J22" s="388"/>
      <c r="K22" s="388">
        <f>SUM(K15:K21)</f>
        <v>307153.65650062496</v>
      </c>
      <c r="L22" s="388"/>
      <c r="M22" s="388">
        <f>SUM(M15:M21)</f>
        <v>317904.03447814676</v>
      </c>
      <c r="N22" s="388"/>
      <c r="O22" s="388">
        <f>SUM(O15:O21)</f>
        <v>329030.67568488186</v>
      </c>
      <c r="P22" s="388"/>
      <c r="Q22" s="388">
        <f>SUM(Q15:Q21)</f>
        <v>340546.74933385267</v>
      </c>
      <c r="R22" s="388"/>
      <c r="S22" s="388">
        <f>SUM(S15:S21)</f>
        <v>352465.88556053751</v>
      </c>
      <c r="T22" s="388"/>
      <c r="U22" s="388">
        <f>SUM(U15:U21)</f>
        <v>364802.19155515631</v>
      </c>
      <c r="V22" s="388"/>
      <c r="W22" s="388">
        <f>SUM(W15:W21)</f>
        <v>377570.26825958671</v>
      </c>
      <c r="X22" s="388"/>
      <c r="Y22" s="388">
        <f>SUM(Y15:Y21)</f>
        <v>390785.22764867218</v>
      </c>
      <c r="Z22" s="388"/>
      <c r="AA22" s="388">
        <f>SUM(AA15:AA21)</f>
        <v>404462.71061637567</v>
      </c>
      <c r="AB22" s="388"/>
      <c r="AC22" s="388">
        <f>SUM(AC15:AC21)</f>
        <v>418618.90548794885</v>
      </c>
      <c r="AD22" s="388"/>
      <c r="AE22" s="388">
        <f>SUM(AE15:AE21)</f>
        <v>433270.56718002702</v>
      </c>
      <c r="AF22" s="388"/>
      <c r="AG22" s="388">
        <f>SUM(AG15:AG21)</f>
        <v>448435.03703132796</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3.8">
      <c r="A28" s="599" t="s">
        <v>1082</v>
      </c>
      <c r="B28" s="376"/>
      <c r="C28" s="407"/>
      <c r="D28" s="376"/>
      <c r="E28" s="387">
        <f>Application!AC868</f>
        <v>13750</v>
      </c>
      <c r="F28" s="387"/>
      <c r="G28" s="387">
        <f>$E$28</f>
        <v>13750</v>
      </c>
      <c r="H28" s="387"/>
      <c r="I28" s="387">
        <f>$E$28</f>
        <v>13750</v>
      </c>
      <c r="J28" s="387"/>
      <c r="K28" s="387">
        <f>$E$28</f>
        <v>13750</v>
      </c>
      <c r="L28" s="387"/>
      <c r="M28" s="387">
        <f>$E$28</f>
        <v>13750</v>
      </c>
      <c r="N28" s="387"/>
      <c r="O28" s="387">
        <f>$E$28</f>
        <v>13750</v>
      </c>
      <c r="P28" s="387"/>
      <c r="Q28" s="387">
        <f>$E$28</f>
        <v>13750</v>
      </c>
      <c r="R28" s="387"/>
      <c r="S28" s="387">
        <f>$E$28</f>
        <v>13750</v>
      </c>
      <c r="T28" s="387"/>
      <c r="U28" s="387">
        <f>$E$28</f>
        <v>13750</v>
      </c>
      <c r="V28" s="387"/>
      <c r="W28" s="387">
        <f>$E$28</f>
        <v>13750</v>
      </c>
      <c r="X28" s="387"/>
      <c r="Y28" s="387">
        <f>$E$28</f>
        <v>13750</v>
      </c>
      <c r="Z28" s="387"/>
      <c r="AA28" s="387">
        <f>$E$28</f>
        <v>13750</v>
      </c>
      <c r="AB28" s="387"/>
      <c r="AC28" s="387">
        <f>$E$28</f>
        <v>13750</v>
      </c>
      <c r="AD28" s="387"/>
      <c r="AE28" s="387">
        <f>$E$28</f>
        <v>13750</v>
      </c>
      <c r="AF28" s="387"/>
      <c r="AG28" s="387">
        <f>$E$28</f>
        <v>13750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313585</v>
      </c>
      <c r="F35" s="388"/>
      <c r="G35" s="388">
        <f>SUM(G22:G33)</f>
        <v>324079.22499999998</v>
      </c>
      <c r="H35" s="388"/>
      <c r="I35" s="388">
        <f>SUM(I22:I33)</f>
        <v>334940.74787499994</v>
      </c>
      <c r="J35" s="388"/>
      <c r="K35" s="388">
        <f>SUM(K22:K33)</f>
        <v>346182.42405062495</v>
      </c>
      <c r="L35" s="388"/>
      <c r="M35" s="388">
        <f>SUM(M22:M33)</f>
        <v>357817.55889239674</v>
      </c>
      <c r="N35" s="388"/>
      <c r="O35" s="388">
        <f>SUM(O22:O33)</f>
        <v>369859.92345363059</v>
      </c>
      <c r="P35" s="388"/>
      <c r="Q35" s="388">
        <f>SUM(Q22:Q33)</f>
        <v>382323.7707745076</v>
      </c>
      <c r="R35" s="388"/>
      <c r="S35" s="388">
        <f>SUM(S22:S33)</f>
        <v>395223.8527516154</v>
      </c>
      <c r="T35" s="388"/>
      <c r="U35" s="388">
        <f>SUM(U22:U33)</f>
        <v>408575.43759792187</v>
      </c>
      <c r="V35" s="388"/>
      <c r="W35" s="388">
        <f>SUM(W22:W33)</f>
        <v>422394.32791384909</v>
      </c>
      <c r="X35" s="388"/>
      <c r="Y35" s="388">
        <f>SUM(Y22:Y33)</f>
        <v>436696.87939083372</v>
      </c>
      <c r="Z35" s="388"/>
      <c r="AA35" s="388">
        <f>SUM(AA22:AA33)</f>
        <v>451500.02016951289</v>
      </c>
      <c r="AB35" s="388"/>
      <c r="AC35" s="388">
        <f>SUM(AC22:AC33)</f>
        <v>466821.27087544586</v>
      </c>
      <c r="AD35" s="388"/>
      <c r="AE35" s="388">
        <f>SUM(AE22:AE33)</f>
        <v>482678.76535608643</v>
      </c>
      <c r="AF35" s="388"/>
      <c r="AG35" s="388">
        <f>SUM(AG22:AG33)</f>
        <v>499091.27214354946</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283376</v>
      </c>
      <c r="F37" s="388"/>
      <c r="G37" s="388">
        <f>G11-G35</f>
        <v>287805.80000000005</v>
      </c>
      <c r="H37" s="388"/>
      <c r="I37" s="388">
        <f>I11-I35</f>
        <v>292241.40275000007</v>
      </c>
      <c r="J37" s="388"/>
      <c r="K37" s="388">
        <f>K11-K35</f>
        <v>296679.28034000006</v>
      </c>
      <c r="L37" s="388"/>
      <c r="M37" s="388">
        <f>M11-M35</f>
        <v>301115.68810799369</v>
      </c>
      <c r="N37" s="388"/>
      <c r="O37" s="388">
        <f>O11-O35</f>
        <v>305546.65472176956</v>
      </c>
      <c r="P37" s="388"/>
      <c r="Q37" s="388">
        <f>Q11-Q35</f>
        <v>309967.97185527749</v>
      </c>
      <c r="R37" s="388"/>
      <c r="S37" s="388">
        <f>S11-S35</f>
        <v>314375.18344391434</v>
      </c>
      <c r="T37" s="388"/>
      <c r="U37" s="388">
        <f>U11-U35</f>
        <v>318763.57450249599</v>
      </c>
      <c r="V37" s="388"/>
      <c r="W37" s="388">
        <f>W11-W35</f>
        <v>323128.15948907909</v>
      </c>
      <c r="X37" s="388"/>
      <c r="Y37" s="388">
        <f>Y11-Y35</f>
        <v>327463.67019716749</v>
      </c>
      <c r="Z37" s="388"/>
      <c r="AA37" s="388">
        <f>AA11-AA35</f>
        <v>331764.54315818852</v>
      </c>
      <c r="AB37" s="388"/>
      <c r="AC37" s="388">
        <f>AC11-AC35</f>
        <v>336024.90653544798</v>
      </c>
      <c r="AD37" s="388"/>
      <c r="AE37" s="388">
        <f>AE11-AE35</f>
        <v>340238.56649007963</v>
      </c>
      <c r="AF37" s="388"/>
      <c r="AG37" s="388">
        <f>AG11-AG35</f>
        <v>344398.99299877073</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 Bank Perm Loan</v>
      </c>
      <c r="B40" s="391"/>
      <c r="C40" s="385"/>
      <c r="D40" s="376"/>
      <c r="E40" s="384">
        <f>Application!AF621</f>
        <v>246414</v>
      </c>
      <c r="F40" s="384"/>
      <c r="G40" s="384">
        <f>$E$40</f>
        <v>246414</v>
      </c>
      <c r="H40" s="384"/>
      <c r="I40" s="384">
        <f>$E$40</f>
        <v>246414</v>
      </c>
      <c r="J40" s="384"/>
      <c r="K40" s="384">
        <f>$E$40</f>
        <v>246414</v>
      </c>
      <c r="L40" s="384"/>
      <c r="M40" s="384">
        <f>$E$40</f>
        <v>246414</v>
      </c>
      <c r="N40" s="384"/>
      <c r="O40" s="384">
        <f>$E$40</f>
        <v>246414</v>
      </c>
      <c r="P40" s="384"/>
      <c r="Q40" s="384">
        <f>$E$40</f>
        <v>246414</v>
      </c>
      <c r="R40" s="384"/>
      <c r="S40" s="384">
        <f>$E$40</f>
        <v>246414</v>
      </c>
      <c r="T40" s="384"/>
      <c r="U40" s="384">
        <f>$E$40</f>
        <v>246414</v>
      </c>
      <c r="V40" s="384"/>
      <c r="W40" s="384">
        <f>$E$40</f>
        <v>246414</v>
      </c>
      <c r="X40" s="384"/>
      <c r="Y40" s="384">
        <f>$E$40</f>
        <v>246414</v>
      </c>
      <c r="Z40" s="384"/>
      <c r="AA40" s="384">
        <f>$E$40</f>
        <v>246414</v>
      </c>
      <c r="AB40" s="384"/>
      <c r="AC40" s="384">
        <f>$E$40</f>
        <v>246414</v>
      </c>
      <c r="AD40" s="384"/>
      <c r="AE40" s="384">
        <f>$E$40</f>
        <v>246414</v>
      </c>
      <c r="AF40" s="384"/>
      <c r="AG40" s="384">
        <f>$E$40</f>
        <v>246414</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246414</v>
      </c>
      <c r="F43" s="388"/>
      <c r="G43" s="388">
        <f>SUM(G40:G42)</f>
        <v>246414</v>
      </c>
      <c r="H43" s="388"/>
      <c r="I43" s="388">
        <f>SUM(I40:I42)</f>
        <v>246414</v>
      </c>
      <c r="J43" s="388"/>
      <c r="K43" s="388">
        <f>SUM(K40:K42)</f>
        <v>246414</v>
      </c>
      <c r="L43" s="388"/>
      <c r="M43" s="388">
        <f>SUM(M40:M42)</f>
        <v>246414</v>
      </c>
      <c r="N43" s="388"/>
      <c r="O43" s="388">
        <f>SUM(O40:O42)</f>
        <v>246414</v>
      </c>
      <c r="P43" s="388"/>
      <c r="Q43" s="388">
        <f>SUM(Q40:Q42)</f>
        <v>246414</v>
      </c>
      <c r="R43" s="388"/>
      <c r="S43" s="388">
        <f>SUM(S40:S42)</f>
        <v>246414</v>
      </c>
      <c r="T43" s="388"/>
      <c r="U43" s="388">
        <f>SUM(U40:U42)</f>
        <v>246414</v>
      </c>
      <c r="V43" s="388"/>
      <c r="W43" s="388">
        <f>SUM(W40:W42)</f>
        <v>246414</v>
      </c>
      <c r="X43" s="388"/>
      <c r="Y43" s="388">
        <f>SUM(Y40:Y42)</f>
        <v>246414</v>
      </c>
      <c r="Z43" s="388"/>
      <c r="AA43" s="388">
        <f>SUM(AA40:AA42)</f>
        <v>246414</v>
      </c>
      <c r="AB43" s="388"/>
      <c r="AC43" s="388">
        <f>SUM(AC40:AC42)</f>
        <v>246414</v>
      </c>
      <c r="AD43" s="388"/>
      <c r="AE43" s="388">
        <f>SUM(AE40:AE42)</f>
        <v>246414</v>
      </c>
      <c r="AF43" s="388"/>
      <c r="AG43" s="388">
        <f>SUM(AG40:AG42)</f>
        <v>246414</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36962</v>
      </c>
      <c r="F45" s="388"/>
      <c r="G45" s="388">
        <f>G37-G43</f>
        <v>41391.800000000047</v>
      </c>
      <c r="H45" s="388"/>
      <c r="I45" s="388">
        <f>I37-I43</f>
        <v>45827.402750000067</v>
      </c>
      <c r="J45" s="388"/>
      <c r="K45" s="388">
        <f>K37-K43</f>
        <v>50265.280340000056</v>
      </c>
      <c r="L45" s="388"/>
      <c r="M45" s="388">
        <f>M37-M43</f>
        <v>54701.688107993687</v>
      </c>
      <c r="N45" s="388"/>
      <c r="O45" s="388">
        <f>O37-O43</f>
        <v>59132.654721769562</v>
      </c>
      <c r="P45" s="388"/>
      <c r="Q45" s="388">
        <f>Q37-Q43</f>
        <v>63553.971855277487</v>
      </c>
      <c r="R45" s="388"/>
      <c r="S45" s="388">
        <f>S37-S43</f>
        <v>67961.183443914342</v>
      </c>
      <c r="T45" s="388"/>
      <c r="U45" s="388">
        <f>U37-U43</f>
        <v>72349.574502495991</v>
      </c>
      <c r="V45" s="388"/>
      <c r="W45" s="388">
        <f>W37-W43</f>
        <v>76714.159489079088</v>
      </c>
      <c r="X45" s="388"/>
      <c r="Y45" s="388">
        <f>Y37-Y43</f>
        <v>81049.670197167492</v>
      </c>
      <c r="Z45" s="388"/>
      <c r="AA45" s="388">
        <f>AA37-AA43</f>
        <v>85350.54315818852</v>
      </c>
      <c r="AB45" s="388"/>
      <c r="AC45" s="388">
        <f>AC37-AC43</f>
        <v>89610.906535447983</v>
      </c>
      <c r="AD45" s="388"/>
      <c r="AE45" s="388">
        <f>AE37-AE43</f>
        <v>93824.566490079626</v>
      </c>
      <c r="AF45" s="388"/>
      <c r="AG45" s="388">
        <f>AG37-AG43</f>
        <v>97984.992998770729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5.8821095515452435E-2</v>
      </c>
      <c r="F47" s="392"/>
      <c r="G47" s="392">
        <f>G45/(G4+G6+G8)</f>
        <v>6.4264050260095906E-2</v>
      </c>
      <c r="H47" s="392"/>
      <c r="I47" s="392">
        <f>I45/(I4+I6+I8)</f>
        <v>6.9415292780758364E-2</v>
      </c>
      <c r="J47" s="392"/>
      <c r="K47" s="392">
        <f>K45/(K4+K6+K8)</f>
        <v>7.4280387207486046E-2</v>
      </c>
      <c r="L47" s="392"/>
      <c r="M47" s="392">
        <f>M45/(M4+M6+M8)</f>
        <v>7.8864746830058202E-2</v>
      </c>
      <c r="N47" s="392"/>
      <c r="O47" s="392">
        <f>O45/(O4+O6+O8)</f>
        <v>8.3173637629410851E-2</v>
      </c>
      <c r="P47" s="392"/>
      <c r="Q47" s="392">
        <f>Q45/(Q4+Q6+Q8)</f>
        <v>8.7212181721486842E-2</v>
      </c>
      <c r="R47" s="392"/>
      <c r="S47" s="392">
        <f>S45/(S4+S6+S8)</f>
        <v>9.0985360715637009E-2</v>
      </c>
      <c r="T47" s="392"/>
      <c r="U47" s="392">
        <f>U45/(U4+U6+U8)</f>
        <v>9.4498018989639873E-2</v>
      </c>
      <c r="V47" s="392"/>
      <c r="W47" s="392">
        <f>W45/(W4+W6+W8)</f>
        <v>9.7754866883360617E-2</v>
      </c>
      <c r="X47" s="392"/>
      <c r="Y47" s="392">
        <f>Y45/(Y4+Y6+Y8)</f>
        <v>0.10076048381301848</v>
      </c>
      <c r="Z47" s="392"/>
      <c r="AA47" s="392">
        <f>AA45/(AA4+AA6+AA8)</f>
        <v>0.10351932130798527</v>
      </c>
      <c r="AB47" s="392"/>
      <c r="AC47" s="392">
        <f>AC45/(AC4+AC6+AC8)</f>
        <v>0.10603570597198742</v>
      </c>
      <c r="AD47" s="392"/>
      <c r="AE47" s="392">
        <f>AE45/(AE4+AE6+AE8)</f>
        <v>0.10831384237054566</v>
      </c>
      <c r="AF47" s="392"/>
      <c r="AG47" s="392">
        <f>AG45/(AG4+AG6+AG8)</f>
        <v>0.11035781584642954</v>
      </c>
      <c r="AH47" s="392"/>
      <c r="AI47" s="392"/>
    </row>
    <row r="48" spans="1:35" ht="13.8">
      <c r="A48" s="392" t="s">
        <v>1089</v>
      </c>
      <c r="B48" s="392"/>
      <c r="C48" s="385"/>
      <c r="D48" s="392"/>
      <c r="E48" s="392">
        <f>E45/E43</f>
        <v>0.14999959417890218</v>
      </c>
      <c r="F48" s="392"/>
      <c r="G48" s="392">
        <f>G45/G43</f>
        <v>0.16797665717045315</v>
      </c>
      <c r="H48" s="392"/>
      <c r="I48" s="392">
        <f>I45/I43</f>
        <v>0.18597726894575822</v>
      </c>
      <c r="J48" s="392"/>
      <c r="K48" s="392">
        <f>K45/K43</f>
        <v>0.20398711250172497</v>
      </c>
      <c r="L48" s="392"/>
      <c r="M48" s="392">
        <f>M45/M43</f>
        <v>0.22199099120988941</v>
      </c>
      <c r="N48" s="392"/>
      <c r="O48" s="392">
        <f>O45/O43</f>
        <v>0.23997278856627285</v>
      </c>
      <c r="P48" s="392"/>
      <c r="Q48" s="392">
        <f>Q45/Q43</f>
        <v>0.25791542629589831</v>
      </c>
      <c r="R48" s="392"/>
      <c r="S48" s="392">
        <f>S45/S43</f>
        <v>0.27580082074847345</v>
      </c>
      <c r="T48" s="392"/>
      <c r="U48" s="392">
        <f>U45/U43</f>
        <v>0.2936098375193617</v>
      </c>
      <c r="V48" s="392"/>
      <c r="W48" s="392">
        <f>W45/W43</f>
        <v>0.31132224422751581</v>
      </c>
      <c r="X48" s="392"/>
      <c r="Y48" s="392">
        <f>Y45/Y43</f>
        <v>0.32891666137949749</v>
      </c>
      <c r="Z48" s="392"/>
      <c r="AA48" s="392">
        <f>AA45/AA43</f>
        <v>0.34637051124606766</v>
      </c>
      <c r="AB48" s="392"/>
      <c r="AC48" s="392">
        <f>AC45/AC43</f>
        <v>0.36365996467509143</v>
      </c>
      <c r="AD48" s="392"/>
      <c r="AE48" s="392">
        <f>AE45/AE43</f>
        <v>0.38075988576168412</v>
      </c>
      <c r="AF48" s="392"/>
      <c r="AG48" s="392">
        <f>AG45/AG43</f>
        <v>0.39764377429354958</v>
      </c>
      <c r="AH48" s="392"/>
      <c r="AI48" s="392"/>
    </row>
    <row r="49" spans="1:35" ht="13.8">
      <c r="A49" s="393" t="s">
        <v>1090</v>
      </c>
      <c r="B49" s="393"/>
      <c r="C49" s="394"/>
      <c r="D49" s="393"/>
      <c r="E49" s="393">
        <f>E37/E43</f>
        <v>1.1499995941789021</v>
      </c>
      <c r="F49" s="393"/>
      <c r="G49" s="393">
        <f>G37/G43</f>
        <v>1.1679766571704531</v>
      </c>
      <c r="H49" s="393"/>
      <c r="I49" s="393">
        <f>I37/I43</f>
        <v>1.1859772689457582</v>
      </c>
      <c r="J49" s="393"/>
      <c r="K49" s="393">
        <f>K37/K43</f>
        <v>1.203987112501725</v>
      </c>
      <c r="L49" s="393"/>
      <c r="M49" s="393">
        <f>M37/M43</f>
        <v>1.2219909912098894</v>
      </c>
      <c r="N49" s="393"/>
      <c r="O49" s="393">
        <f>O37/O43</f>
        <v>1.2399727885662728</v>
      </c>
      <c r="P49" s="393"/>
      <c r="Q49" s="393">
        <f>Q37/Q43</f>
        <v>1.2579154262958983</v>
      </c>
      <c r="R49" s="393"/>
      <c r="S49" s="393">
        <f>S37/S43</f>
        <v>1.2758008207484735</v>
      </c>
      <c r="T49" s="393"/>
      <c r="U49" s="393">
        <f>U37/U43</f>
        <v>1.2936098375193616</v>
      </c>
      <c r="V49" s="393"/>
      <c r="W49" s="393">
        <f>W37/W43</f>
        <v>1.3113222442275159</v>
      </c>
      <c r="X49" s="393"/>
      <c r="Y49" s="393">
        <f>Y37/Y43</f>
        <v>1.3289166613794974</v>
      </c>
      <c r="Z49" s="393"/>
      <c r="AA49" s="393">
        <f>AA37/AA43</f>
        <v>1.3463705112460678</v>
      </c>
      <c r="AB49" s="393"/>
      <c r="AC49" s="393">
        <f>AC37/AC43</f>
        <v>1.3636599646750915</v>
      </c>
      <c r="AD49" s="393"/>
      <c r="AE49" s="393">
        <f>AE37/AE43</f>
        <v>1.3807598857616841</v>
      </c>
      <c r="AF49" s="393"/>
      <c r="AG49" s="393">
        <f>AG37/AG43</f>
        <v>1.3976437742935497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36962</v>
      </c>
      <c r="F60" s="374"/>
      <c r="G60" s="374">
        <f>G45-G58</f>
        <v>41391.800000000047</v>
      </c>
      <c r="H60" s="374"/>
      <c r="I60" s="374">
        <f>I45-I58</f>
        <v>45827.402750000067</v>
      </c>
      <c r="J60" s="374"/>
      <c r="K60" s="374">
        <f>K45-K58</f>
        <v>50265.280340000056</v>
      </c>
      <c r="L60" s="374"/>
      <c r="M60" s="374">
        <f>M45-M58</f>
        <v>54701.688107993687</v>
      </c>
      <c r="N60" s="374"/>
      <c r="O60" s="374">
        <f>O45-O58</f>
        <v>59132.654721769562</v>
      </c>
      <c r="P60" s="374"/>
      <c r="Q60" s="374">
        <f>Q45-Q58</f>
        <v>63553.971855277487</v>
      </c>
      <c r="R60" s="374"/>
      <c r="S60" s="374">
        <f>S45-S58</f>
        <v>67961.183443914342</v>
      </c>
      <c r="T60" s="374"/>
      <c r="U60" s="374">
        <f>U45-U58</f>
        <v>72349.574502495991</v>
      </c>
      <c r="V60" s="374"/>
      <c r="W60" s="374">
        <f>W45-W58</f>
        <v>76714.159489079088</v>
      </c>
      <c r="X60" s="374"/>
      <c r="Y60" s="374">
        <f>Y45-Y58</f>
        <v>81049.670197167492</v>
      </c>
      <c r="Z60" s="374"/>
      <c r="AA60" s="374">
        <f>AA45-AA58</f>
        <v>85350.54315818852</v>
      </c>
      <c r="AB60" s="374"/>
      <c r="AC60" s="374">
        <f>AC45-AC58</f>
        <v>89610.906535447983</v>
      </c>
      <c r="AD60" s="374"/>
      <c r="AE60" s="374">
        <f>AE45-AE58</f>
        <v>93824.566490079626</v>
      </c>
      <c r="AF60" s="374"/>
      <c r="AG60" s="374">
        <f>AG45-AG58</f>
        <v>97984.992998770729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f>+E60</f>
        <v>36962</v>
      </c>
      <c r="F62" s="374"/>
      <c r="G62" s="821">
        <f>G60*$C$62</f>
        <v>41391.800000000047</v>
      </c>
      <c r="H62" s="374"/>
      <c r="I62" s="821">
        <f>I60*$C$62</f>
        <v>45827.402750000067</v>
      </c>
      <c r="J62" s="374"/>
      <c r="K62" s="821">
        <f>K60*$C$62</f>
        <v>50265.280340000056</v>
      </c>
      <c r="L62" s="374"/>
      <c r="M62" s="821">
        <f>M60*$C$62</f>
        <v>54701.688107993687</v>
      </c>
      <c r="N62" s="374"/>
      <c r="O62" s="821">
        <f>O60*$C$62</f>
        <v>59132.654721769562</v>
      </c>
      <c r="P62" s="374"/>
      <c r="Q62" s="821">
        <f>Q60*$C$62</f>
        <v>63553.971855277487</v>
      </c>
      <c r="R62" s="374"/>
      <c r="S62" s="821">
        <f>S60*$C$62</f>
        <v>67961.183443914342</v>
      </c>
      <c r="T62" s="374"/>
      <c r="U62" s="821">
        <f>U60*$C$62</f>
        <v>72349.574502495991</v>
      </c>
      <c r="V62" s="374"/>
      <c r="W62" s="821">
        <f>W60*$C$62</f>
        <v>76714.159489079088</v>
      </c>
      <c r="X62" s="374"/>
      <c r="Y62" s="821">
        <f>Y60*$C$62</f>
        <v>81049.670197167492</v>
      </c>
      <c r="Z62" s="374"/>
      <c r="AA62" s="821">
        <f>AA60*$C$62</f>
        <v>85350.54315818852</v>
      </c>
      <c r="AB62" s="374"/>
      <c r="AC62" s="821">
        <f>AC60*$C$62</f>
        <v>89610.906535447983</v>
      </c>
      <c r="AD62" s="374"/>
      <c r="AE62" s="821">
        <f>AE60*$C$62</f>
        <v>93824.566490079626</v>
      </c>
      <c r="AF62" s="374"/>
      <c r="AG62" s="821">
        <f>968444-SUM(E62:AE62)</f>
        <v>49748.598408585996</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48236.394590184733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2</v>
      </c>
      <c r="C4" s="602">
        <f>Application!$O695</f>
        <v>483</v>
      </c>
      <c r="D4" s="603"/>
      <c r="E4" s="942"/>
      <c r="F4" s="602">
        <f>$E4*$B4</f>
        <v>0</v>
      </c>
      <c r="G4" s="603"/>
      <c r="H4" s="602">
        <f>IF($E4=0,0,MAX($E4-$C4,0))</f>
        <v>0</v>
      </c>
      <c r="I4" s="602">
        <f>IF($H4=0,0,($H4*$B4))</f>
        <v>0</v>
      </c>
    </row>
    <row r="5" spans="1:9">
      <c r="A5" s="602" t="str">
        <f>Application!$B696</f>
        <v>1 Bedroom</v>
      </c>
      <c r="B5" s="943">
        <f>Application!$G696</f>
        <v>2</v>
      </c>
      <c r="C5" s="602">
        <f>Application!$O696</f>
        <v>648</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3</v>
      </c>
      <c r="C6" s="602">
        <f>Application!$O697</f>
        <v>813</v>
      </c>
      <c r="D6" s="603"/>
      <c r="E6" s="942"/>
      <c r="F6" s="602">
        <f t="shared" si="0"/>
        <v>0</v>
      </c>
      <c r="G6" s="603"/>
      <c r="H6" s="602">
        <f t="shared" si="1"/>
        <v>0</v>
      </c>
      <c r="I6" s="602">
        <f t="shared" si="2"/>
        <v>0</v>
      </c>
    </row>
    <row r="7" spans="1:9">
      <c r="A7" s="602" t="str">
        <f>Application!$B698</f>
        <v>1 Bedroom</v>
      </c>
      <c r="B7" s="943">
        <f>Application!$G698</f>
        <v>5</v>
      </c>
      <c r="C7" s="602">
        <f>Application!$O698</f>
        <v>978</v>
      </c>
      <c r="D7" s="603"/>
      <c r="E7" s="942"/>
      <c r="F7" s="602">
        <f t="shared" si="0"/>
        <v>0</v>
      </c>
      <c r="G7" s="603"/>
      <c r="H7" s="602">
        <f t="shared" si="1"/>
        <v>0</v>
      </c>
      <c r="I7" s="602">
        <f t="shared" si="2"/>
        <v>0</v>
      </c>
    </row>
    <row r="8" spans="1:9">
      <c r="A8" s="602" t="str">
        <f>Application!$B699</f>
        <v>2 Bedrooms</v>
      </c>
      <c r="B8" s="943">
        <f>Application!$G699</f>
        <v>3</v>
      </c>
      <c r="C8" s="602">
        <f>Application!$O699</f>
        <v>582</v>
      </c>
      <c r="D8" s="603"/>
      <c r="E8" s="942"/>
      <c r="F8" s="602">
        <f t="shared" si="0"/>
        <v>0</v>
      </c>
      <c r="G8" s="603"/>
      <c r="H8" s="602">
        <f t="shared" si="1"/>
        <v>0</v>
      </c>
      <c r="I8" s="602">
        <f t="shared" si="2"/>
        <v>0</v>
      </c>
    </row>
    <row r="9" spans="1:9">
      <c r="A9" s="602" t="str">
        <f>Application!$B700</f>
        <v>2 Bedrooms</v>
      </c>
      <c r="B9" s="943">
        <f>Application!$G700</f>
        <v>5</v>
      </c>
      <c r="C9" s="602">
        <f>Application!$O700</f>
        <v>780</v>
      </c>
      <c r="D9" s="603"/>
      <c r="E9" s="942"/>
      <c r="F9" s="602">
        <f t="shared" si="0"/>
        <v>0</v>
      </c>
      <c r="G9" s="603"/>
      <c r="H9" s="602">
        <f t="shared" si="1"/>
        <v>0</v>
      </c>
      <c r="I9" s="602">
        <f t="shared" si="2"/>
        <v>0</v>
      </c>
    </row>
    <row r="10" spans="1:9">
      <c r="A10" s="602" t="str">
        <f>Application!$B701</f>
        <v>2 Bedrooms</v>
      </c>
      <c r="B10" s="943">
        <f>Application!$G701</f>
        <v>11</v>
      </c>
      <c r="C10" s="602">
        <f>Application!$O701</f>
        <v>978</v>
      </c>
      <c r="D10" s="603"/>
      <c r="E10" s="942"/>
      <c r="F10" s="602">
        <f t="shared" si="0"/>
        <v>0</v>
      </c>
      <c r="G10" s="603"/>
      <c r="H10" s="602">
        <f t="shared" si="1"/>
        <v>0</v>
      </c>
      <c r="I10" s="602">
        <f t="shared" si="2"/>
        <v>0</v>
      </c>
    </row>
    <row r="11" spans="1:9">
      <c r="A11" s="602" t="str">
        <f>Application!$B702</f>
        <v>2 Bedrooms</v>
      </c>
      <c r="B11" s="943">
        <f>Application!$G702</f>
        <v>9</v>
      </c>
      <c r="C11" s="602">
        <f>Application!$O702</f>
        <v>1176</v>
      </c>
      <c r="D11" s="603"/>
      <c r="E11" s="942"/>
      <c r="F11" s="602">
        <f t="shared" si="0"/>
        <v>0</v>
      </c>
      <c r="G11" s="603"/>
      <c r="H11" s="602">
        <f t="shared" si="1"/>
        <v>0</v>
      </c>
      <c r="I11" s="602">
        <f t="shared" si="2"/>
        <v>0</v>
      </c>
    </row>
    <row r="12" spans="1:9">
      <c r="A12" s="602" t="str">
        <f>Application!$B703</f>
        <v>3 Bedrooms</v>
      </c>
      <c r="B12" s="943">
        <f>Application!$G703</f>
        <v>2</v>
      </c>
      <c r="C12" s="602">
        <f>Application!$O703</f>
        <v>673</v>
      </c>
      <c r="D12" s="603"/>
      <c r="E12" s="942"/>
      <c r="F12" s="602">
        <f t="shared" si="0"/>
        <v>0</v>
      </c>
      <c r="G12" s="603"/>
      <c r="H12" s="602">
        <f t="shared" si="1"/>
        <v>0</v>
      </c>
      <c r="I12" s="602">
        <f t="shared" si="2"/>
        <v>0</v>
      </c>
    </row>
    <row r="13" spans="1:9">
      <c r="A13" s="602" t="str">
        <f>Application!$B704</f>
        <v>3 Bedrooms</v>
      </c>
      <c r="B13" s="943">
        <f>Application!$G704</f>
        <v>4</v>
      </c>
      <c r="C13" s="602">
        <f>Application!$O704</f>
        <v>902</v>
      </c>
      <c r="D13" s="603"/>
      <c r="E13" s="942"/>
      <c r="F13" s="602">
        <f t="shared" si="0"/>
        <v>0</v>
      </c>
      <c r="G13" s="603"/>
      <c r="H13" s="602">
        <f t="shared" si="1"/>
        <v>0</v>
      </c>
      <c r="I13" s="602">
        <f t="shared" si="2"/>
        <v>0</v>
      </c>
    </row>
    <row r="14" spans="1:9">
      <c r="A14" s="602" t="str">
        <f>Application!$B705</f>
        <v>3 Bedrooms</v>
      </c>
      <c r="B14" s="943">
        <f>Application!$G705</f>
        <v>5</v>
      </c>
      <c r="C14" s="602">
        <f>Application!$O705</f>
        <v>1131</v>
      </c>
      <c r="D14" s="603"/>
      <c r="E14" s="942"/>
      <c r="F14" s="602">
        <f t="shared" si="0"/>
        <v>0</v>
      </c>
      <c r="G14" s="603"/>
      <c r="H14" s="602">
        <f t="shared" si="1"/>
        <v>0</v>
      </c>
      <c r="I14" s="602">
        <f t="shared" si="2"/>
        <v>0</v>
      </c>
    </row>
    <row r="15" spans="1:9">
      <c r="A15" s="602" t="str">
        <f>Application!$B706</f>
        <v>3 Bedrooms</v>
      </c>
      <c r="B15" s="943">
        <f>Application!$G706</f>
        <v>3</v>
      </c>
      <c r="C15" s="602">
        <f>Application!$O706</f>
        <v>1359</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615180</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23364864</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3102466</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-3102466</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T11+T22</f>
        <v>23364864</v>
      </c>
      <c r="U23" s="1202"/>
      <c r="V23" s="1202"/>
      <c r="W23" s="1202"/>
      <c r="X23" s="1202"/>
      <c r="Y23" s="1601">
        <f>Y11+Y22</f>
        <v>0</v>
      </c>
      <c r="Z23" s="1202"/>
      <c r="AA23" s="1202"/>
      <c r="AB23" s="1202"/>
      <c r="AC23" s="1202"/>
      <c r="AD23" s="1601">
        <f>AD11+AD22</f>
        <v>0</v>
      </c>
      <c r="AE23" s="1202"/>
      <c r="AF23" s="1202"/>
      <c r="AG23" s="1202"/>
      <c r="AH23" s="1202"/>
      <c r="AI23" s="1601">
        <f>AI11+AI22</f>
        <v>-3102466</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23364864</v>
      </c>
      <c r="U26" s="1604"/>
      <c r="V26" s="1604"/>
      <c r="W26" s="1604"/>
      <c r="X26" s="1604"/>
      <c r="Y26" s="1226">
        <f>Y23*Y25</f>
        <v>0</v>
      </c>
      <c r="Z26" s="1604"/>
      <c r="AA26" s="1604"/>
      <c r="AB26" s="1604"/>
      <c r="AC26" s="1604"/>
      <c r="AD26" s="1226">
        <f>AD23*AD25</f>
        <v>0</v>
      </c>
      <c r="AE26" s="1604"/>
      <c r="AF26" s="1604"/>
      <c r="AG26" s="1604"/>
      <c r="AH26" s="1604"/>
      <c r="AI26" s="1226">
        <f>AI23*AI25</f>
        <v>-3102466</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23364864</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-3102466</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20262398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0" ht="12.9" customHeight="1">
      <c r="B36" s="204"/>
      <c r="X36" s="71"/>
      <c r="Y36" s="1608"/>
      <c r="Z36" s="1608"/>
      <c r="AA36" s="1608"/>
      <c r="AB36" s="1608"/>
      <c r="AC36" s="1608"/>
      <c r="AD36" s="1494"/>
      <c r="AE36" s="1494"/>
      <c r="AF36" s="1494"/>
      <c r="AG36" s="1494"/>
      <c r="AH36" s="149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639">
        <v>0.04</v>
      </c>
      <c r="AE39" s="1639"/>
      <c r="AF39" s="1639"/>
      <c r="AG39" s="1639"/>
      <c r="AH39" s="1639"/>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1">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29956568</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29956568</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193">
        <f>(IF((Y41&lt;AB54),Y41,AB54))</f>
        <v>0</v>
      </c>
      <c r="AC55" s="1194"/>
      <c r="AD55" s="1194"/>
      <c r="AE55" s="1194"/>
      <c r="AF55" s="1195"/>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5">
        <f>AB48-AB56</f>
        <v>29956568</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1"/>
      <c r="AA63" s="1631"/>
      <c r="AB63" s="1631"/>
      <c r="AC63" s="1631"/>
      <c r="AD63" s="1202">
        <f>AI28</f>
        <v>-3102466</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29956568</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1354</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23364864</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Credits'!T21</f>
        <v>3102466</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-3102466</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T11+T22</f>
        <v>20262398</v>
      </c>
      <c r="U23" s="1202"/>
      <c r="V23" s="1202"/>
      <c r="W23" s="1202"/>
      <c r="X23" s="1202"/>
      <c r="Y23" s="1601">
        <f>Y11+Y22</f>
        <v>0</v>
      </c>
      <c r="Z23" s="1202"/>
      <c r="AA23" s="1202"/>
      <c r="AB23" s="1202"/>
      <c r="AC23" s="1202"/>
      <c r="AD23" s="1601">
        <f>AD11+AD22</f>
        <v>0</v>
      </c>
      <c r="AE23" s="1202"/>
      <c r="AF23" s="1202"/>
      <c r="AG23" s="1202"/>
      <c r="AH23" s="1202"/>
      <c r="AI23" s="1601">
        <f>AI11+AI22</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20262398</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20262398</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20262398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0" ht="12.9" customHeight="1">
      <c r="B36" s="204"/>
      <c r="X36" s="71"/>
      <c r="Y36" s="1608"/>
      <c r="Z36" s="1608"/>
      <c r="AA36" s="1608"/>
      <c r="AB36" s="1608"/>
      <c r="AC36" s="1608"/>
      <c r="AD36" s="1494"/>
      <c r="AE36" s="1494"/>
      <c r="AF36" s="1494"/>
      <c r="AG36" s="1494"/>
      <c r="AH36" s="149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959">
        <f>'Basis &amp; Credits'!AD39:AH39</f>
        <v>0.04</v>
      </c>
      <c r="AE39" s="1959"/>
      <c r="AF39" s="1959"/>
      <c r="AG39" s="1959"/>
      <c r="AH39" s="1959"/>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1">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29956568</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29956568</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961">
        <f>(IF((Y41&lt;AB54),Y41,AB54))</f>
        <v>0</v>
      </c>
      <c r="AC55" s="1962"/>
      <c r="AD55" s="1962"/>
      <c r="AE55" s="1962"/>
      <c r="AF55" s="1963"/>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5">
        <f>AB48-AB56</f>
        <v>29956568</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1"/>
      <c r="AA63" s="1631"/>
      <c r="AB63" s="1631"/>
      <c r="AC63" s="1631"/>
      <c r="AD63" s="1202">
        <f>AI28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29956568</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5000000</v>
      </c>
      <c r="C5" s="329">
        <f>'Sources and Uses Budget'!C4</f>
        <v>5000000</v>
      </c>
      <c r="D5" s="329">
        <f>'Sources and Uses Budget'!C4</f>
        <v>5000000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5000000</v>
      </c>
      <c r="C9" s="331">
        <f>SUM(C5:C8)</f>
        <v>5000000</v>
      </c>
      <c r="D9" s="331">
        <f>SUM(D5:D8)</f>
        <v>5000000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5000000</v>
      </c>
      <c r="C13" s="331">
        <f>SUM(C9+C12)</f>
        <v>5000000</v>
      </c>
      <c r="D13" s="331">
        <f>SUM(D9+D12)</f>
        <v>5000000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13507750</v>
      </c>
      <c r="C31" s="329">
        <f>'Sources and Uses Budget'!C30</f>
        <v>13507750</v>
      </c>
      <c r="D31" s="329">
        <f>'Sources and Uses Budget'!C30</f>
        <v>13507750</v>
      </c>
      <c r="E31" s="331">
        <f t="shared" si="0"/>
        <v>0</v>
      </c>
      <c r="F31" s="330"/>
      <c r="G31" s="330"/>
    </row>
    <row r="32" spans="1:7" s="568" customFormat="1" ht="13.2">
      <c r="A32" s="239" t="s">
        <v>912</v>
      </c>
      <c r="B32" s="329">
        <f>'Sources and Uses Budget'!C31</f>
        <v>810465</v>
      </c>
      <c r="C32" s="329">
        <f>'Sources and Uses Budget'!C31</f>
        <v>810465</v>
      </c>
      <c r="D32" s="329">
        <f>'Sources and Uses Budget'!C31</f>
        <v>810465</v>
      </c>
      <c r="E32" s="331">
        <f t="shared" si="0"/>
        <v>0</v>
      </c>
      <c r="F32" s="330"/>
      <c r="G32" s="330"/>
    </row>
    <row r="33" spans="1:7" s="568" customFormat="1" ht="13.2">
      <c r="A33" s="239" t="s">
        <v>913</v>
      </c>
      <c r="B33" s="329">
        <f>'Sources and Uses Budget'!C32</f>
        <v>286364</v>
      </c>
      <c r="C33" s="329">
        <f>'Sources and Uses Budget'!C32</f>
        <v>286364</v>
      </c>
      <c r="D33" s="329">
        <f>'Sources and Uses Budget'!C32</f>
        <v>286364</v>
      </c>
      <c r="E33" s="331">
        <f t="shared" si="0"/>
        <v>0</v>
      </c>
      <c r="F33" s="330"/>
      <c r="G33" s="330"/>
    </row>
    <row r="34" spans="1:7" s="568" customFormat="1" ht="13.2">
      <c r="A34" s="239" t="s">
        <v>914</v>
      </c>
      <c r="B34" s="329">
        <f>'Sources and Uses Budget'!C33</f>
        <v>859093</v>
      </c>
      <c r="C34" s="329">
        <f>'Sources and Uses Budget'!C33</f>
        <v>859093</v>
      </c>
      <c r="D34" s="329">
        <f>'Sources and Uses Budget'!C33</f>
        <v>859093</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541229</v>
      </c>
      <c r="C36" s="329">
        <f>'Sources and Uses Budget'!C35</f>
        <v>541229</v>
      </c>
      <c r="D36" s="329">
        <f>'Sources and Uses Budget'!C35</f>
        <v>541229</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16004901</v>
      </c>
      <c r="C39" s="894">
        <f>'Sources and Uses Budget'!C38</f>
        <v>16004901</v>
      </c>
      <c r="D39" s="894">
        <f>'Sources and Uses Budget'!C38</f>
        <v>16004901</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998897</v>
      </c>
      <c r="C41" s="329">
        <f>'Sources and Uses Budget'!C40</f>
        <v>998897</v>
      </c>
      <c r="D41" s="329">
        <f>'Sources and Uses Budget'!C40</f>
        <v>998897</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998897</v>
      </c>
      <c r="C43" s="894">
        <f>'Sources and Uses Budget'!C42</f>
        <v>998897</v>
      </c>
      <c r="D43" s="894">
        <f>'Sources and Uses Budget'!C42</f>
        <v>998897</v>
      </c>
      <c r="E43" s="331">
        <f>C43-B43</f>
        <v>0</v>
      </c>
      <c r="F43" s="330"/>
      <c r="G43" s="330"/>
    </row>
    <row r="44" spans="1:7" s="568" customFormat="1" ht="13.2">
      <c r="A44" s="887" t="s">
        <v>924</v>
      </c>
      <c r="B44" s="329">
        <f>'Sources and Uses Budget'!C43</f>
        <v>100000</v>
      </c>
      <c r="C44" s="329">
        <f>'Sources and Uses Budget'!C43</f>
        <v>100000</v>
      </c>
      <c r="D44" s="329">
        <f>'Sources and Uses Budget'!C43</f>
        <v>100000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2406173</v>
      </c>
      <c r="C46" s="329">
        <f>'Sources and Uses Budget'!C45</f>
        <v>2406173</v>
      </c>
      <c r="D46" s="329">
        <f>'Sources and Uses Budget'!C45</f>
        <v>2406173</v>
      </c>
      <c r="E46" s="331">
        <f t="shared" si="0"/>
        <v>0</v>
      </c>
      <c r="F46" s="330"/>
      <c r="G46" s="330"/>
    </row>
    <row r="47" spans="1:7" s="568" customFormat="1" ht="13.2">
      <c r="A47" s="239" t="s">
        <v>927</v>
      </c>
      <c r="B47" s="329">
        <f>'Sources and Uses Budget'!C46</f>
        <v>256677</v>
      </c>
      <c r="C47" s="329">
        <f>'Sources and Uses Budget'!C46</f>
        <v>256677</v>
      </c>
      <c r="D47" s="329">
        <f>'Sources and Uses Budget'!C46</f>
        <v>256677</v>
      </c>
      <c r="E47" s="331">
        <f t="shared" si="0"/>
        <v>0</v>
      </c>
      <c r="F47" s="330"/>
      <c r="G47" s="330"/>
    </row>
    <row r="48" spans="1:7" s="568" customFormat="1" ht="13.2">
      <c r="A48" s="239" t="s">
        <v>928</v>
      </c>
      <c r="B48" s="329">
        <f>'Sources and Uses Budget'!C47</f>
        <v>35000</v>
      </c>
      <c r="C48" s="329">
        <f>'Sources and Uses Budget'!C47</f>
        <v>35000</v>
      </c>
      <c r="D48" s="329">
        <f>'Sources and Uses Budget'!C47</f>
        <v>35000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100000</v>
      </c>
      <c r="C51" s="329">
        <f>'Sources and Uses Budget'!C50</f>
        <v>100000</v>
      </c>
      <c r="D51" s="329">
        <f>'Sources and Uses Budget'!C50</f>
        <v>100000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20000</v>
      </c>
      <c r="C53" s="329">
        <f>'Sources and Uses Budget'!C52</f>
        <v>20000</v>
      </c>
      <c r="D53" s="329">
        <f>'Sources and Uses Budget'!C52</f>
        <v>20000</v>
      </c>
      <c r="E53" s="331">
        <f t="shared" si="0"/>
        <v>0</v>
      </c>
      <c r="F53" s="330"/>
      <c r="G53" s="330"/>
    </row>
    <row r="54" spans="1:7" s="568" customFormat="1" ht="13.2">
      <c r="A54" s="243" t="s">
        <v>933</v>
      </c>
      <c r="B54" s="894">
        <f>'Sources and Uses Budget'!C53</f>
        <v>2857850</v>
      </c>
      <c r="C54" s="894">
        <f>'Sources and Uses Budget'!C53</f>
        <v>2857850</v>
      </c>
      <c r="D54" s="894">
        <f>'Sources and Uses Budget'!C53</f>
        <v>2857850</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10000</v>
      </c>
      <c r="C57" s="329">
        <f>'Sources and Uses Budget'!C56</f>
        <v>10000</v>
      </c>
      <c r="D57" s="329">
        <f>'Sources and Uses Budget'!C56</f>
        <v>10000</v>
      </c>
      <c r="E57" s="331">
        <f t="shared" si="0"/>
        <v>0</v>
      </c>
      <c r="F57" s="330"/>
      <c r="G57" s="330"/>
    </row>
    <row r="58" spans="1:7" s="568" customFormat="1" ht="13.2">
      <c r="A58" s="888" t="s">
        <v>932</v>
      </c>
      <c r="B58" s="329">
        <f>'Sources and Uses Budget'!C57</f>
        <v>5000</v>
      </c>
      <c r="C58" s="329">
        <f>'Sources and Uses Budget'!C57</f>
        <v>5000</v>
      </c>
      <c r="D58" s="329">
        <f>'Sources and Uses Budget'!C57</f>
        <v>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15000</v>
      </c>
      <c r="C62" s="894">
        <f>'Sources and Uses Budget'!C61</f>
        <v>15000</v>
      </c>
      <c r="D62" s="894">
        <f>'Sources and Uses Budget'!C61</f>
        <v>15000</v>
      </c>
      <c r="E62" s="331">
        <f t="shared" si="0"/>
        <v>0</v>
      </c>
      <c r="F62" s="330"/>
      <c r="G62" s="330"/>
    </row>
    <row r="63" spans="1:7" s="568" customFormat="1" ht="13.2">
      <c r="A63" s="890" t="s">
        <v>501</v>
      </c>
      <c r="B63" s="894">
        <f>'Sources and Uses Budget'!C62</f>
        <v>24976648</v>
      </c>
      <c r="C63" s="894">
        <f>'Sources and Uses Budget'!C62</f>
        <v>24976648</v>
      </c>
      <c r="D63" s="894">
        <f>'Sources and Uses Budget'!C62</f>
        <v>24976648</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65000</v>
      </c>
      <c r="C65" s="329">
        <f>'Sources and Uses Budget'!C64</f>
        <v>65000</v>
      </c>
      <c r="D65" s="329">
        <f>'Sources and Uses Budget'!C64</f>
        <v>65000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115000</v>
      </c>
      <c r="C70" s="894">
        <f>'Sources and Uses Budget'!C69</f>
        <v>115000</v>
      </c>
      <c r="D70" s="894">
        <f>'Sources and Uses Budget'!C69</f>
        <v>115000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30000</v>
      </c>
      <c r="C72" s="329">
        <f>'Sources and Uses Budget'!C71</f>
        <v>30000</v>
      </c>
      <c r="D72" s="329">
        <f>'Sources and Uses Budget'!C71</f>
        <v>30000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140000</v>
      </c>
      <c r="C75" s="329">
        <f>'Sources and Uses Budget'!C74</f>
        <v>140000</v>
      </c>
      <c r="D75" s="329">
        <f>'Sources and Uses Budget'!C74</f>
        <v>140000</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170000</v>
      </c>
      <c r="C77" s="894">
        <f>'Sources and Uses Budget'!C76</f>
        <v>170000</v>
      </c>
      <c r="D77" s="894">
        <f>'Sources and Uses Budget'!C76</f>
        <v>170000</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800245</v>
      </c>
      <c r="C79" s="329">
        <f>'Sources and Uses Budget'!C78</f>
        <v>800245</v>
      </c>
      <c r="D79" s="329">
        <f>'Sources and Uses Budget'!C78</f>
        <v>800245</v>
      </c>
      <c r="E79" s="331">
        <f t="shared" ref="E79:E105" si="2">C79-B79</f>
        <v>0</v>
      </c>
      <c r="F79" s="330"/>
      <c r="G79" s="330"/>
    </row>
    <row r="80" spans="1:7" s="568" customFormat="1" ht="13.2">
      <c r="A80" s="888" t="s">
        <v>538</v>
      </c>
      <c r="B80" s="329">
        <f>'Sources and Uses Budget'!C79</f>
        <v>141534</v>
      </c>
      <c r="C80" s="329">
        <f>'Sources and Uses Budget'!C79</f>
        <v>141534</v>
      </c>
      <c r="D80" s="329">
        <f>'Sources and Uses Budget'!C79</f>
        <v>141534</v>
      </c>
      <c r="E80" s="331">
        <f t="shared" si="2"/>
        <v>0</v>
      </c>
      <c r="F80" s="330"/>
      <c r="G80" s="330"/>
    </row>
    <row r="81" spans="1:7" s="568" customFormat="1" ht="13.2">
      <c r="A81" s="887" t="s">
        <v>1742</v>
      </c>
      <c r="B81" s="894">
        <f>'Sources and Uses Budget'!C80</f>
        <v>941779</v>
      </c>
      <c r="C81" s="894">
        <f>'Sources and Uses Budget'!C80</f>
        <v>941779</v>
      </c>
      <c r="D81" s="894">
        <f>'Sources and Uses Budget'!C80</f>
        <v>941779</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107591</v>
      </c>
      <c r="C83" s="329">
        <f>'Sources and Uses Budget'!C82</f>
        <v>107591</v>
      </c>
      <c r="D83" s="329">
        <f>'Sources and Uses Budget'!C82</f>
        <v>107591</v>
      </c>
      <c r="E83" s="331">
        <f t="shared" si="2"/>
        <v>0</v>
      </c>
      <c r="F83" s="330"/>
      <c r="G83" s="330"/>
    </row>
    <row r="84" spans="1:7" s="568" customFormat="1" ht="13.2">
      <c r="A84" s="239" t="s">
        <v>516</v>
      </c>
      <c r="B84" s="329">
        <f>'Sources and Uses Budget'!C83</f>
        <v>7000</v>
      </c>
      <c r="C84" s="329">
        <f>'Sources and Uses Budget'!C83</f>
        <v>7000</v>
      </c>
      <c r="D84" s="329">
        <f>'Sources and Uses Budget'!C83</f>
        <v>7000</v>
      </c>
      <c r="E84" s="331">
        <f t="shared" si="2"/>
        <v>0</v>
      </c>
      <c r="F84" s="330"/>
      <c r="G84" s="330"/>
    </row>
    <row r="85" spans="1:7" s="568" customFormat="1" ht="13.2">
      <c r="A85" s="239" t="s">
        <v>517</v>
      </c>
      <c r="B85" s="329">
        <f>'Sources and Uses Budget'!C84</f>
        <v>325140</v>
      </c>
      <c r="C85" s="329">
        <f>'Sources and Uses Budget'!C84</f>
        <v>325140</v>
      </c>
      <c r="D85" s="329">
        <f>'Sources and Uses Budget'!C84</f>
        <v>325140</v>
      </c>
      <c r="E85" s="331">
        <f t="shared" si="2"/>
        <v>0</v>
      </c>
      <c r="F85" s="330"/>
      <c r="G85" s="330"/>
    </row>
    <row r="86" spans="1:7" s="568" customFormat="1" ht="13.2">
      <c r="A86" s="239" t="s">
        <v>518</v>
      </c>
      <c r="B86" s="329">
        <f>'Sources and Uses Budget'!C85</f>
        <v>480000</v>
      </c>
      <c r="C86" s="329">
        <f>'Sources and Uses Budget'!C85</f>
        <v>480000</v>
      </c>
      <c r="D86" s="329">
        <f>'Sources and Uses Budget'!C85</f>
        <v>480000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56910</v>
      </c>
      <c r="C88" s="329">
        <f>'Sources and Uses Budget'!C87</f>
        <v>56910</v>
      </c>
      <c r="D88" s="329">
        <f>'Sources and Uses Budget'!C87</f>
        <v>56910</v>
      </c>
      <c r="E88" s="331">
        <f t="shared" si="2"/>
        <v>0</v>
      </c>
      <c r="F88" s="330"/>
      <c r="G88" s="330"/>
    </row>
    <row r="89" spans="1:7" s="568" customFormat="1" ht="13.2">
      <c r="A89" s="239" t="s">
        <v>521</v>
      </c>
      <c r="B89" s="329">
        <f>'Sources and Uses Budget'!C88</f>
        <v>64000</v>
      </c>
      <c r="C89" s="329">
        <f>'Sources and Uses Budget'!C88</f>
        <v>64000</v>
      </c>
      <c r="D89" s="329">
        <f>'Sources and Uses Budget'!C88</f>
        <v>64000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45000</v>
      </c>
      <c r="C91" s="329">
        <f>'Sources and Uses Budget'!C90</f>
        <v>45000</v>
      </c>
      <c r="D91" s="329">
        <f>'Sources and Uses Budget'!C90</f>
        <v>45000</v>
      </c>
      <c r="E91" s="331">
        <f t="shared" si="2"/>
        <v>0</v>
      </c>
      <c r="F91" s="330"/>
      <c r="G91" s="330"/>
    </row>
    <row r="92" spans="1:7" s="568" customFormat="1" ht="13.2">
      <c r="A92" s="250" t="s">
        <v>1740</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150000</v>
      </c>
      <c r="C93" s="329">
        <f>'Sources and Uses Budget'!C92</f>
        <v>150000</v>
      </c>
      <c r="D93" s="329">
        <f>'Sources and Uses Budget'!C92</f>
        <v>150000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1253141</v>
      </c>
      <c r="C96" s="894">
        <f>'Sources and Uses Budget'!C95</f>
        <v>1253141</v>
      </c>
      <c r="D96" s="894">
        <f>'Sources and Uses Budget'!C95</f>
        <v>1253141</v>
      </c>
      <c r="E96" s="331">
        <f t="shared" si="2"/>
        <v>0</v>
      </c>
      <c r="F96" s="330"/>
      <c r="G96" s="330"/>
    </row>
    <row r="97" spans="1:7" s="568" customFormat="1" ht="13.2">
      <c r="A97" s="243" t="s">
        <v>524</v>
      </c>
      <c r="B97" s="894">
        <f>'Sources and Uses Budget'!C96</f>
        <v>27456568</v>
      </c>
      <c r="C97" s="894">
        <f>'Sources and Uses Budget'!C96</f>
        <v>27456568</v>
      </c>
      <c r="D97" s="894">
        <f>'Sources and Uses Budget'!C96</f>
        <v>27456568</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29956568</v>
      </c>
      <c r="C105" s="894">
        <f>'Sources and Uses Budget'!C104</f>
        <v>29956568</v>
      </c>
      <c r="D105" s="894">
        <f>'Sources and Uses Budget'!C104</f>
        <v>29956568</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2024-06-29T18:30:57Z</cp:lastPrinted>
  <dcterms:created xsi:type="dcterms:W3CDTF">2007-12-27T18:26:28Z</dcterms:created>
  <dcterms:modified xsi:type="dcterms:W3CDTF">2024-07-03T19:55:06Z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2024-06-19T23:04:50Z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564e6d77-7240-460b-acc1-f56796fbb2b3</vt:lpwstr>
  </property>
  <property fmtid="{D5CDD505-2E9C-101B-9397-08002B2CF9AE}" pid="8" name="MSIP_Label_cac78fa3-8c3c-40be-95d9-faf236c08e18_ContentBits">
    <vt:lpwstr>0</vt:lpwstr>
  </property>
</Properties>
</file>