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https://hacsc.sharepoint.com/teams/RealEstateDepartment/Shared Documents/Development/4. Active Developments/1510 North First Street/4. Financing/4.2 TCAC/4.2.2 Final Application/"/>
    </mc:Choice>
  </mc:AlternateContent>
  <xr:revisionPtr revIDLastSave="200" documentId="8_{8D68241C-DA1D-49EF-BCF9-B2B1601BD804}" xr6:coauthVersionLast="47" xr6:coauthVersionMax="47" xr10:uidLastSave="{CD3E8327-9E15-4848-9DA1-2DF24D2311ED}"/>
  <bookViews>
    <workbookView xWindow="-120" yWindow="-120" windowWidth="38640" windowHeight="21120" firstSheet="7"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2" i="3" l="1"/>
  <c r="AO633" i="3"/>
  <c r="C93" i="4" s="1"/>
  <c r="C633" i="3"/>
  <c r="AM561" i="3"/>
  <c r="S93" i="4"/>
  <c r="S52" i="4"/>
  <c r="I9" i="4"/>
  <c r="E5" i="4"/>
  <c r="C87" i="4"/>
  <c r="C18" i="4"/>
  <c r="AA935" i="3"/>
  <c r="W833" i="3"/>
  <c r="AC876" i="3"/>
  <c r="AM560" i="3"/>
  <c r="C85" i="4"/>
  <c r="C84" i="4"/>
  <c r="C67" i="9"/>
  <c r="A67" i="9"/>
  <c r="A66" i="9"/>
  <c r="E41" i="9"/>
  <c r="A41" i="9"/>
  <c r="E90" i="25"/>
  <c r="E43" i="25"/>
  <c r="E42" i="25"/>
  <c r="B43" i="25"/>
  <c r="B42" i="25"/>
  <c r="S92" i="4"/>
  <c r="S91" i="4"/>
  <c r="S88" i="4"/>
  <c r="S86" i="4"/>
  <c r="S83" i="4"/>
  <c r="S79" i="4"/>
  <c r="S78" i="4"/>
  <c r="S51" i="4"/>
  <c r="S49" i="4"/>
  <c r="S48" i="4"/>
  <c r="S43" i="4"/>
  <c r="S41" i="4"/>
  <c r="S40" i="4"/>
  <c r="S24" i="4"/>
  <c r="S23" i="4"/>
  <c r="S13" i="4"/>
  <c r="E92" i="4"/>
  <c r="E91" i="4"/>
  <c r="E89" i="4"/>
  <c r="E88" i="4"/>
  <c r="E86" i="4"/>
  <c r="E83" i="4"/>
  <c r="E82" i="4"/>
  <c r="E79" i="4"/>
  <c r="E78" i="4"/>
  <c r="E73" i="4"/>
  <c r="E68" i="4"/>
  <c r="E64" i="4"/>
  <c r="E60" i="4"/>
  <c r="E55" i="4"/>
  <c r="E52" i="4"/>
  <c r="E51" i="4"/>
  <c r="E49" i="4"/>
  <c r="E48" i="4"/>
  <c r="E43" i="4"/>
  <c r="E41" i="4"/>
  <c r="E40" i="4"/>
  <c r="E24" i="4"/>
  <c r="E23" i="4"/>
  <c r="E20" i="4"/>
  <c r="E19" i="4"/>
  <c r="E13" i="4"/>
  <c r="E9" i="4"/>
  <c r="E6" i="4"/>
  <c r="H18" i="4"/>
  <c r="G18" i="4"/>
  <c r="F18" i="4"/>
  <c r="E21" i="4" s="1"/>
  <c r="C52" i="4"/>
  <c r="C64" i="4"/>
  <c r="C68" i="4"/>
  <c r="C43" i="4"/>
  <c r="C83" i="4"/>
  <c r="C20" i="4"/>
  <c r="C21" i="4" s="1"/>
  <c r="L945" i="3"/>
  <c r="L946" i="3" s="1"/>
  <c r="L943" i="3"/>
  <c r="AA934" i="3"/>
  <c r="AA933" i="3"/>
  <c r="I934" i="3"/>
  <c r="I933" i="3"/>
  <c r="AO631" i="3"/>
  <c r="AO632" i="3"/>
  <c r="AO642" i="3"/>
  <c r="C632" i="3"/>
  <c r="C631" i="3"/>
  <c r="AM559" i="3"/>
  <c r="AJ291" i="6"/>
  <c r="AD66" i="5"/>
  <c r="Y66" i="5"/>
  <c r="W867" i="3" l="1"/>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1016" i="3"/>
  <c r="AJ1020" i="3"/>
  <c r="AG445" i="3"/>
  <c r="AO641" i="3"/>
  <c r="AB47" i="5" s="1"/>
  <c r="E17" i="9"/>
  <c r="G17" i="9" s="1"/>
  <c r="I17" i="9" s="1"/>
  <c r="K17" i="9" s="1"/>
  <c r="M17" i="9" s="1"/>
  <c r="O17" i="9" s="1"/>
  <c r="Q17" i="9" s="1"/>
  <c r="S17" i="9" s="1"/>
  <c r="U17" i="9" s="1"/>
  <c r="W17" i="9" s="1"/>
  <c r="Y17" i="9" s="1"/>
  <c r="AA17" i="9" s="1"/>
  <c r="AC17" i="9" s="1"/>
  <c r="AE17" i="9" s="1"/>
  <c r="AG17"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M703" i="3" s="1"/>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93" i="15"/>
  <c r="D83" i="15"/>
  <c r="C83" i="15"/>
  <c r="B83" i="15"/>
  <c r="B80" i="15"/>
  <c r="C80" i="15"/>
  <c r="D80" i="15"/>
  <c r="D79" i="15"/>
  <c r="C79" i="15"/>
  <c r="B79" i="15"/>
  <c r="B73" i="15"/>
  <c r="C73" i="15"/>
  <c r="D73" i="15"/>
  <c r="B74" i="15"/>
  <c r="C74" i="15"/>
  <c r="E74" i="15" s="1"/>
  <c r="D74"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E61" i="15" s="1"/>
  <c r="D61" i="15"/>
  <c r="D56" i="15"/>
  <c r="C56" i="15"/>
  <c r="E56" i="15" s="1"/>
  <c r="B56" i="15"/>
  <c r="B47" i="15"/>
  <c r="C47" i="15"/>
  <c r="E47" i="15" s="1"/>
  <c r="D47" i="15"/>
  <c r="B48" i="15"/>
  <c r="C48" i="15"/>
  <c r="D48" i="15"/>
  <c r="B49" i="15"/>
  <c r="C49" i="15"/>
  <c r="E49" i="15"/>
  <c r="D49" i="15"/>
  <c r="B50" i="15"/>
  <c r="C50" i="15"/>
  <c r="D50" i="15"/>
  <c r="B51" i="15"/>
  <c r="C51" i="15"/>
  <c r="D51" i="15"/>
  <c r="B52" i="15"/>
  <c r="C52" i="15"/>
  <c r="D52" i="15"/>
  <c r="B53" i="15"/>
  <c r="E53" i="15" s="1"/>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73" i="15"/>
  <c r="E22" i="15"/>
  <c r="E91" i="15"/>
  <c r="E87" i="15"/>
  <c r="E67" i="15"/>
  <c r="E33" i="15"/>
  <c r="E79" i="15"/>
  <c r="E90" i="15"/>
  <c r="E58" i="15"/>
  <c r="E89" i="15"/>
  <c r="E16" i="15"/>
  <c r="E7" i="15"/>
  <c r="E31" i="15"/>
  <c r="E51" i="15"/>
  <c r="E57" i="15"/>
  <c r="E88" i="15"/>
  <c r="E84" i="15"/>
  <c r="E14" i="15"/>
  <c r="E44" i="15"/>
  <c r="E21" i="15"/>
  <c r="B9" i="15"/>
  <c r="E28" i="15"/>
  <c r="E8" i="15"/>
  <c r="E52" i="15"/>
  <c r="E48" i="15"/>
  <c r="E19" i="15"/>
  <c r="E42" i="15"/>
  <c r="E72" i="15"/>
  <c r="E50" i="15"/>
  <c r="C12" i="15"/>
  <c r="E12" i="15" s="1"/>
  <c r="B12" i="15"/>
  <c r="E6" i="15"/>
  <c r="E23" i="15"/>
  <c r="E41" i="15"/>
  <c r="C9" i="15"/>
  <c r="E11" i="15"/>
  <c r="E46" i="15"/>
  <c r="E5" i="15"/>
  <c r="E35" i="15"/>
  <c r="E83"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s="1"/>
  <c r="G54" i="9"/>
  <c r="I54" i="9"/>
  <c r="K54" i="9"/>
  <c r="M54" i="9"/>
  <c r="O54" i="9"/>
  <c r="Q54" i="9"/>
  <c r="S54" i="9"/>
  <c r="U54" i="9" s="1"/>
  <c r="W54" i="9" s="1"/>
  <c r="Y54" i="9" s="1"/>
  <c r="AA54" i="9" s="1"/>
  <c r="AC54" i="9" s="1"/>
  <c r="AE54" i="9" s="1"/>
  <c r="AG54" i="9" s="1"/>
  <c r="G55" i="9"/>
  <c r="I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B61" i="4" s="1"/>
  <c r="C69" i="4"/>
  <c r="C80" i="4"/>
  <c r="C95" i="4"/>
  <c r="C103" i="4"/>
  <c r="C66" i="25"/>
  <c r="G67" i="25" s="1"/>
  <c r="Y20" i="5"/>
  <c r="AI20" i="5"/>
  <c r="S38" i="4"/>
  <c r="S42" i="4"/>
  <c r="S53" i="4"/>
  <c r="E52" i="18" s="1"/>
  <c r="S69" i="4"/>
  <c r="S80" i="4"/>
  <c r="E79"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38" i="4"/>
  <c r="J42" i="4"/>
  <c r="J53" i="4"/>
  <c r="J61" i="4"/>
  <c r="J69" i="4"/>
  <c r="J76"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R80" i="4"/>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4" i="4"/>
  <c r="R82" i="4"/>
  <c r="R86" i="4"/>
  <c r="R88" i="4"/>
  <c r="R89" i="4"/>
  <c r="R90" i="4"/>
  <c r="R91" i="4"/>
  <c r="R92" i="4"/>
  <c r="R60" i="4"/>
  <c r="R59" i="4"/>
  <c r="R58" i="4"/>
  <c r="R57" i="4"/>
  <c r="R56" i="4"/>
  <c r="R52" i="4"/>
  <c r="R51" i="4"/>
  <c r="R50" i="4"/>
  <c r="R49" i="4"/>
  <c r="R48" i="4"/>
  <c r="R47" i="4"/>
  <c r="R43" i="4"/>
  <c r="R41" i="4"/>
  <c r="R40" i="4"/>
  <c r="R37" i="4"/>
  <c r="R35" i="4"/>
  <c r="R34" i="4"/>
  <c r="R33" i="4"/>
  <c r="R32" i="4"/>
  <c r="R30" i="4"/>
  <c r="R31" i="4"/>
  <c r="R29" i="4"/>
  <c r="R27" i="4"/>
  <c r="R25" i="4"/>
  <c r="R23" i="4"/>
  <c r="R22" i="4"/>
  <c r="R21" i="4"/>
  <c r="S21" i="4" s="1"/>
  <c r="E21" i="18" s="1"/>
  <c r="R20" i="4"/>
  <c r="S20" i="4" s="1"/>
  <c r="E20" i="18" s="1"/>
  <c r="R19" i="4"/>
  <c r="S19" i="4" s="1"/>
  <c r="E19" i="18" s="1"/>
  <c r="R17" i="4"/>
  <c r="R15" i="4"/>
  <c r="R14" i="4"/>
  <c r="R13" i="4"/>
  <c r="R7" i="4"/>
  <c r="R6" i="4"/>
  <c r="D5" i="15"/>
  <c r="D6" i="15"/>
  <c r="D7" i="15"/>
  <c r="D8" i="15"/>
  <c r="D10" i="15"/>
  <c r="D11" i="15"/>
  <c r="D14" i="15"/>
  <c r="D15" i="15"/>
  <c r="D16" i="15"/>
  <c r="D18" i="15"/>
  <c r="E37" i="18"/>
  <c r="E41"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E18" i="4" s="1"/>
  <c r="B19" i="4"/>
  <c r="B20" i="4"/>
  <c r="B21" i="4"/>
  <c r="B22" i="4"/>
  <c r="B23" i="4"/>
  <c r="B25"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E45" i="4" s="1"/>
  <c r="B46" i="4"/>
  <c r="E46" i="4" s="1"/>
  <c r="R46" i="4" s="1"/>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5" i="4"/>
  <c r="H76" i="4"/>
  <c r="B82" i="4"/>
  <c r="B83" i="4"/>
  <c r="B84" i="4"/>
  <c r="B85" i="4"/>
  <c r="E85" i="4" s="1"/>
  <c r="R85" i="4" s="1"/>
  <c r="S85" i="4" s="1"/>
  <c r="E84" i="18" s="1"/>
  <c r="B86" i="4"/>
  <c r="B87" i="4"/>
  <c r="E87" i="4" s="1"/>
  <c r="R87" i="4" s="1"/>
  <c r="B88" i="4"/>
  <c r="B89" i="4"/>
  <c r="B90" i="4"/>
  <c r="B91" i="4"/>
  <c r="B92" i="4"/>
  <c r="B93" i="4"/>
  <c r="B94" i="4"/>
  <c r="G95" i="4"/>
  <c r="H95" i="4"/>
  <c r="B98" i="4"/>
  <c r="E98" i="4" s="1"/>
  <c r="B99" i="4"/>
  <c r="R99" i="4"/>
  <c r="B100" i="4"/>
  <c r="R100" i="4"/>
  <c r="R102"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Q12" i="4"/>
  <c r="B60" i="18"/>
  <c r="H41" i="18"/>
  <c r="B52" i="18"/>
  <c r="N12" i="4"/>
  <c r="B80" i="4"/>
  <c r="D12" i="4"/>
  <c r="B43" i="15"/>
  <c r="C43" i="15"/>
  <c r="E43" i="15"/>
  <c r="D43" i="15"/>
  <c r="G12" i="4"/>
  <c r="C39" i="15"/>
  <c r="E39" i="15"/>
  <c r="D39" i="15"/>
  <c r="B39" i="15"/>
  <c r="F12" i="4"/>
  <c r="C81" i="15"/>
  <c r="B81" i="15"/>
  <c r="E81" i="15" s="1"/>
  <c r="D81" i="15"/>
  <c r="T62" i="4"/>
  <c r="B68" i="18"/>
  <c r="B70" i="15"/>
  <c r="C70" i="15"/>
  <c r="E70" i="15" s="1"/>
  <c r="D70" i="15"/>
  <c r="C62" i="15"/>
  <c r="D62" i="15"/>
  <c r="B62" i="15"/>
  <c r="B54" i="15"/>
  <c r="C54" i="15"/>
  <c r="D54" i="15"/>
  <c r="G52" i="25"/>
  <c r="AB47" i="26"/>
  <c r="I61" i="18"/>
  <c r="I95" i="18"/>
  <c r="I103" i="18"/>
  <c r="I105" i="18"/>
  <c r="J61" i="18"/>
  <c r="J95" i="18"/>
  <c r="J103" i="18"/>
  <c r="J105" i="18"/>
  <c r="K12" i="4"/>
  <c r="B42" i="4"/>
  <c r="J12" i="4"/>
  <c r="R11" i="4"/>
  <c r="R8" i="4"/>
  <c r="D12" i="15"/>
  <c r="R69" i="4"/>
  <c r="G62" i="4"/>
  <c r="G96" i="4" s="1"/>
  <c r="G104" i="4" s="1"/>
  <c r="D9" i="15"/>
  <c r="C61" i="18"/>
  <c r="C95" i="18"/>
  <c r="C103" i="18"/>
  <c r="C12" i="18"/>
  <c r="E12" i="4"/>
  <c r="M62" i="4"/>
  <c r="M96" i="4"/>
  <c r="M104" i="4"/>
  <c r="J62" i="4"/>
  <c r="R61" i="4"/>
  <c r="F62" i="4"/>
  <c r="F96" i="4"/>
  <c r="F104" i="4" s="1"/>
  <c r="O62" i="4"/>
  <c r="O96" i="4"/>
  <c r="O104" i="4"/>
  <c r="N62" i="4"/>
  <c r="N96" i="4"/>
  <c r="N104" i="4"/>
  <c r="D62" i="4"/>
  <c r="D96" i="4"/>
  <c r="D104" i="4"/>
  <c r="L62" i="4"/>
  <c r="L96" i="4"/>
  <c r="L104" i="4"/>
  <c r="H12" i="4"/>
  <c r="H11" i="18"/>
  <c r="Q62" i="4"/>
  <c r="Q96" i="4"/>
  <c r="Q104" i="4"/>
  <c r="K62" i="4"/>
  <c r="K96" i="4"/>
  <c r="K104" i="4"/>
  <c r="R38" i="4"/>
  <c r="R42" i="4"/>
  <c r="T96" i="4"/>
  <c r="H61" i="18"/>
  <c r="H62" i="4"/>
  <c r="H96" i="4" s="1"/>
  <c r="H104" i="4" s="1"/>
  <c r="M12" i="4"/>
  <c r="D12" i="18"/>
  <c r="P62" i="4"/>
  <c r="P96" i="4"/>
  <c r="P104" i="4"/>
  <c r="B69" i="4"/>
  <c r="G61" i="18"/>
  <c r="G95" i="18"/>
  <c r="G103" i="18"/>
  <c r="G105" i="18"/>
  <c r="B38" i="4"/>
  <c r="F61" i="18"/>
  <c r="F95" i="18"/>
  <c r="F103" i="18"/>
  <c r="F105" i="18"/>
  <c r="D61" i="18"/>
  <c r="D95" i="18"/>
  <c r="D103" i="18"/>
  <c r="AC28" i="9"/>
  <c r="E62" i="15"/>
  <c r="R12" i="4"/>
  <c r="D13" i="15"/>
  <c r="H95" i="18"/>
  <c r="T104" i="4"/>
  <c r="H103" i="18"/>
  <c r="T106" i="4"/>
  <c r="H105" i="18"/>
  <c r="AD11" i="5"/>
  <c r="AD23" i="5"/>
  <c r="AD26" i="5"/>
  <c r="AI11" i="27"/>
  <c r="AI11" i="26"/>
  <c r="AD11" i="27"/>
  <c r="AD11" i="26"/>
  <c r="T24" i="27"/>
  <c r="T24" i="26"/>
  <c r="AZ197" i="6"/>
  <c r="C742" i="3"/>
  <c r="T7" i="5"/>
  <c r="U69" i="25"/>
  <c r="AI22" i="26"/>
  <c r="AI23" i="26" s="1"/>
  <c r="AI26" i="26" s="1"/>
  <c r="AG446" i="3"/>
  <c r="Y27" i="5" s="1"/>
  <c r="Y20" i="27"/>
  <c r="Y22" i="27"/>
  <c r="AD20" i="27"/>
  <c r="AD22" i="27"/>
  <c r="AD23" i="27"/>
  <c r="AD26" i="27"/>
  <c r="R974" i="3"/>
  <c r="R971" i="3"/>
  <c r="AC872" i="3"/>
  <c r="Q601" i="6"/>
  <c r="W601" i="6" s="1"/>
  <c r="K28" i="9"/>
  <c r="AG28" i="9"/>
  <c r="D100" i="25"/>
  <c r="D102" i="25" s="1"/>
  <c r="D104" i="25" s="1"/>
  <c r="D110" i="25" s="1"/>
  <c r="G38" i="25" s="1"/>
  <c r="T20" i="27"/>
  <c r="T20" i="26"/>
  <c r="T22" i="26"/>
  <c r="Y20" i="26"/>
  <c r="Y22" i="26"/>
  <c r="AD20" i="26"/>
  <c r="AD22" i="26"/>
  <c r="AD23" i="26"/>
  <c r="AD26" i="26"/>
  <c r="AI20" i="27"/>
  <c r="AI22" i="27"/>
  <c r="AI23" i="27"/>
  <c r="AI26" i="27"/>
  <c r="B103" i="4"/>
  <c r="D104" i="15"/>
  <c r="B104" i="15"/>
  <c r="K40" i="9"/>
  <c r="K43" i="9" s="1"/>
  <c r="AD27" i="26"/>
  <c r="AD28" i="26" s="1"/>
  <c r="AD27" i="27"/>
  <c r="AD28" i="27" s="1"/>
  <c r="Y27" i="27"/>
  <c r="AD27" i="5"/>
  <c r="AD28" i="5" s="1"/>
  <c r="AI27" i="26"/>
  <c r="Y27" i="26"/>
  <c r="AI27" i="5"/>
  <c r="T27" i="5"/>
  <c r="AJ206" i="6"/>
  <c r="AJ1000" i="3"/>
  <c r="B94" i="18" l="1"/>
  <c r="B95" i="4"/>
  <c r="B96" i="15"/>
  <c r="C96" i="15"/>
  <c r="E96" i="15" s="1"/>
  <c r="D96" i="15"/>
  <c r="J93" i="4"/>
  <c r="B102" i="18"/>
  <c r="C104" i="15"/>
  <c r="E104" i="15" s="1"/>
  <c r="B13" i="15"/>
  <c r="E54" i="15"/>
  <c r="R18" i="4"/>
  <c r="E26" i="4"/>
  <c r="E62" i="4" s="1"/>
  <c r="E53" i="4"/>
  <c r="R45" i="4"/>
  <c r="R53" i="4" s="1"/>
  <c r="E103" i="4"/>
  <c r="R98" i="4"/>
  <c r="AF1011" i="3"/>
  <c r="AJ1009" i="3" s="1"/>
  <c r="E84" i="4"/>
  <c r="O53" i="9"/>
  <c r="I58" i="9"/>
  <c r="K55" i="9"/>
  <c r="Y43" i="9"/>
  <c r="G53" i="25"/>
  <c r="AI28" i="26"/>
  <c r="AD63" i="26" s="1"/>
  <c r="C13" i="15"/>
  <c r="E13" i="15" s="1"/>
  <c r="E9" i="15"/>
  <c r="B8" i="4"/>
  <c r="C12" i="4"/>
  <c r="B12" i="18" s="1"/>
  <c r="B8" i="18"/>
  <c r="C62" i="4"/>
  <c r="B11" i="4"/>
  <c r="B11" i="18"/>
  <c r="B25" i="18"/>
  <c r="B27" i="15"/>
  <c r="C27" i="15"/>
  <c r="E27" i="15" s="1"/>
  <c r="B26" i="4"/>
  <c r="D27" i="15"/>
  <c r="AC871" i="3"/>
  <c r="E15" i="9"/>
  <c r="AC764" i="3"/>
  <c r="BX653" i="3"/>
  <c r="CB654" i="3" s="1"/>
  <c r="BX641" i="3"/>
  <c r="BN653" i="3"/>
  <c r="BR654" i="3" s="1"/>
  <c r="BN641" i="3"/>
  <c r="CC653" i="3"/>
  <c r="CG654" i="3" s="1"/>
  <c r="CC641" i="3"/>
  <c r="AI27" i="27"/>
  <c r="AI28" i="27" s="1"/>
  <c r="AD63" i="27" s="1"/>
  <c r="CM653" i="3"/>
  <c r="CQ654" i="3" s="1"/>
  <c r="CH653" i="3"/>
  <c r="CL654" i="3" s="1"/>
  <c r="CH641" i="3"/>
  <c r="CS635" i="3"/>
  <c r="T623" i="6" s="1"/>
  <c r="DC635" i="3"/>
  <c r="T621" i="6" s="1"/>
  <c r="DH635" i="3"/>
  <c r="T620" i="6" s="1"/>
  <c r="DM635" i="3"/>
  <c r="T619" i="6" s="1"/>
  <c r="DR635" i="3"/>
  <c r="T618"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Y788" i="3" s="1"/>
  <c r="E4" i="9" s="1"/>
  <c r="G4" i="9" s="1"/>
  <c r="CM641" i="3"/>
  <c r="CM659" i="3" s="1"/>
  <c r="BK635" i="3"/>
  <c r="CC634" i="3"/>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G703" i="3"/>
  <c r="BG738" i="3" s="1"/>
  <c r="AM738" i="3" s="1"/>
  <c r="BF738" i="3"/>
  <c r="T27" i="26"/>
  <c r="AO643" i="3"/>
  <c r="F604" i="6"/>
  <c r="Y112" i="6"/>
  <c r="T27" i="27"/>
  <c r="CQ655"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Y622" i="6"/>
  <c r="BE585" i="6" s="1"/>
  <c r="AP595" i="6" s="1"/>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F40" i="10"/>
  <c r="I40" i="10"/>
  <c r="Z796" i="3" s="1"/>
  <c r="AD63" i="5"/>
  <c r="AD67" i="5" s="1"/>
  <c r="AI7" i="5"/>
  <c r="AI11" i="5" s="1"/>
  <c r="AI23" i="5" s="1"/>
  <c r="AI26" i="5" s="1"/>
  <c r="AI28" i="5" s="1"/>
  <c r="AF1001" i="3"/>
  <c r="J95" i="4" l="1"/>
  <c r="J96" i="4" s="1"/>
  <c r="J104" i="4" s="1"/>
  <c r="E93" i="4"/>
  <c r="R93" i="4" s="1"/>
  <c r="R26" i="4"/>
  <c r="R62" i="4" s="1"/>
  <c r="S18" i="4"/>
  <c r="S98" i="4"/>
  <c r="R103" i="4"/>
  <c r="AC873" i="3"/>
  <c r="AC874" i="3"/>
  <c r="C74" i="4" s="1"/>
  <c r="R84" i="4"/>
  <c r="E95" i="4"/>
  <c r="Q53" i="9"/>
  <c r="M55" i="9"/>
  <c r="K58" i="9"/>
  <c r="B63" i="15"/>
  <c r="B61" i="18"/>
  <c r="B62" i="4"/>
  <c r="D63" i="15"/>
  <c r="C63" i="15"/>
  <c r="E63" i="15" s="1"/>
  <c r="B12" i="4"/>
  <c r="G15" i="9"/>
  <c r="E22" i="9"/>
  <c r="E35" i="9" s="1"/>
  <c r="AZ586" i="6"/>
  <c r="CC540" i="6"/>
  <c r="CC541" i="6" s="1"/>
  <c r="Y623" i="6"/>
  <c r="AZ584" i="6"/>
  <c r="AP545" i="6"/>
  <c r="BQ537" i="6"/>
  <c r="BQ541" i="6" s="1"/>
  <c r="AP544" i="6"/>
  <c r="Y620" i="6"/>
  <c r="AZ583" i="6"/>
  <c r="Y619" i="6"/>
  <c r="AP558" i="6"/>
  <c r="AP543" i="6"/>
  <c r="AZ582" i="6"/>
  <c r="AP546" i="6"/>
  <c r="BJ596" i="6" s="1"/>
  <c r="BJ598" i="6" s="1"/>
  <c r="BM536" i="6"/>
  <c r="BM541" i="6" s="1"/>
  <c r="AZ581" i="6"/>
  <c r="Y618" i="6"/>
  <c r="BE581" i="6" s="1"/>
  <c r="AP591" i="6" s="1"/>
  <c r="BJ581" i="6" s="1"/>
  <c r="CL635" i="3"/>
  <c r="CH659" i="3"/>
  <c r="AB974" i="3" s="1"/>
  <c r="AJ974" i="3" s="1"/>
  <c r="O619" i="6"/>
  <c r="AU582" i="6" s="1"/>
  <c r="AZ199" i="6"/>
  <c r="BR635" i="3"/>
  <c r="O623" i="6"/>
  <c r="AO623" i="6" s="1"/>
  <c r="L26" i="28"/>
  <c r="V26" i="28" s="1"/>
  <c r="BN659" i="3"/>
  <c r="AB970" i="3" s="1"/>
  <c r="AJ970" i="3" s="1"/>
  <c r="L29" i="28"/>
  <c r="CG635" i="3"/>
  <c r="O620" i="6"/>
  <c r="AO620" i="6" s="1"/>
  <c r="CC659" i="3"/>
  <c r="AB973" i="3" s="1"/>
  <c r="AZ198" i="6"/>
  <c r="AJ973" i="3"/>
  <c r="G5" i="9"/>
  <c r="I4" i="9"/>
  <c r="BX659" i="3"/>
  <c r="AB972" i="3" s="1"/>
  <c r="AJ972" i="3" s="1"/>
  <c r="BU538" i="6"/>
  <c r="BU541" i="6" s="1"/>
  <c r="L28" i="28"/>
  <c r="V28" i="28" s="1"/>
  <c r="T624" i="6"/>
  <c r="Y787" i="3"/>
  <c r="AZ707" i="3"/>
  <c r="BA707" i="3" s="1"/>
  <c r="CS641" i="3"/>
  <c r="BW635" i="3"/>
  <c r="CQ636" i="3" s="1"/>
  <c r="CQ657" i="3" s="1"/>
  <c r="U380" i="6" s="1"/>
  <c r="Y621" i="6"/>
  <c r="BK575" i="6"/>
  <c r="AP547" i="6"/>
  <c r="BN597" i="6" s="1"/>
  <c r="BN598" i="6" s="1"/>
  <c r="AZ735" i="3"/>
  <c r="BA735" i="3" s="1"/>
  <c r="AZ731" i="3"/>
  <c r="BA731" i="3" s="1"/>
  <c r="AZ722" i="3"/>
  <c r="BA722" i="3" s="1"/>
  <c r="CQ635" i="3"/>
  <c r="CB635" i="3"/>
  <c r="AU586" i="6"/>
  <c r="I8" i="9"/>
  <c r="K8" i="9" s="1"/>
  <c r="AU583" i="6"/>
  <c r="AZ202" i="6"/>
  <c r="AO619" i="6"/>
  <c r="O624" i="6"/>
  <c r="AR616" i="6" s="1"/>
  <c r="AU584" i="6"/>
  <c r="AY551" i="6"/>
  <c r="BF575" i="6"/>
  <c r="BK578" i="6" s="1"/>
  <c r="AU556" i="6" s="1"/>
  <c r="AU559" i="6" s="1"/>
  <c r="L27" i="28"/>
  <c r="V27" i="28" s="1"/>
  <c r="AZ718" i="3"/>
  <c r="BA718" i="3" s="1"/>
  <c r="AZ737" i="3"/>
  <c r="BA737" i="3" s="1"/>
  <c r="AZ710" i="3"/>
  <c r="BA710" i="3" s="1"/>
  <c r="E5" i="9"/>
  <c r="BS659" i="3"/>
  <c r="AB971" i="3" s="1"/>
  <c r="AJ971" i="3" s="1"/>
  <c r="AZ729" i="3"/>
  <c r="BA729" i="3" s="1"/>
  <c r="AZ726" i="3"/>
  <c r="BA726" i="3" s="1"/>
  <c r="AZ720" i="3"/>
  <c r="BA720" i="3" s="1"/>
  <c r="AO622" i="6"/>
  <c r="AU585" i="6"/>
  <c r="BA703" i="3"/>
  <c r="AO618" i="6"/>
  <c r="AU581" i="6"/>
  <c r="AB975" i="3"/>
  <c r="V29" i="28"/>
  <c r="AS365" i="6"/>
  <c r="AS367" i="6"/>
  <c r="AK484" i="6"/>
  <c r="T714" i="6" s="1"/>
  <c r="BH594" i="6"/>
  <c r="AC597" i="6"/>
  <c r="AO704" i="6"/>
  <c r="CA539" i="6"/>
  <c r="CA541" i="6" s="1"/>
  <c r="BY542" i="6" s="1"/>
  <c r="CH559" i="6"/>
  <c r="AC592" i="6"/>
  <c r="CE540" i="6"/>
  <c r="CE541" i="6" s="1"/>
  <c r="CC542" i="6" s="1"/>
  <c r="CH560" i="6"/>
  <c r="BE586" i="6"/>
  <c r="AP596" i="6" s="1"/>
  <c r="AF708" i="6"/>
  <c r="AC596" i="6"/>
  <c r="AF711" i="6"/>
  <c r="BL594" i="6"/>
  <c r="BP596" i="6"/>
  <c r="BF595" i="6"/>
  <c r="BF598" i="6" s="1"/>
  <c r="BP595" i="6"/>
  <c r="BL595" i="6"/>
  <c r="I5" i="9"/>
  <c r="K4" i="9"/>
  <c r="E6" i="9"/>
  <c r="Z805" i="3"/>
  <c r="S26" i="4" l="1"/>
  <c r="E18" i="18"/>
  <c r="E97" i="18"/>
  <c r="S103" i="4"/>
  <c r="E102" i="18" s="1"/>
  <c r="C76" i="4"/>
  <c r="B74" i="4"/>
  <c r="E74" i="4" s="1"/>
  <c r="D75" i="15"/>
  <c r="C75" i="15"/>
  <c r="B75" i="15"/>
  <c r="B73" i="18"/>
  <c r="R95" i="4"/>
  <c r="S84" i="4"/>
  <c r="S53" i="9"/>
  <c r="M58" i="9"/>
  <c r="O55" i="9"/>
  <c r="I15" i="9"/>
  <c r="G22" i="9"/>
  <c r="G35" i="9" s="1"/>
  <c r="BE582" i="6"/>
  <c r="AP592" i="6" s="1"/>
  <c r="BO536" i="6"/>
  <c r="BO541" i="6" s="1"/>
  <c r="BM542" i="6" s="1"/>
  <c r="CH556" i="6"/>
  <c r="BE555" i="6" s="1"/>
  <c r="BE560" i="6" s="1"/>
  <c r="AJ976" i="3"/>
  <c r="AR618" i="6"/>
  <c r="BB594" i="6"/>
  <c r="BB598" i="6" s="1"/>
  <c r="BP594" i="6"/>
  <c r="CH557" i="6"/>
  <c r="BI556" i="6" s="1"/>
  <c r="BI560" i="6" s="1"/>
  <c r="BE583" i="6"/>
  <c r="AP593" i="6" s="1"/>
  <c r="AU546" i="6"/>
  <c r="BS537" i="6"/>
  <c r="BS541" i="6" s="1"/>
  <c r="BQ542" i="6" s="1"/>
  <c r="AU544" i="6"/>
  <c r="AU543" i="6"/>
  <c r="AU547" i="6"/>
  <c r="BL593" i="6"/>
  <c r="BH593" i="6"/>
  <c r="BH598" i="6" s="1"/>
  <c r="BF599" i="6" s="1"/>
  <c r="BP593" i="6"/>
  <c r="BP598" i="6" s="1"/>
  <c r="BN599" i="6" s="1"/>
  <c r="AX593" i="6"/>
  <c r="AX598" i="6" s="1"/>
  <c r="AX599" i="6" s="1"/>
  <c r="BD593" i="6"/>
  <c r="BD598" i="6" s="1"/>
  <c r="BB599" i="6" s="1"/>
  <c r="BJ587" i="6"/>
  <c r="BO582" i="6"/>
  <c r="AU545" i="6"/>
  <c r="BE584" i="6"/>
  <c r="AP594" i="6" s="1"/>
  <c r="CH558" i="6"/>
  <c r="BM557" i="6" s="1"/>
  <c r="BW538" i="6"/>
  <c r="BW541" i="6" s="1"/>
  <c r="BU542" i="6" s="1"/>
  <c r="M8" i="9"/>
  <c r="K9" i="9"/>
  <c r="AZ203" i="6"/>
  <c r="BA203" i="6"/>
  <c r="AO197" i="6" s="1"/>
  <c r="AR621" i="6"/>
  <c r="AR620" i="6"/>
  <c r="Y624" i="6"/>
  <c r="AR615" i="6" s="1"/>
  <c r="AR622" i="6"/>
  <c r="AR619" i="6"/>
  <c r="AR623" i="6"/>
  <c r="AJ627" i="6" s="1"/>
  <c r="I9" i="9"/>
  <c r="AX556" i="6"/>
  <c r="V31" i="28"/>
  <c r="L31" i="28"/>
  <c r="AZ738" i="3"/>
  <c r="BA738" i="3"/>
  <c r="AH738" i="3" s="1"/>
  <c r="AS552" i="6"/>
  <c r="P422" i="3"/>
  <c r="O741" i="3"/>
  <c r="AO705" i="6"/>
  <c r="AO703" i="6"/>
  <c r="T712" i="6" s="1"/>
  <c r="AF712" i="6" s="1"/>
  <c r="BL598" i="6"/>
  <c r="BJ599" i="6" s="1"/>
  <c r="AC602" i="6"/>
  <c r="BQ558" i="6"/>
  <c r="BM560" i="6"/>
  <c r="E7" i="9"/>
  <c r="E11" i="9" s="1"/>
  <c r="E37" i="9" s="1"/>
  <c r="G6" i="9"/>
  <c r="M4" i="9"/>
  <c r="K5" i="9"/>
  <c r="E25" i="18" l="1"/>
  <c r="S62" i="4"/>
  <c r="E61" i="18" s="1"/>
  <c r="C96" i="4"/>
  <c r="D77" i="15"/>
  <c r="B77" i="15"/>
  <c r="B75" i="18"/>
  <c r="C77" i="15"/>
  <c r="E77" i="15" s="1"/>
  <c r="B76" i="4"/>
  <c r="E76" i="4"/>
  <c r="E96" i="4" s="1"/>
  <c r="E104" i="4" s="1"/>
  <c r="R74" i="4"/>
  <c r="R76" i="4" s="1"/>
  <c r="R96" i="4" s="1"/>
  <c r="R104" i="4" s="1"/>
  <c r="E75" i="15"/>
  <c r="S95" i="4"/>
  <c r="E83" i="18"/>
  <c r="U53" i="9"/>
  <c r="O58" i="9"/>
  <c r="Q55" i="9"/>
  <c r="I22" i="9"/>
  <c r="I35" i="9" s="1"/>
  <c r="K15" i="9"/>
  <c r="AJ1013" i="3"/>
  <c r="AJ997" i="3"/>
  <c r="AJ1029" i="3"/>
  <c r="O8" i="9"/>
  <c r="M9" i="9"/>
  <c r="CC546" i="6"/>
  <c r="BY545" i="6"/>
  <c r="CC545" i="6"/>
  <c r="BY544" i="6"/>
  <c r="BQ543" i="6"/>
  <c r="BQ547" i="6" s="1"/>
  <c r="BO587" i="6"/>
  <c r="BT583" i="6"/>
  <c r="BY543" i="6"/>
  <c r="BY547" i="6" s="1"/>
  <c r="CC543" i="6"/>
  <c r="CC544" i="6" s="1"/>
  <c r="CC547" i="6" s="1"/>
  <c r="BU544" i="6"/>
  <c r="BU543" i="6"/>
  <c r="BU547" i="6" s="1"/>
  <c r="AP192" i="6"/>
  <c r="AP193" i="6"/>
  <c r="BJ600" i="6"/>
  <c r="AV564" i="6" s="1"/>
  <c r="T717" i="6"/>
  <c r="AO708" i="6" s="1"/>
  <c r="T718" i="6"/>
  <c r="AK629" i="6"/>
  <c r="O4" i="9"/>
  <c r="M5" i="9"/>
  <c r="I6" i="9"/>
  <c r="G7" i="9"/>
  <c r="G11" i="9" s="1"/>
  <c r="G37" i="9" s="1"/>
  <c r="E49" i="9"/>
  <c r="E45" i="9"/>
  <c r="BQ560" i="6"/>
  <c r="BU559" i="6"/>
  <c r="BU560" i="6" s="1"/>
  <c r="C97" i="15" l="1"/>
  <c r="B97" i="15"/>
  <c r="B96" i="4"/>
  <c r="C104" i="4"/>
  <c r="D97" i="15"/>
  <c r="B95" i="18"/>
  <c r="S96" i="4"/>
  <c r="E94" i="18"/>
  <c r="W53" i="9"/>
  <c r="Q58" i="9"/>
  <c r="S55" i="9"/>
  <c r="M15" i="9"/>
  <c r="K22" i="9"/>
  <c r="K35" i="9" s="1"/>
  <c r="T24" i="5"/>
  <c r="Q8" i="9"/>
  <c r="O9" i="9"/>
  <c r="BY584" i="6"/>
  <c r="BY587" i="6" s="1"/>
  <c r="CD585" i="6"/>
  <c r="CD587" i="6" s="1"/>
  <c r="BT587" i="6"/>
  <c r="CI586" i="6"/>
  <c r="CI587" i="6" s="1"/>
  <c r="CN587" i="6" s="1"/>
  <c r="BD568" i="6" s="1"/>
  <c r="AW572" i="6" s="1"/>
  <c r="CG547" i="6"/>
  <c r="AF716" i="6"/>
  <c r="AF722" i="6" s="1"/>
  <c r="T716" i="6"/>
  <c r="CC560" i="6"/>
  <c r="G45" i="9"/>
  <c r="G49" i="9"/>
  <c r="I7" i="9"/>
  <c r="I11" i="9" s="1"/>
  <c r="I37" i="9" s="1"/>
  <c r="K6" i="9"/>
  <c r="O5" i="9"/>
  <c r="Q4" i="9"/>
  <c r="E48" i="9"/>
  <c r="E60" i="9"/>
  <c r="E47" i="9"/>
  <c r="E97" i="15" l="1"/>
  <c r="D105" i="15"/>
  <c r="AC456" i="3"/>
  <c r="B103" i="18"/>
  <c r="B104" i="4"/>
  <c r="B105" i="15"/>
  <c r="C105" i="15"/>
  <c r="E66" i="9"/>
  <c r="E67" i="9"/>
  <c r="E95" i="18"/>
  <c r="S104" i="4"/>
  <c r="Y53" i="9"/>
  <c r="S58" i="9"/>
  <c r="U55" i="9"/>
  <c r="M22" i="9"/>
  <c r="M35" i="9" s="1"/>
  <c r="O15" i="9"/>
  <c r="S8" i="9"/>
  <c r="Q9" i="9"/>
  <c r="AT570" i="6"/>
  <c r="K7" i="9"/>
  <c r="M6" i="9"/>
  <c r="K11" i="9"/>
  <c r="K37" i="9" s="1"/>
  <c r="G47" i="9"/>
  <c r="G60" i="9"/>
  <c r="G48" i="9"/>
  <c r="I49" i="9"/>
  <c r="I45" i="9"/>
  <c r="Q5" i="9"/>
  <c r="S4" i="9"/>
  <c r="E105" i="15" l="1"/>
  <c r="AB46" i="27"/>
  <c r="AB48" i="27" s="1"/>
  <c r="AB53" i="27" s="1"/>
  <c r="AB54" i="27" s="1"/>
  <c r="J58" i="25"/>
  <c r="AB46" i="26"/>
  <c r="AB48" i="26" s="1"/>
  <c r="AB53" i="26" s="1"/>
  <c r="AB54" i="26" s="1"/>
  <c r="AC455" i="3"/>
  <c r="F458" i="3" s="1"/>
  <c r="AB46" i="5"/>
  <c r="AB48" i="5" s="1"/>
  <c r="G66" i="9"/>
  <c r="G67" i="9"/>
  <c r="S106" i="4"/>
  <c r="E103" i="18"/>
  <c r="AA53" i="9"/>
  <c r="U58" i="9"/>
  <c r="W55" i="9"/>
  <c r="O22" i="9"/>
  <c r="O35" i="9" s="1"/>
  <c r="Q15" i="9"/>
  <c r="S9" i="9"/>
  <c r="U8" i="9"/>
  <c r="E70" i="9"/>
  <c r="E72" i="9" s="1"/>
  <c r="G68" i="9"/>
  <c r="G69" i="9"/>
  <c r="G62" i="9"/>
  <c r="K49" i="9"/>
  <c r="K45" i="9"/>
  <c r="S5" i="9"/>
  <c r="U4" i="9"/>
  <c r="O6" i="9"/>
  <c r="M7" i="9"/>
  <c r="M11" i="9" s="1"/>
  <c r="M37" i="9" s="1"/>
  <c r="I47" i="9"/>
  <c r="I48" i="9"/>
  <c r="I60" i="9"/>
  <c r="G71" i="25" l="1"/>
  <c r="G72" i="25" s="1"/>
  <c r="B75" i="25" s="1"/>
  <c r="B76" i="25"/>
  <c r="O76" i="25" s="1"/>
  <c r="I66" i="9"/>
  <c r="I67" i="9"/>
  <c r="E105" i="18"/>
  <c r="AC457" i="3"/>
  <c r="X1033" i="3"/>
  <c r="X1034" i="3" s="1"/>
  <c r="D1035" i="3" s="1"/>
  <c r="AC53" i="9"/>
  <c r="W58" i="9"/>
  <c r="Y55" i="9"/>
  <c r="Q22" i="9"/>
  <c r="Q35" i="9" s="1"/>
  <c r="S15" i="9"/>
  <c r="U9" i="9"/>
  <c r="W8" i="9"/>
  <c r="O7" i="9"/>
  <c r="O11" i="9" s="1"/>
  <c r="O37" i="9" s="1"/>
  <c r="Q6" i="9"/>
  <c r="I69" i="9"/>
  <c r="I62" i="9"/>
  <c r="I68" i="9"/>
  <c r="G70" i="9"/>
  <c r="G72" i="9" s="1"/>
  <c r="M45" i="9"/>
  <c r="M49" i="9"/>
  <c r="K60" i="9"/>
  <c r="K47" i="9"/>
  <c r="K48" i="9"/>
  <c r="U5" i="9"/>
  <c r="W4" i="9"/>
  <c r="K66" i="9" l="1"/>
  <c r="K67" i="9"/>
  <c r="T11" i="5"/>
  <c r="T11" i="26"/>
  <c r="T23" i="26" s="1"/>
  <c r="Y11" i="27"/>
  <c r="Y23" i="27" s="1"/>
  <c r="Y26" i="27" s="1"/>
  <c r="Y28" i="27" s="1"/>
  <c r="Y63" i="27" s="1"/>
  <c r="Y67" i="27" s="1"/>
  <c r="Y11" i="26"/>
  <c r="Y23" i="26" s="1"/>
  <c r="Y26" i="26" s="1"/>
  <c r="Y28" i="26" s="1"/>
  <c r="Y63" i="26" s="1"/>
  <c r="Y67" i="26" s="1"/>
  <c r="Y11" i="5"/>
  <c r="Y23" i="5" s="1"/>
  <c r="Y26" i="5" s="1"/>
  <c r="Y28" i="5" s="1"/>
  <c r="T11" i="27"/>
  <c r="T23" i="27" s="1"/>
  <c r="Y58" i="9"/>
  <c r="AA55" i="9"/>
  <c r="U15" i="9"/>
  <c r="S22" i="9"/>
  <c r="S35" i="9" s="1"/>
  <c r="W9" i="9"/>
  <c r="Y8" i="9"/>
  <c r="Y4" i="9"/>
  <c r="W5" i="9"/>
  <c r="K62" i="9"/>
  <c r="K69" i="9"/>
  <c r="K68" i="9"/>
  <c r="O49" i="9"/>
  <c r="O45" i="9"/>
  <c r="I70" i="9"/>
  <c r="I72" i="9" s="1"/>
  <c r="M48" i="9"/>
  <c r="M47" i="9"/>
  <c r="M60" i="9"/>
  <c r="S6" i="9"/>
  <c r="Q7" i="9"/>
  <c r="Q11" i="9" s="1"/>
  <c r="Q37" i="9" s="1"/>
  <c r="M66" i="9" l="1"/>
  <c r="M67" i="9"/>
  <c r="T23" i="5"/>
  <c r="BE16" i="28"/>
  <c r="AD38" i="26"/>
  <c r="AD40" i="26" s="1"/>
  <c r="T26" i="26"/>
  <c r="T28" i="26" s="1"/>
  <c r="T29" i="26" s="1"/>
  <c r="Y38" i="26"/>
  <c r="Y40" i="26" s="1"/>
  <c r="Y41" i="26" s="1"/>
  <c r="AB55" i="26" s="1"/>
  <c r="AB56" i="26" s="1"/>
  <c r="AB58" i="26" s="1"/>
  <c r="Y38" i="27"/>
  <c r="Y40" i="27" s="1"/>
  <c r="AD38" i="27"/>
  <c r="AD40" i="27" s="1"/>
  <c r="T26" i="27"/>
  <c r="T28" i="27" s="1"/>
  <c r="T29" i="27" s="1"/>
  <c r="AA58" i="9"/>
  <c r="AC55" i="9"/>
  <c r="U22" i="9"/>
  <c r="U35" i="9" s="1"/>
  <c r="W15" i="9"/>
  <c r="AA8" i="9"/>
  <c r="Y9" i="9"/>
  <c r="Q45" i="9"/>
  <c r="Q49" i="9"/>
  <c r="O47" i="9"/>
  <c r="O48" i="9"/>
  <c r="O60" i="9"/>
  <c r="K70" i="9"/>
  <c r="K72" i="9" s="1"/>
  <c r="S7" i="9"/>
  <c r="S11" i="9" s="1"/>
  <c r="S37" i="9" s="1"/>
  <c r="U6" i="9"/>
  <c r="M62" i="9"/>
  <c r="M68" i="9"/>
  <c r="M69" i="9"/>
  <c r="AA4" i="9"/>
  <c r="Y5" i="9"/>
  <c r="Y41" i="27" l="1"/>
  <c r="AB55" i="27" s="1"/>
  <c r="AB56" i="27" s="1"/>
  <c r="AB58" i="27" s="1"/>
  <c r="O66" i="9"/>
  <c r="O67" i="9"/>
  <c r="T26" i="5"/>
  <c r="T28" i="5" s="1"/>
  <c r="Y38" i="5" s="1"/>
  <c r="Y40" i="5" s="1"/>
  <c r="Q71" i="25"/>
  <c r="O75" i="25" s="1"/>
  <c r="R75" i="25" s="1"/>
  <c r="AD38" i="5"/>
  <c r="AD40" i="5" s="1"/>
  <c r="AB75" i="26"/>
  <c r="AB76" i="26" s="1"/>
  <c r="AB77" i="26" s="1"/>
  <c r="AB79" i="26" s="1"/>
  <c r="J80" i="26" s="1"/>
  <c r="F59" i="26"/>
  <c r="AC58" i="9"/>
  <c r="AE55" i="9"/>
  <c r="W22" i="9"/>
  <c r="W35" i="9" s="1"/>
  <c r="Y15" i="9"/>
  <c r="AC8" i="9"/>
  <c r="AA9" i="9"/>
  <c r="Q48" i="9"/>
  <c r="Q60" i="9"/>
  <c r="Q47" i="9"/>
  <c r="U7" i="9"/>
  <c r="U11" i="9" s="1"/>
  <c r="U37" i="9" s="1"/>
  <c r="W6" i="9"/>
  <c r="AC4" i="9"/>
  <c r="AA5" i="9"/>
  <c r="O68" i="9"/>
  <c r="O62" i="9"/>
  <c r="O69" i="9"/>
  <c r="S45" i="9"/>
  <c r="S49" i="9"/>
  <c r="M70" i="9"/>
  <c r="M72" i="9" s="1"/>
  <c r="AB75" i="27" l="1"/>
  <c r="AB76" i="27" s="1"/>
  <c r="AB77" i="27" s="1"/>
  <c r="AB79" i="27" s="1"/>
  <c r="J80" i="27" s="1"/>
  <c r="F59" i="27"/>
  <c r="Q67" i="9"/>
  <c r="Q66" i="9"/>
  <c r="AR43" i="5"/>
  <c r="AR42" i="5"/>
  <c r="Y41" i="5" s="1"/>
  <c r="AB49" i="5"/>
  <c r="AB53" i="5" s="1"/>
  <c r="AB54" i="5" s="1"/>
  <c r="Y63" i="5"/>
  <c r="Y67" i="5" s="1"/>
  <c r="T29" i="5"/>
  <c r="AG55" i="9"/>
  <c r="Y22" i="9"/>
  <c r="Y35" i="9" s="1"/>
  <c r="AA15" i="9"/>
  <c r="AE8" i="9"/>
  <c r="AC9" i="9"/>
  <c r="O70" i="9"/>
  <c r="O72" i="9" s="1"/>
  <c r="W7" i="9"/>
  <c r="Y6" i="9"/>
  <c r="W11" i="9"/>
  <c r="W37" i="9" s="1"/>
  <c r="U45" i="9"/>
  <c r="U49" i="9"/>
  <c r="S60" i="9"/>
  <c r="S47" i="9"/>
  <c r="S48" i="9"/>
  <c r="Q69" i="9"/>
  <c r="Q62" i="9"/>
  <c r="Q68" i="9"/>
  <c r="AC5" i="9"/>
  <c r="AE4" i="9"/>
  <c r="S67" i="9" l="1"/>
  <c r="S66" i="9"/>
  <c r="AB55" i="5"/>
  <c r="AA22" i="9"/>
  <c r="AA35" i="9" s="1"/>
  <c r="AC15" i="9"/>
  <c r="AG8" i="9"/>
  <c r="AG9" i="9" s="1"/>
  <c r="AE9" i="9"/>
  <c r="AE5" i="9"/>
  <c r="AG4" i="9"/>
  <c r="U47" i="9"/>
  <c r="U48" i="9"/>
  <c r="U60" i="9"/>
  <c r="Y7" i="9"/>
  <c r="Y11" i="9" s="1"/>
  <c r="Y37" i="9" s="1"/>
  <c r="AA6" i="9"/>
  <c r="S68" i="9"/>
  <c r="S69" i="9"/>
  <c r="S62" i="9"/>
  <c r="Q70" i="9"/>
  <c r="Q72" i="9" s="1"/>
  <c r="W45" i="9"/>
  <c r="W49" i="9"/>
  <c r="U66" i="9" l="1"/>
  <c r="U67" i="9"/>
  <c r="Q22" i="28"/>
  <c r="V33" i="28" s="1"/>
  <c r="V35" i="28" s="1"/>
  <c r="BE15" i="28"/>
  <c r="AB56" i="5"/>
  <c r="AB58" i="5" s="1"/>
  <c r="M25" i="3"/>
  <c r="P203" i="3" s="1"/>
  <c r="AC22" i="9"/>
  <c r="AC35" i="9" s="1"/>
  <c r="AE15" i="9"/>
  <c r="S70" i="9"/>
  <c r="S72" i="9" s="1"/>
  <c r="AG5" i="9"/>
  <c r="W47" i="9"/>
  <c r="W60" i="9"/>
  <c r="W48" i="9"/>
  <c r="Y49" i="9"/>
  <c r="Y45" i="9"/>
  <c r="AA7" i="9"/>
  <c r="AA11" i="9" s="1"/>
  <c r="AA37" i="9" s="1"/>
  <c r="AC6" i="9"/>
  <c r="U62" i="9"/>
  <c r="U68" i="9"/>
  <c r="U69" i="9"/>
  <c r="W66" i="9" l="1"/>
  <c r="W67" i="9"/>
  <c r="F59" i="5"/>
  <c r="AB75" i="5"/>
  <c r="AE22" i="9"/>
  <c r="AE35" i="9" s="1"/>
  <c r="AG15" i="9"/>
  <c r="AG22" i="9" s="1"/>
  <c r="AG35" i="9" s="1"/>
  <c r="AA49" i="9"/>
  <c r="AA45" i="9"/>
  <c r="W68" i="9"/>
  <c r="W69" i="9"/>
  <c r="W62" i="9"/>
  <c r="Y47" i="9"/>
  <c r="Y48" i="9"/>
  <c r="Y60" i="9"/>
  <c r="U70" i="9"/>
  <c r="U72" i="9" s="1"/>
  <c r="AE6" i="9"/>
  <c r="AC7" i="9"/>
  <c r="AC11" i="9"/>
  <c r="AC37" i="9" s="1"/>
  <c r="Y66" i="9" l="1"/>
  <c r="Y67" i="9"/>
  <c r="AC45" i="9"/>
  <c r="AC49" i="9"/>
  <c r="Y62" i="9"/>
  <c r="Y68" i="9"/>
  <c r="Y69" i="9"/>
  <c r="AG6" i="9"/>
  <c r="AE7" i="9"/>
  <c r="AE11" i="9" s="1"/>
  <c r="AE37" i="9" s="1"/>
  <c r="W70" i="9"/>
  <c r="W72" i="9" s="1"/>
  <c r="AA47" i="9"/>
  <c r="AA48" i="9"/>
  <c r="AA60" i="9"/>
  <c r="AA66" i="9" l="1"/>
  <c r="AA67" i="9"/>
  <c r="Y70" i="9"/>
  <c r="Y72" i="9" s="1"/>
  <c r="AA62" i="9"/>
  <c r="AA68" i="9"/>
  <c r="AA69" i="9"/>
  <c r="AE45" i="9"/>
  <c r="AE53" i="9" s="1"/>
  <c r="AE58" i="9" s="1"/>
  <c r="AE49" i="9"/>
  <c r="AG7" i="9"/>
  <c r="AG11" i="9" s="1"/>
  <c r="AG37" i="9" s="1"/>
  <c r="AC60" i="9"/>
  <c r="AC47" i="9"/>
  <c r="AC48" i="9"/>
  <c r="AC66" i="9" l="1"/>
  <c r="AC67" i="9"/>
  <c r="AG49" i="9"/>
  <c r="AG45" i="9"/>
  <c r="AG53" i="9" s="1"/>
  <c r="AG58" i="9" s="1"/>
  <c r="AA70" i="9"/>
  <c r="AA72" i="9" s="1"/>
  <c r="AE48" i="9"/>
  <c r="AE60" i="9"/>
  <c r="AE47" i="9"/>
  <c r="AC69" i="9"/>
  <c r="AC62" i="9"/>
  <c r="AC68" i="9"/>
  <c r="AE66" i="9" l="1"/>
  <c r="AE67" i="9"/>
  <c r="AC70" i="9"/>
  <c r="AC72" i="9" s="1"/>
  <c r="AE62" i="9"/>
  <c r="AE68" i="9"/>
  <c r="AE69" i="9"/>
  <c r="AG47" i="9"/>
  <c r="AG48" i="9"/>
  <c r="AG60" i="9"/>
  <c r="AG66" i="9" l="1"/>
  <c r="AG67" i="9"/>
  <c r="AG69" i="9"/>
  <c r="AG68" i="9"/>
  <c r="AG62" i="9"/>
  <c r="AE70" i="9"/>
  <c r="AE72" i="9" s="1"/>
  <c r="AG70" i="9" l="1"/>
  <c r="AG72" i="9" s="1"/>
  <c r="AB76" i="5"/>
  <c r="AB77" i="5" l="1"/>
  <c r="M27" i="3"/>
  <c r="W203" i="3" l="1"/>
  <c r="D203" i="3"/>
  <c r="AB79" i="5"/>
  <c r="J80" i="5"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<sst xmlns="http://schemas.openxmlformats.org/spreadsheetml/2006/main" count="4715" uniqueCount="2495">
  <si>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</si>
  <si>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</si>
  <si>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</si>
  <si>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</si>
  <si>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</si>
  <si>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</si>
  <si>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</si>
  <si>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</si>
  <si>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</si>
  <si>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</si>
  <si>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</si>
  <si>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</si>
  <si>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</si>
  <si>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</si>
  <si>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</si>
  <si>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</si>
  <si>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</si>
  <si>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</si>
  <si>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</si>
  <si>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</si>
  <si>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</si>
  <si>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</si>
  <si>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</si>
  <si>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</si>
  <si>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</si>
  <si>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</si>
  <si>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</si>
  <si>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</si>
  <si>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</si>
  <si>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</si>
  <si>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</si>
  <si>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</si>
  <si>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</si>
  <si>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</si>
  <si>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</si>
  <si>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</si>
  <si>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</si>
  <si>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</si>
  <si>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</si>
  <si>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</si>
  <si>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</si>
  <si>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</si>
  <si>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</si>
  <si>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</si>
  <si>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</si>
  <si>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</si>
  <si>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</si>
  <si>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</si>
  <si>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</si>
  <si>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</si>
  <si>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</si>
  <si>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</si>
  <si>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</si>
  <si>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</si>
  <si>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</si>
  <si>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</si>
  <si>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</si>
  <si>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</si>
  <si>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</si>
  <si>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</si>
  <si>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</si>
  <si>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</si>
  <si>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</si>
  <si>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</si>
  <si>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</si>
  <si>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</si>
  <si>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</si>
  <si>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</si>
  <si>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</si>
  <si>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</si>
  <si>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</si>
  <si>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</si>
  <si>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</si>
  <si>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</si>
  <si>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</si>
  <si>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</si>
  <si>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</si>
  <si>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</si>
  <si>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</si>
  <si>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</si>
  <si>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</si>
  <si>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</si>
  <si>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</si>
  <si>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</si>
  <si>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</si>
  <si>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</si>
  <si>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</si>
  <si>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</si>
  <si>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</si>
  <si>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</si>
  <si>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</si>
  <si>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</si>
  <si>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</si>
  <si>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</si>
  <si>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</si>
  <si>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</si>
  <si>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</si>
  <si>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</si>
  <si>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</si>
  <si>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</si>
  <si>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</si>
  <si>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</si>
  <si>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</si>
  <si>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</si>
  <si>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</si>
  <si>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</si>
  <si>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</si>
  <si>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</si>
  <si>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</si>
  <si>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</si>
  <si>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</si>
  <si>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</si>
  <si>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</si>
  <si>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</si>
  <si>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</si>
  <si>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</si>
  <si>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</si>
  <si>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</si>
  <si>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</si>
  <si>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</si>
  <si>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</si>
  <si>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</si>
  <si>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</si>
  <si>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</si>
  <si>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</si>
  <si>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</si>
  <si>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</si>
  <si>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</si>
  <si>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</si>
  <si>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</si>
  <si>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</si>
  <si>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</si>
  <si>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</si>
  <si>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</si>
  <si>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</si>
  <si>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</si>
  <si>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</si>
  <si>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</si>
  <si>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</si>
  <si>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</si>
  <si>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</si>
  <si>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</si>
  <si>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</si>
  <si>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</si>
  <si>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</si>
  <si>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</si>
  <si>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</si>
  <si>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</si>
  <si>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</si>
  <si>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</si>
  <si>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</si>
  <si>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</si>
  <si>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</si>
  <si>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</si>
  <si>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</si>
  <si>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</si>
  <si>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</si>
  <si>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</si>
  <si>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</si>
  <si>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</si>
  <si>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</si>
  <si>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</si>
  <si>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</si>
  <si>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</si>
  <si>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</si>
  <si>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</si>
  <si>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</si>
  <si>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</si>
  <si>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</si>
  <si>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</si>
  <si>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</si>
  <si>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</si>
  <si>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</si>
  <si>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</si>
  <si>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</si>
  <si>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</si>
  <si>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</si>
  <si>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</si>
  <si>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</si>
  <si>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</si>
  <si>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</si>
  <si>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</si>
  <si>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</si>
  <si>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</si>
  <si>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</si>
  <si>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</si>
  <si>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</si>
  <si>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</si>
  <si>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</si>
  <si>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</si>
  <si>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</si>
  <si>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</si>
  <si>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</si>
  <si>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</si>
  <si>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</si>
  <si>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</si>
  <si>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</si>
  <si>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</si>
  <si>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</si>
  <si>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</si>
  <si>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</si>
  <si>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</si>
  <si>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</si>
  <si>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</si>
  <si>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</si>
  <si>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</si>
  <si>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</si>
  <si>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</si>
  <si>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</si>
  <si>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</si>
  <si>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</si>
  <si>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</si>
  <si>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</si>
  <si>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</si>
  <si>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</si>
  <si>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</si>
  <si>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</si>
  <si>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</si>
  <si>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</si>
  <si>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</si>
  <si>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</si>
  <si>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</si>
  <si>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</si>
  <si>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</si>
  <si>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</si>
  <si>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</si>
  <si>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</si>
  <si>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</si>
  <si>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</si>
  <si>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</si>
  <si>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</si>
  <si>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</si>
  <si>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</si>
  <si>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</si>
  <si>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</si>
  <si>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</si>
  <si>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</si>
  <si>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</si>
  <si>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</si>
  <si>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</si>
  <si>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</si>
  <si>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</si>
  <si>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</si>
  <si>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</si>
  <si>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</si>
  <si>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</si>
  <si>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</si>
  <si>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</si>
  <si>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</si>
  <si>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</si>
  <si>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</si>
  <si>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</si>
  <si>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</si>
  <si>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</si>
  <si>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</si>
  <si>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</si>
  <si>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</si>
  <si>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</si>
  <si>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</si>
  <si>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</si>
  <si>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</si>
  <si>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</si>
  <si>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</si>
  <si>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</si>
  <si>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</si>
  <si>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</si>
  <si>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</si>
  <si>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</si>
  <si>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</si>
  <si>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</si>
  <si>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</si>
  <si>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</si>
  <si>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</si>
  <si>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</si>
  <si>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</si>
  <si>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</si>
  <si>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</si>
  <si>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</si>
  <si>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</si>
  <si>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</si>
  <si>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</si>
  <si>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</si>
  <si>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</si>
  <si>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</si>
  <si>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</si>
  <si>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</si>
  <si>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</si>
  <si>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</si>
  <si>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</si>
  <si>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</si>
  <si>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</si>
  <si>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</si>
  <si>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</si>
  <si>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</si>
  <si>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</si>
  <si>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</si>
  <si>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</si>
  <si>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</si>
  <si>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</si>
  <si>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</si>
  <si>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</si>
  <si>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</si>
  <si>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</si>
  <si>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</si>
  <si>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</si>
  <si>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</si>
  <si>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</si>
  <si>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</si>
  <si>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</si>
  <si>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</si>
  <si>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</si>
  <si>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</si>
  <si>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</si>
  <si>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</si>
  <si>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</si>
  <si>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</si>
  <si>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</si>
  <si>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</si>
  <si>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</si>
  <si>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</si>
  <si>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</si>
  <si>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</si>
  <si>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</si>
  <si>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</si>
  <si>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</si>
  <si>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</si>
  <si>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</si>
  <si>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</si>
  <si>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</si>
  <si>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</si>
  <si>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</si>
  <si>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</si>
  <si>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</si>
  <si>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</si>
  <si>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</si>
  <si>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</si>
  <si>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</si>
  <si>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</si>
  <si>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</si>
  <si>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</si>
  <si>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</si>
  <si>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</si>
  <si>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</si>
  <si>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</si>
  <si>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</si>
  <si>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</si>
  <si>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</si>
  <si>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</si>
  <si>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</si>
  <si>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</si>
  <si>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</si>
  <si>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</si>
  <si>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</si>
  <si>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</si>
  <si>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</si>
  <si>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</si>
  <si>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</si>
  <si>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</si>
  <si>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</si>
  <si>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</si>
  <si>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</si>
  <si>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</si>
  <si>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</si>
  <si>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</si>
  <si>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</si>
  <si>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</si>
  <si>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</si>
  <si>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</si>
  <si>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</si>
  <si>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</si>
  <si>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</si>
  <si>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</si>
  <si>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</si>
  <si>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</si>
  <si>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</si>
  <si>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</si>
  <si>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</si>
  <si>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</si>
  <si>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</si>
  <si>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</si>
  <si>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</si>
  <si>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</si>
  <si>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</si>
  <si>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</si>
  <si>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</si>
  <si>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</si>
  <si>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</si>
  <si>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</si>
  <si>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</si>
  <si>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</si>
  <si>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</si>
  <si>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</si>
  <si>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</si>
  <si>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</si>
  <si>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</si>
  <si>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</si>
  <si>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</si>
  <si>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</si>
  <si>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</si>
  <si>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</si>
  <si>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</si>
  <si>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</si>
  <si>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</si>
  <si>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</si>
  <si>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</si>
  <si>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</si>
  <si>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</si>
  <si>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</si>
  <si>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</si>
  <si>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</si>
  <si>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</si>
  <si>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</si>
  <si>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</si>
  <si>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</si>
  <si>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</si>
  <si>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</si>
  <si>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</si>
  <si>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</si>
  <si>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</si>
  <si>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</si>
  <si>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</si>
  <si>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</si>
  <si>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</si>
  <si>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</si>
  <si>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</si>
  <si>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</si>
  <si>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</si>
  <si>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</si>
  <si>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</si>
  <si>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</si>
  <si>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</si>
  <si>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</si>
  <si>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</si>
  <si>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</si>
  <si>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</si>
  <si>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</si>
  <si>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</si>
  <si>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</si>
  <si>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</si>
  <si>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</si>
  <si>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</si>
  <si>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</si>
  <si>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</si>
  <si>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</si>
  <si>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</si>
  <si>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</si>
  <si>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</si>
  <si>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</si>
  <si>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</si>
  <si>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</si>
  <si>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</si>
  <si>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</si>
  <si>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</si>
  <si>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</si>
  <si>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</si>
  <si>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</si>
  <si>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</si>
  <si>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</si>
  <si>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</si>
  <si>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</si>
  <si>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</si>
  <si>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</si>
  <si>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</si>
  <si>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</si>
  <si>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</si>
  <si>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</si>
  <si>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</si>
  <si>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</si>
  <si>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</si>
  <si>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</si>
  <si>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</si>
  <si>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</si>
  <si>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</si>
  <si>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</si>
  <si>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</si>
  <si>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</si>
  <si>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</si>
  <si>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</si>
  <si>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</si>
  <si>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</si>
  <si>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</si>
  <si>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</si>
  <si>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</si>
  <si>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</si>
  <si>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</si>
  <si>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</si>
  <si>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</si>
  <si>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</si>
  <si>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</si>
  <si>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</si>
  <si>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</si>
  <si>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</si>
  <si>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</si>
  <si>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</si>
  <si>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</si>
  <si>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</si>
  <si>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</si>
  <si>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</si>
  <si>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</si>
  <si>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</si>
  <si>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</si>
  <si>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</si>
  <si>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</si>
  <si>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</si>
  <si>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</si>
  <si>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</si>
  <si>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</si>
  <si>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</si>
  <si>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</si>
  <si>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</si>
  <si>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</si>
  <si>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</si>
  <si>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</si>
  <si>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</si>
  <si>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</si>
  <si>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</si>
  <si>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</si>
  <si>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</si>
  <si>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</si>
  <si>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</si>
  <si>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</si>
  <si>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</si>
  <si>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</si>
  <si>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</si>
  <si>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</si>
  <si>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</si>
  <si>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</si>
  <si>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</si>
  <si>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</si>
  <si>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</si>
  <si>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</si>
  <si>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</si>
  <si>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</si>
  <si>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</si>
  <si>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</si>
  <si>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</si>
  <si>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</si>
  <si>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</si>
  <si>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</si>
  <si>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</si>
  <si>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</si>
  <si>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</si>
  <si>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</si>
  <si>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</si>
  <si>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</si>
  <si>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</si>
  <si>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</si>
  <si>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</si>
  <si>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</si>
  <si>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</si>
  <si>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</si>
  <si>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</si>
  <si>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</si>
  <si>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</si>
  <si>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</si>
  <si>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</si>
  <si>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</si>
  <si>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</si>
  <si>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</si>
  <si>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</si>
  <si>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</si>
  <si>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</si>
  <si>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</si>
  <si>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</si>
  <si>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</si>
  <si>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</si>
  <si>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</si>
  <si>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</si>
  <si>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</si>
  <si>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</si>
  <si>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</si>
  <si>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</si>
  <si>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</si>
  <si>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</si>
  <si>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</si>
  <si>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</si>
  <si>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</si>
  <si>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</si>
  <si>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</si>
  <si>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</si>
  <si>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</si>
  <si>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</si>
  <si>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</si>
  <si>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</si>
  <si>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</si>
  <si>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</si>
  <si>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</si>
  <si>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</si>
  <si>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</si>
  <si>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</si>
  <si>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</si>
  <si>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</si>
  <si>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</si>
  <si>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</si>
  <si>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</si>
  <si>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</si>
  <si>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</si>
  <si>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</si>
  <si>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</si>
  <si>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</si>
  <si>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</si>
  <si>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</si>
  <si>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</si>
  <si>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</si>
  <si>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</si>
  <si>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</si>
  <si>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</si>
  <si>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</si>
  <si>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</si>
  <si>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</si>
  <si>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</si>
  <si>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</si>
  <si>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</si>
  <si>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</si>
  <si>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</si>
  <si>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</si>
  <si>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</si>
  <si>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</si>
  <si>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</si>
  <si>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</si>
  <si>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</si>
  <si>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</si>
  <si>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</si>
  <si>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</si>
  <si>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</si>
  <si>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</si>
  <si>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</si>
  <si>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</si>
  <si>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</si>
  <si>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</si>
  <si>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</si>
  <si>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</si>
  <si>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</si>
  <si>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</si>
  <si>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</si>
  <si>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</si>
  <si>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</si>
  <si>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</si>
  <si>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</si>
  <si>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</si>
  <si>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</si>
  <si>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</si>
  <si>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</si>
  <si>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</si>
  <si>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</si>
  <si>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</si>
  <si>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</si>
  <si>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</si>
  <si>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</si>
  <si>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</si>
  <si>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</si>
  <si>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</si>
  <si>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</si>
  <si>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</si>
  <si>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</si>
  <si>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</si>
  <si>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</si>
  <si>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</si>
  <si>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</si>
  <si>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</si>
  <si>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</si>
  <si>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</si>
  <si>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</si>
  <si>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</si>
  <si>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</si>
  <si>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</si>
  <si>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</si>
  <si>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</si>
  <si>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</si>
  <si>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</si>
  <si>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</si>
  <si>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</si>
  <si>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</si>
  <si>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</si>
  <si>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</si>
  <si>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</si>
  <si>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</si>
  <si>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</si>
  <si>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</si>
  <si>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</si>
  <si>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</si>
  <si>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</si>
  <si>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</si>
  <si>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</si>
  <si>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</si>
  <si>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</si>
  <si>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</si>
  <si>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</si>
  <si>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</si>
  <si>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</si>
  <si>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</si>
  <si>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</si>
  <si>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</si>
  <si>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</si>
  <si>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</si>
  <si>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</si>
  <si>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</si>
  <si>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</si>
  <si>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1510 North First LP</t>
  </si>
  <si>
    <t>PROJECT NAME:</t>
  </si>
  <si>
    <t>1510 North First</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</si>
  <si>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</si>
  <si>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</si>
  <si>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</si>
  <si>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</si>
  <si>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</si>
  <si>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</si>
  <si>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</si>
  <si>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</si>
  <si>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</si>
  <si>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</si>
  <si>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</si>
  <si>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</si>
  <si>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</si>
  <si>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</si>
  <si>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</si>
  <si>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</si>
  <si>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</si>
  <si>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</si>
  <si>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</si>
  <si>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</si>
  <si>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</si>
  <si>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</si>
  <si>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</si>
  <si>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</si>
  <si>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</si>
  <si>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</si>
  <si>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</si>
  <si>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</si>
  <si>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</si>
  <si>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</si>
  <si>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</si>
  <si>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</si>
  <si>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</si>
  <si>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San Jose</t>
  </si>
  <si>
    <t>, California.</t>
  </si>
  <si>
    <t>Preston Prince</t>
  </si>
  <si>
    <t>(Typed or printed name)</t>
  </si>
  <si>
    <t>President, Manager of the Managing GP</t>
  </si>
  <si>
    <t>(Title)</t>
  </si>
  <si>
    <t>Local Jurisdiction:</t>
  </si>
  <si>
    <t>City of San Jose</t>
  </si>
  <si>
    <t>City Manager:</t>
  </si>
  <si>
    <t>Erik Louis Solivan</t>
  </si>
  <si>
    <t>*</t>
  </si>
  <si>
    <t>ALAMEDA</t>
  </si>
  <si>
    <t>Alameda</t>
  </si>
  <si>
    <t>Title:</t>
  </si>
  <si>
    <t>Director of Housing</t>
  </si>
  <si>
    <t>ALPINE</t>
  </si>
  <si>
    <t>Alpine</t>
  </si>
  <si>
    <t xml:space="preserve">Mailing Address: </t>
  </si>
  <si>
    <t>200 East Santa Clara Street, 12th Floor</t>
  </si>
  <si>
    <t>AMADOR</t>
  </si>
  <si>
    <t>Amador</t>
  </si>
  <si>
    <t xml:space="preserve">City: </t>
  </si>
  <si>
    <t>BUTTE</t>
  </si>
  <si>
    <t>Butte</t>
  </si>
  <si>
    <t xml:space="preserve">Zip Code: </t>
  </si>
  <si>
    <t>95113-1905</t>
  </si>
  <si>
    <t>CALAVERAS</t>
  </si>
  <si>
    <t>Calaveras</t>
  </si>
  <si>
    <t>Phone Number:</t>
  </si>
  <si>
    <t>669-314-3611</t>
  </si>
  <si>
    <t>Ext.</t>
  </si>
  <si>
    <t>Yes</t>
  </si>
  <si>
    <t>COLUSA</t>
  </si>
  <si>
    <t>Colusa</t>
  </si>
  <si>
    <t xml:space="preserve">FAX Number: </t>
  </si>
  <si>
    <t>(408) 292-6203</t>
  </si>
  <si>
    <t>CONTRA COSTA</t>
  </si>
  <si>
    <t>Contra Costa</t>
  </si>
  <si>
    <t xml:space="preserve">E-mail: </t>
  </si>
  <si>
    <t>erik.solivan@sanjoseca.gov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</si>
  <si>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</si>
  <si>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</si>
  <si>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</si>
  <si>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</si>
  <si>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</si>
  <si>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</si>
  <si>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</si>
  <si>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</si>
  <si>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</si>
  <si>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</si>
  <si>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</si>
  <si>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</si>
  <si>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</si>
  <si>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</si>
  <si>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</si>
  <si>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</si>
  <si>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</si>
  <si>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</si>
  <si>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</si>
  <si>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</si>
  <si>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</si>
  <si>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</si>
  <si>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</si>
  <si>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</si>
  <si>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</si>
  <si>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</si>
  <si>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</si>
  <si>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</si>
  <si>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</si>
  <si>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</si>
  <si>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</si>
  <si>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</si>
  <si>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</si>
  <si>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</si>
  <si>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</si>
  <si>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</si>
  <si>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</si>
  <si>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</si>
  <si>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</si>
  <si>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</si>
  <si>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</si>
  <si>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</si>
  <si>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</si>
  <si>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</si>
  <si>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</si>
  <si>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</si>
  <si>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</si>
  <si>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</si>
  <si>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</si>
  <si>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</si>
  <si>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</si>
  <si>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</si>
  <si>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</si>
  <si>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</si>
  <si>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</si>
  <si>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</si>
  <si>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</si>
  <si>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</si>
  <si>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</si>
  <si>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</si>
  <si>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</si>
  <si>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</si>
  <si>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1510 N First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</si>
  <si>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</si>
  <si>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</si>
  <si>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</si>
  <si>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</si>
  <si>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</si>
  <si>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</si>
  <si>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</si>
  <si>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</si>
  <si>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</si>
  <si>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</si>
  <si>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</si>
  <si>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</si>
  <si>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</si>
  <si>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</si>
  <si>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</si>
  <si>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</si>
  <si>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</si>
  <si>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</si>
  <si>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</si>
  <si>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</si>
  <si>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</si>
  <si>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235-02-029</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</si>
  <si>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</si>
  <si>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</si>
  <si>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</si>
  <si>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</si>
  <si>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</si>
  <si>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</si>
  <si>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</si>
  <si>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</si>
  <si>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</si>
  <si>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</si>
  <si>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</si>
  <si>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</si>
  <si>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</si>
  <si>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</si>
  <si>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</si>
  <si>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</si>
  <si>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</si>
  <si>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</si>
  <si>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</si>
  <si>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</si>
  <si>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</si>
  <si>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</si>
  <si>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</si>
  <si>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</si>
  <si>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</si>
  <si>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</si>
  <si>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</si>
  <si>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</si>
  <si>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</si>
  <si>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</si>
  <si>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</si>
  <si>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</si>
  <si>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</si>
  <si>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</si>
  <si>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</si>
  <si>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</si>
  <si>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</si>
  <si>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City of Los Angeles</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</si>
  <si>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</si>
  <si>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</si>
  <si>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</si>
  <si>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</si>
  <si>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</si>
  <si>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</si>
  <si>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</si>
  <si>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</si>
  <si>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</si>
  <si>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</si>
  <si>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</si>
  <si>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</si>
  <si>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</si>
  <si>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</si>
  <si>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</si>
  <si>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</si>
  <si>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</si>
  <si>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</si>
  <si>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</si>
  <si>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</si>
  <si>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</si>
  <si>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</si>
  <si>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</si>
  <si>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</si>
  <si>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</si>
  <si>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</si>
  <si>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</si>
  <si>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</si>
  <si>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</si>
  <si>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</si>
  <si>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</si>
  <si>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</si>
  <si>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</si>
  <si>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</si>
  <si>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</si>
  <si>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</si>
  <si>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</si>
  <si>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</si>
  <si>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</si>
  <si>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</si>
  <si>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</si>
  <si>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</si>
  <si>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</si>
  <si>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</si>
  <si>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</si>
  <si>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</si>
  <si>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</si>
  <si>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</si>
  <si>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</si>
  <si>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</si>
  <si>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</si>
  <si>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</si>
  <si>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</si>
  <si>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</si>
  <si>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</si>
  <si>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</si>
  <si>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</si>
  <si>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</si>
  <si>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</si>
  <si>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</si>
  <si>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</si>
  <si>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</si>
  <si>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</si>
  <si>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</si>
  <si>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</si>
  <si>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</si>
  <si>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</si>
  <si>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</si>
  <si>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</si>
  <si>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</si>
  <si>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</si>
  <si>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</si>
  <si>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</si>
  <si>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</si>
  <si>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</si>
  <si>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</si>
  <si>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</si>
  <si>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</si>
  <si>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</si>
  <si>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</si>
  <si>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</si>
  <si>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</si>
  <si>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</si>
  <si>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</si>
  <si>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</si>
  <si>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</si>
  <si>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</si>
  <si>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505 W. Julian Street</t>
  </si>
  <si>
    <t>both nonprofits</t>
  </si>
  <si>
    <t>State:</t>
  </si>
  <si>
    <t>CA</t>
  </si>
  <si>
    <t>Contact Person:</t>
  </si>
  <si>
    <t>Karl Lauff</t>
  </si>
  <si>
    <t>Phone:</t>
  </si>
  <si>
    <t>(669) 214-9902</t>
  </si>
  <si>
    <t>Ext.:</t>
  </si>
  <si>
    <t>Fax:</t>
  </si>
  <si>
    <t>(408) 993-4331</t>
  </si>
  <si>
    <t>both for-profit</t>
  </si>
  <si>
    <t xml:space="preserve">Email: </t>
  </si>
  <si>
    <t>Karl.Lauff@scchousingauthority.org</t>
  </si>
  <si>
    <t>Legal Status of Applicant:</t>
  </si>
  <si>
    <t>Parent Company:</t>
  </si>
  <si>
    <t>1510 North First LLC</t>
  </si>
  <si>
    <t>If Other, Specify:</t>
  </si>
  <si>
    <t>Nonprofit</t>
  </si>
  <si>
    <t>C(1)</t>
  </si>
  <si>
    <t>General Partner Name:</t>
  </si>
  <si>
    <t>Managing GP</t>
  </si>
  <si>
    <t>currently exists</t>
  </si>
  <si>
    <t>to be formed</t>
  </si>
  <si>
    <t>For Profit</t>
  </si>
  <si>
    <t>(408) 993-2903</t>
  </si>
  <si>
    <t>(408) 993-4311</t>
  </si>
  <si>
    <t>Preston.Prince@scchousingauthority.org</t>
  </si>
  <si>
    <t>Nonprofit/For Profit:</t>
  </si>
  <si>
    <t>Villa Garcia, Inc.</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</si>
  <si>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</si>
  <si>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</si>
  <si>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</si>
  <si>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</si>
  <si>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</si>
  <si>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</si>
  <si>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</si>
  <si>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</si>
  <si>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</si>
  <si>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</si>
  <si>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Santa Clara County Housing Authority</t>
  </si>
  <si>
    <t>505 West Julian Street</t>
  </si>
  <si>
    <t>Participatory Role:</t>
  </si>
  <si>
    <t>Applicant - Assistant Director of Real Estate Development</t>
  </si>
  <si>
    <t>(e.g., General Partner, Consultant, etc.)</t>
  </si>
  <si>
    <t>II. APPLICATION - SECTION 4: DEVELOPMENT TEAM INFORMATION</t>
  </si>
  <si>
    <t>Indicate and List All Development Team Members</t>
  </si>
  <si>
    <t>Developer:</t>
  </si>
  <si>
    <t>Architect:</t>
  </si>
  <si>
    <t>Dahlin Group</t>
  </si>
  <si>
    <t>Address:</t>
  </si>
  <si>
    <t>446 17th St, Suite 200</t>
  </si>
  <si>
    <t>City, State, Zip</t>
  </si>
  <si>
    <t>San Jose, California 95110</t>
  </si>
  <si>
    <t>City, State, Zip:</t>
  </si>
  <si>
    <t>Oakland, CA 94612</t>
  </si>
  <si>
    <t>Chris Apostolopoulos</t>
  </si>
  <si>
    <t>Email:</t>
  </si>
  <si>
    <t>chris.apostolopoulos@dahlingroup.com</t>
  </si>
  <si>
    <t>Attorney:</t>
  </si>
  <si>
    <t>Goldfarb &amp; Lipman LLP</t>
  </si>
  <si>
    <t>General Contractor:</t>
  </si>
  <si>
    <t xml:space="preserve">Guzman </t>
  </si>
  <si>
    <t>1300 Clay Street, Eleventh Floor</t>
  </si>
  <si>
    <t>885 Folsom St.</t>
  </si>
  <si>
    <t>Oakland, 94612</t>
  </si>
  <si>
    <t>San Francisco, 94107</t>
  </si>
  <si>
    <t>Matthew S. Heaton</t>
  </si>
  <si>
    <t>John Beccaria</t>
  </si>
  <si>
    <t>mheaton@goldfarblipman.com</t>
  </si>
  <si>
    <t>jbeccaria@guzmangc.com</t>
  </si>
  <si>
    <t>Tax Professional:</t>
  </si>
  <si>
    <t>Energy Consultant:</t>
  </si>
  <si>
    <t>Krantz Consultants</t>
  </si>
  <si>
    <t>2625 Alcatraz Ave, STE 183</t>
  </si>
  <si>
    <t>Berkeley, CA, 94705</t>
  </si>
  <si>
    <t>Nathan</t>
  </si>
  <si>
    <t>nathan@krantzconsultants.com</t>
  </si>
  <si>
    <t>CPA:</t>
  </si>
  <si>
    <t>Lindquist, Von Husen &amp; Joyce</t>
  </si>
  <si>
    <t>Investor:</t>
  </si>
  <si>
    <t>TBD</t>
  </si>
  <si>
    <t>90 New Montgomery, 11th Floor</t>
  </si>
  <si>
    <t>San Francisco, CA 94105</t>
  </si>
  <si>
    <t>Crisanto Francisco</t>
  </si>
  <si>
    <t>415-957-9999</t>
  </si>
  <si>
    <t>415-957-1629</t>
  </si>
  <si>
    <t>cfrancisco@lvhj.com</t>
  </si>
  <si>
    <t>Consultant:</t>
  </si>
  <si>
    <t>CA Housing Partnership</t>
  </si>
  <si>
    <t>Market Analyst:</t>
  </si>
  <si>
    <t>Raney Planning and Management Inc.</t>
  </si>
  <si>
    <t>49 Stevenson Ste. 500</t>
  </si>
  <si>
    <t>1501 Sports Drive, Suite A</t>
  </si>
  <si>
    <t>Sacramento, CA 95834</t>
  </si>
  <si>
    <t>Dave Kiddoo</t>
  </si>
  <si>
    <t>Stefanie Williams</t>
  </si>
  <si>
    <t>510-859-8097</t>
  </si>
  <si>
    <t>(916) 419-6108</t>
  </si>
  <si>
    <t>dkiddoo@calhousingpartnership.org</t>
  </si>
  <si>
    <t>swilliams@laurinassociates.com</t>
  </si>
  <si>
    <t>Appraiser:</t>
  </si>
  <si>
    <t>Valbridge Property Advisors</t>
  </si>
  <si>
    <t>Prop. Mgmt. Co.:</t>
  </si>
  <si>
    <t>John Stewart Company</t>
  </si>
  <si>
    <t>3160 Crow Canyon Place, Suite 245</t>
  </si>
  <si>
    <t>104 Whispering Pines Dr., Ste 200</t>
  </si>
  <si>
    <t>San Ramon, CA 94583</t>
  </si>
  <si>
    <t>Scotts Valley, CA 95066</t>
  </si>
  <si>
    <t>James S Murren</t>
  </si>
  <si>
    <t>Maya Powis</t>
  </si>
  <si>
    <t>(831) 438-5725</t>
  </si>
  <si>
    <t>jmurren@valbridge.com</t>
  </si>
  <si>
    <t>mpowis@jsco.net</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</si>
  <si>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</si>
  <si>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</si>
  <si>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</si>
  <si>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</si>
  <si>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</si>
  <si>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</si>
  <si>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</si>
  <si>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</si>
  <si>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</si>
  <si>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</si>
  <si>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</si>
  <si>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</si>
  <si>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</si>
  <si>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</si>
  <si>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</si>
  <si>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</si>
  <si>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</si>
  <si>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</si>
  <si>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</si>
  <si>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</si>
  <si>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</si>
  <si>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</si>
  <si>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</si>
  <si>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</si>
  <si>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</si>
  <si>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</si>
  <si>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</si>
  <si>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</si>
  <si>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</si>
  <si>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</si>
  <si>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</si>
  <si>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</si>
  <si>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</si>
  <si>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</si>
  <si>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</si>
  <si>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</si>
  <si>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</si>
  <si>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Executive Director</t>
  </si>
  <si>
    <t>Seller Address:</t>
  </si>
  <si>
    <t>San Jose, CA 95110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</si>
  <si>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</si>
  <si>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</si>
  <si>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</si>
  <si>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</si>
  <si>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</si>
  <si>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</si>
  <si>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</si>
  <si>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</si>
  <si>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</si>
  <si>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</si>
  <si>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</si>
  <si>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</si>
  <si>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</si>
  <si>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</si>
  <si>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</si>
  <si>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</si>
  <si>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</si>
  <si>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</si>
  <si>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</si>
  <si>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</si>
  <si>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</si>
  <si>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</si>
  <si>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</si>
  <si>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</si>
  <si>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</si>
  <si>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</si>
  <si>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</si>
  <si>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</si>
  <si>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</si>
  <si>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</si>
  <si>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</si>
  <si>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</si>
  <si>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</si>
  <si>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</si>
  <si>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</si>
  <si>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</si>
  <si>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</si>
  <si>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</si>
  <si>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</si>
  <si>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</si>
  <si>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</si>
  <si>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</si>
  <si>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</si>
  <si>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</si>
  <si>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</si>
  <si>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</si>
  <si>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</si>
  <si>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</si>
  <si>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</si>
  <si>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</si>
  <si>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</si>
  <si>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</si>
  <si>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</si>
  <si>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</si>
  <si>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</si>
  <si>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</si>
  <si>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</si>
  <si>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</si>
  <si>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</si>
  <si>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</si>
  <si>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</si>
  <si>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</si>
  <si>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</si>
  <si>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</si>
  <si>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</si>
  <si>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</si>
  <si>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</si>
  <si>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</si>
  <si>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</si>
  <si>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</si>
  <si>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</si>
  <si>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</si>
  <si>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</si>
  <si>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</si>
  <si>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</si>
  <si>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</si>
  <si>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</si>
  <si>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</si>
  <si>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</si>
  <si>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</si>
  <si>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</si>
  <si>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</si>
  <si>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</si>
  <si>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</si>
  <si>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At Risk of Homelessness</t>
  </si>
  <si>
    <t>Units w/ tenants of multiple disability type or subsidy layers (explain)</t>
  </si>
  <si>
    <t>10 mobility Accessible units and 48 adaptable units of which 6 are communication units.</t>
  </si>
  <si>
    <t>II. APPLICATION - SECTION 6:  REQUIRED APPROVALS &amp; DEVELOPMENT TIMETABLE</t>
  </si>
  <si>
    <t>Project and Site Information</t>
  </si>
  <si>
    <t>Current Land Use Designation</t>
  </si>
  <si>
    <t>Urban Village</t>
  </si>
  <si>
    <t>Current Zoning and Maximum Density</t>
  </si>
  <si>
    <t>Commercial General (CG), 58 units on a .44 acres lot</t>
  </si>
  <si>
    <t>Proposed Zoning and Maximum Density</t>
  </si>
  <si>
    <t>N/A, Approved</t>
  </si>
  <si>
    <t>Occupancy restrictions that run with the land due to CUP’s or density bonuses?</t>
  </si>
  <si>
    <t>(if yes, explain here)</t>
  </si>
  <si>
    <t>Subject to any affordable housing ordinances?</t>
  </si>
  <si>
    <t>Building Height Requirements</t>
  </si>
  <si>
    <t>150'-0" Max</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</si>
  <si>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</si>
  <si>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</si>
  <si>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</si>
  <si>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</si>
  <si>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</si>
  <si>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</si>
  <si>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</si>
  <si>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</si>
  <si>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</si>
  <si>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</si>
  <si>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</si>
  <si>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</si>
  <si>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</si>
  <si>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</si>
  <si>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</si>
  <si>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</si>
  <si>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</si>
  <si>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</si>
  <si>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</si>
  <si>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</si>
  <si>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</si>
  <si>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</si>
  <si>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</si>
  <si>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</si>
  <si>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</si>
  <si>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</si>
  <si>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</si>
  <si>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</si>
  <si>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SCCHA MTW</t>
  </si>
  <si>
    <t>Closing or Award</t>
  </si>
  <si>
    <t>(select)</t>
  </si>
  <si>
    <t xml:space="preserve">Type and Source: </t>
  </si>
  <si>
    <t>Accrued Interest</t>
  </si>
  <si>
    <t>Cost Deferral</t>
  </si>
  <si>
    <t>Developer Fee, Deferral</t>
  </si>
  <si>
    <t>Project Based Vouchers</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</si>
  <si>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</si>
  <si>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</si>
  <si>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</si>
  <si>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</si>
  <si>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</si>
  <si>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</si>
  <si>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</si>
  <si>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</si>
  <si>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</si>
  <si>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</si>
  <si>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</si>
  <si>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</si>
  <si>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</si>
  <si>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</si>
  <si>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</si>
  <si>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</si>
  <si>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</si>
  <si>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</si>
  <si>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</si>
  <si>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</si>
  <si>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</si>
  <si>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</si>
  <si>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</si>
  <si>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</si>
  <si>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</si>
  <si>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</si>
  <si>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</si>
  <si>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</si>
  <si>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</si>
  <si>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</si>
  <si>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</si>
  <si>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</si>
  <si>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</si>
  <si>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</si>
  <si>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</si>
  <si>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</si>
  <si>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</si>
  <si>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</si>
  <si>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JP Morgan Chase Const. Loan</t>
  </si>
  <si>
    <t>Variable</t>
  </si>
  <si>
    <t>City of San Jose Loan</t>
  </si>
  <si>
    <t>Fixed</t>
  </si>
  <si>
    <t>SCCHA MTW Loan</t>
  </si>
  <si>
    <t>Costs Deferred Until Conversion</t>
  </si>
  <si>
    <t>Limited Partner Equity</t>
  </si>
  <si>
    <t>6)</t>
  </si>
  <si>
    <t>Accrued/Deferred interest</t>
  </si>
  <si>
    <t>7)</t>
  </si>
  <si>
    <t>8)</t>
  </si>
  <si>
    <t>9)</t>
  </si>
  <si>
    <t>10)</t>
  </si>
  <si>
    <t>11)</t>
  </si>
  <si>
    <t>12)</t>
  </si>
  <si>
    <t>Total Funds For Construction:</t>
  </si>
  <si>
    <t>Lender/Source:</t>
  </si>
  <si>
    <t>560 Mission Street, Floor 04</t>
  </si>
  <si>
    <t>200 East Santa Clara Street</t>
  </si>
  <si>
    <t>Contact Name:</t>
  </si>
  <si>
    <t>William Ho</t>
  </si>
  <si>
    <t>Shelsy Bass</t>
  </si>
  <si>
    <t>Type of Financing:</t>
  </si>
  <si>
    <t>Construction</t>
  </si>
  <si>
    <t>Constr. &amp; Perm</t>
  </si>
  <si>
    <t>Is the Lender/Source Committed?</t>
  </si>
  <si>
    <t>669.214.9902</t>
  </si>
  <si>
    <t>Constr.</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</si>
  <si>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</si>
  <si>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</si>
  <si>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</si>
  <si>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</si>
  <si>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</si>
  <si>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</si>
  <si>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</si>
  <si>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</si>
  <si>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</si>
  <si>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</si>
  <si>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</si>
  <si>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</si>
  <si>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</si>
  <si>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</si>
  <si>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</si>
  <si>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</si>
  <si>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</si>
  <si>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</si>
  <si>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</si>
  <si>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SCCHA Perm Loan -- Tranche A</t>
  </si>
  <si>
    <t>Required</t>
  </si>
  <si>
    <t>SCCHA Perm Loan -- Tranche B</t>
  </si>
  <si>
    <t>Deferred</t>
  </si>
  <si>
    <t>Residual</t>
  </si>
  <si>
    <t>TOTAL LI BEDROOMS</t>
  </si>
  <si>
    <t>manager(s)</t>
  </si>
  <si>
    <t>TOTAL LI BRs</t>
  </si>
  <si>
    <t>Total Permanent Financing:</t>
  </si>
  <si>
    <t>TOTAL Manager BRs</t>
  </si>
  <si>
    <t>Total Tax Credit Equity:</t>
  </si>
  <si>
    <t>market rate</t>
  </si>
  <si>
    <t>Total Sources of Project Funds:</t>
  </si>
  <si>
    <t>Perm Loan</t>
  </si>
  <si>
    <t>200 East Santa Clara Street, 12th floor</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</si>
  <si>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</si>
  <si>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</si>
  <si>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</si>
  <si>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</si>
  <si>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</si>
  <si>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</si>
  <si>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</si>
  <si>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</si>
  <si>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</si>
  <si>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</si>
  <si>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</si>
  <si>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</si>
  <si>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</si>
  <si>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</si>
  <si>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</si>
  <si>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</si>
  <si>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</si>
  <si>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</si>
  <si>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</si>
  <si>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</si>
  <si>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</si>
  <si>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</si>
  <si>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</si>
  <si>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</si>
  <si>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</si>
  <si>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</si>
  <si>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</si>
  <si>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</si>
  <si>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</si>
  <si>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</si>
  <si>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</si>
  <si>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</si>
  <si>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</si>
  <si>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</si>
  <si>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</si>
  <si>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</si>
  <si>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</si>
  <si>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</si>
  <si>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</si>
  <si>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</si>
  <si>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</si>
  <si>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</si>
  <si>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</si>
  <si>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</si>
  <si>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</si>
  <si>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</si>
  <si>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</si>
  <si>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</si>
  <si>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</si>
  <si>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</si>
  <si>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</si>
  <si>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</si>
  <si>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</si>
  <si>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</si>
  <si>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</si>
  <si>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</si>
  <si>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</si>
  <si>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</si>
  <si>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</si>
  <si>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</si>
  <si>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</si>
  <si>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</si>
  <si>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</si>
  <si>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</si>
  <si>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</si>
  <si>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</si>
  <si>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</si>
  <si>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</si>
  <si>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</si>
  <si>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</si>
  <si>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</si>
  <si>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</si>
  <si>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</si>
  <si>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</si>
  <si>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</si>
  <si>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</si>
  <si>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</si>
  <si>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</si>
  <si>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</si>
  <si>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</si>
  <si>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</si>
  <si>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</si>
  <si>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</si>
  <si>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</si>
  <si>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</si>
  <si>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</si>
  <si>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</si>
  <si>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</si>
  <si>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</si>
  <si>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</si>
  <si>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</si>
  <si>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</si>
  <si>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</si>
  <si>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Taxes/Benes</t>
  </si>
  <si>
    <t>Total Payroll / Payroll Taxes:</t>
  </si>
  <si>
    <t>Insurance</t>
  </si>
  <si>
    <t>Total Insurance:</t>
  </si>
  <si>
    <t>Painting:</t>
  </si>
  <si>
    <t>Repairs:</t>
  </si>
  <si>
    <t>Trash Removal:</t>
  </si>
  <si>
    <t>Exterminating:</t>
  </si>
  <si>
    <t>Grounds:</t>
  </si>
  <si>
    <t>Elevator:</t>
  </si>
  <si>
    <t>Misc O&amp;M</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</si>
  <si>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</si>
  <si>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</si>
  <si>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</si>
  <si>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</si>
  <si>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</si>
  <si>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</si>
  <si>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</si>
  <si>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</si>
  <si>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</si>
  <si>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</si>
  <si>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</si>
  <si>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</si>
  <si>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</si>
  <si>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</si>
  <si>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</si>
  <si>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</si>
  <si>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</si>
  <si>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</si>
  <si>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</si>
  <si>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</si>
  <si>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</si>
  <si>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</si>
  <si>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</si>
  <si>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</si>
  <si>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</si>
  <si>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</si>
  <si>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</si>
  <si>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</si>
  <si>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</si>
  <si>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</si>
  <si>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</si>
  <si>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</si>
  <si>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</si>
  <si>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</si>
  <si>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</si>
  <si>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</si>
  <si>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</si>
  <si>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</si>
  <si>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</si>
  <si>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</si>
  <si>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</si>
  <si>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</si>
  <si>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</si>
  <si>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</si>
  <si>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</si>
  <si>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</si>
  <si>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</si>
  <si>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</si>
  <si>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</si>
  <si>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</si>
  <si>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</si>
  <si>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</si>
  <si>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</si>
  <si>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</si>
  <si>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</si>
  <si>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</si>
  <si>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</si>
  <si>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</si>
  <si>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</si>
  <si>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</si>
  <si>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SCCHA Perm Loans</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</si>
  <si>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</si>
  <si>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</si>
  <si>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</si>
  <si>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</si>
  <si>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</si>
  <si>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</si>
  <si>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</si>
  <si>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</si>
  <si>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</si>
  <si>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</si>
  <si>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</si>
  <si>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</si>
  <si>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</si>
  <si>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</si>
  <si>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</si>
  <si>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</si>
  <si>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</si>
  <si>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</si>
  <si>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</si>
  <si>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</si>
  <si>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</si>
  <si>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</si>
  <si>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</si>
  <si>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</si>
  <si>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</si>
  <si>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</si>
  <si>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</si>
  <si>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</si>
  <si>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</si>
  <si>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</si>
  <si>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</si>
  <si>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</si>
  <si>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</si>
  <si>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</si>
  <si>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</si>
  <si>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</si>
  <si>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</si>
  <si>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MTW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</si>
  <si>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</si>
  <si>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</si>
  <si>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</si>
  <si>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</si>
  <si>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</si>
  <si>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</si>
  <si>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</si>
  <si>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</si>
  <si>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</si>
  <si>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</si>
  <si>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</si>
  <si>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</si>
  <si>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</si>
  <si>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</si>
  <si>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</si>
  <si>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</si>
  <si>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</si>
  <si>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</si>
  <si>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</si>
  <si>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</si>
  <si>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</si>
  <si>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</si>
  <si>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</si>
  <si>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</si>
  <si>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</si>
  <si>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</si>
  <si>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</si>
  <si>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</si>
  <si>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</si>
  <si>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</si>
  <si>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</si>
  <si>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</si>
  <si>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</si>
  <si>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</si>
  <si>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</si>
  <si>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</si>
  <si>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</si>
  <si>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</si>
  <si>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</si>
  <si>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</si>
  <si>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</si>
  <si>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</si>
  <si>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</si>
  <si>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</si>
  <si>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</si>
  <si>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</si>
  <si>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</si>
  <si>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</si>
  <si>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</si>
  <si>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</si>
  <si>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</si>
  <si>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</si>
  <si>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</si>
  <si>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</si>
  <si>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</si>
  <si>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</si>
  <si>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</si>
  <si>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</si>
  <si>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</si>
  <si>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</si>
  <si>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</si>
  <si>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</si>
  <si>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</si>
  <si>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</si>
  <si>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</si>
  <si>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</si>
  <si>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</si>
  <si>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</si>
  <si>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</si>
  <si>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</si>
  <si>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</si>
  <si>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</si>
  <si>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</si>
  <si>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</si>
  <si>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</si>
  <si>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</si>
  <si>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</si>
  <si>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</si>
  <si>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</si>
  <si>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</si>
  <si>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</si>
  <si>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</si>
  <si>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</si>
  <si>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</si>
  <si>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</si>
  <si>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</si>
  <si>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</si>
  <si>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</si>
  <si>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</si>
  <si>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</si>
  <si>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</si>
  <si>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</si>
  <si>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</si>
  <si>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</si>
  <si>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</si>
  <si>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</si>
  <si>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</si>
  <si>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</si>
  <si>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</si>
  <si>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</si>
  <si>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</si>
  <si>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Construction Lender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</si>
  <si>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</si>
  <si>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</si>
  <si>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</si>
  <si>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</si>
  <si>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</si>
  <si>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</si>
  <si>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</si>
  <si>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</si>
  <si>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</si>
  <si>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</si>
  <si>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</si>
  <si>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</si>
  <si>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</si>
  <si>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</si>
  <si>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</si>
  <si>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</si>
  <si>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</si>
  <si>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</si>
  <si>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</si>
  <si>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</si>
  <si>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</si>
  <si>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</si>
  <si>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</si>
  <si>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</si>
  <si>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</si>
  <si>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</si>
  <si>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</si>
  <si>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</si>
  <si>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</si>
  <si>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</si>
  <si>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</si>
  <si>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</si>
  <si>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</si>
  <si>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Wage Monitor</t>
  </si>
  <si>
    <t>Other: Accrued/Deferred Interest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</si>
  <si>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</si>
  <si>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</si>
  <si>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</si>
  <si>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</si>
  <si>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</si>
  <si>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</si>
  <si>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</si>
  <si>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</si>
  <si>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</si>
  <si>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</si>
  <si>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</si>
  <si>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</si>
  <si>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</si>
  <si>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</si>
  <si>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</si>
  <si>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</si>
  <si>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</si>
  <si>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</si>
  <si>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</si>
  <si>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</si>
  <si>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</si>
  <si>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</si>
  <si>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</si>
  <si>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</si>
  <si>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</si>
  <si>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</si>
  <si>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</si>
  <si>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</si>
  <si>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</si>
  <si>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</si>
  <si>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</si>
  <si>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</si>
  <si>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</si>
  <si>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</si>
  <si>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</si>
  <si>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</si>
  <si>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</si>
  <si>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</si>
  <si>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</si>
  <si>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</si>
  <si>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</si>
  <si>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</si>
  <si>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</si>
  <si>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</si>
  <si>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</si>
  <si>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</si>
  <si>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</si>
  <si>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</si>
  <si>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</si>
  <si>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</si>
  <si>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</si>
  <si>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</si>
  <si>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</si>
  <si>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</si>
  <si>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</si>
  <si>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</si>
  <si>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</si>
  <si>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</si>
  <si>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</si>
  <si>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</si>
  <si>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</si>
  <si>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</si>
  <si>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</si>
  <si>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</si>
  <si>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</si>
  <si>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</si>
  <si>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</si>
  <si>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</si>
  <si>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</si>
  <si>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</si>
  <si>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</si>
  <si>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</si>
  <si>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</si>
  <si>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</si>
  <si>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</si>
  <si>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</si>
  <si>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</si>
  <si>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</si>
  <si>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</si>
  <si>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</si>
  <si>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</si>
  <si>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</si>
  <si>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</si>
  <si>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</si>
  <si>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</si>
  <si>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</si>
  <si>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</si>
  <si>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</si>
  <si>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</si>
  <si>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</si>
  <si>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</si>
  <si>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</si>
  <si>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</si>
  <si>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</si>
  <si>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</si>
  <si>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</si>
  <si>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</si>
  <si>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</si>
  <si>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</si>
  <si>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</si>
  <si>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</si>
  <si>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</si>
  <si>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</si>
  <si>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</si>
  <si>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</si>
  <si>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</si>
  <si>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</si>
  <si>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</si>
  <si>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</si>
  <si>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</si>
  <si>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</si>
  <si>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</si>
  <si>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</si>
  <si>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</si>
  <si>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</si>
  <si>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</si>
  <si>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</si>
  <si>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</si>
  <si>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</si>
  <si>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</si>
  <si>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</si>
  <si>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</si>
  <si>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</si>
  <si>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</si>
  <si>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</si>
  <si>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</si>
  <si>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</si>
  <si>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</si>
  <si>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</si>
  <si>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</si>
  <si>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</si>
  <si>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</si>
  <si>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</si>
  <si>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</si>
  <si>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</si>
  <si>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</si>
  <si>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</si>
  <si>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</si>
  <si>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</si>
  <si>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</si>
  <si>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</si>
  <si>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</si>
  <si>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</si>
  <si>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</si>
  <si>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</si>
  <si>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</si>
  <si>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</si>
  <si>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</si>
  <si>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</si>
  <si>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</si>
  <si>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</si>
  <si>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</si>
  <si>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</si>
  <si>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</si>
  <si>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</si>
  <si>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</si>
  <si>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</si>
  <si>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</si>
  <si>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</si>
  <si>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</si>
  <si>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</si>
  <si>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</si>
  <si>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</si>
  <si>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</si>
  <si>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</si>
  <si>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</si>
  <si>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</si>
  <si>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</si>
  <si>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</si>
  <si>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</si>
  <si>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</si>
  <si>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</si>
  <si>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</si>
  <si>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</si>
  <si>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</si>
  <si>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</si>
  <si>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</si>
  <si>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</si>
  <si>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</si>
  <si>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</si>
  <si>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</si>
  <si>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</si>
  <si>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</si>
  <si>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</si>
  <si>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</si>
  <si>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</si>
  <si>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</si>
  <si>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</si>
  <si>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</si>
  <si>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</si>
  <si>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</si>
  <si>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</si>
  <si>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</si>
  <si>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</si>
  <si>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</si>
  <si>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</si>
  <si>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</si>
  <si>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</si>
  <si>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</si>
  <si>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</si>
  <si>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</si>
  <si>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</si>
  <si>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</si>
  <si>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</si>
  <si>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</si>
  <si>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</si>
  <si>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</si>
  <si>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</si>
  <si>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</si>
  <si>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</si>
  <si>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</si>
  <si>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</si>
  <si>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</si>
  <si>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</si>
  <si>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</si>
  <si>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</si>
  <si>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</si>
  <si>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</si>
  <si>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</si>
  <si>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</si>
  <si>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</si>
  <si>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</si>
  <si>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</si>
  <si>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</si>
  <si>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</si>
  <si>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</si>
  <si>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</si>
  <si>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</si>
  <si>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</si>
  <si>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</si>
  <si>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</si>
  <si>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</si>
  <si>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</si>
  <si>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</si>
  <si>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</si>
  <si>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</si>
  <si>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</si>
  <si>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</si>
  <si>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</si>
  <si>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</si>
  <si>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</si>
  <si>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</si>
  <si>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</si>
  <si>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</si>
  <si>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</si>
  <si>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</si>
  <si>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</si>
  <si>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</si>
  <si>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</si>
  <si>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</si>
  <si>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</si>
  <si>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</si>
  <si>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 xml:space="preserve">VTA Gish Light Rail Station </t>
  </si>
  <si>
    <t xml:space="preserve">Rosemary Garden Park </t>
  </si>
  <si>
    <t>Transit Station/Transit Stop</t>
  </si>
  <si>
    <t>North First Street</t>
  </si>
  <si>
    <t>161 Sonora Ave &amp; Santa Paula Ave</t>
  </si>
  <si>
    <t>Public Park</t>
  </si>
  <si>
    <t>City, Zip</t>
  </si>
  <si>
    <t xml:space="preserve">San Jose 95112		</t>
  </si>
  <si>
    <t xml:space="preserve">San Jose CA, 95110 </t>
  </si>
  <si>
    <t>Book-Lending Public Library</t>
  </si>
  <si>
    <t>VTA Customer Care</t>
  </si>
  <si>
    <t>Grocery/Farmers' Market</t>
  </si>
  <si>
    <t>(408)321-2300</t>
  </si>
  <si>
    <t>(408) 794-6504</t>
  </si>
  <si>
    <t>Adult Education Campus/Community College</t>
  </si>
  <si>
    <t>Amenity Type:</t>
  </si>
  <si>
    <t>Public Elementary/Middle/High School</t>
  </si>
  <si>
    <t>Website:</t>
  </si>
  <si>
    <t>Homepage | VTA</t>
  </si>
  <si>
    <t xml:space="preserve">Rosemary Garden Park | Search Parks &amp; Playgrounds | City of San José (sanjoseca.gov) </t>
  </si>
  <si>
    <t>Senior Center</t>
  </si>
  <si>
    <t>Distance in miles:</t>
  </si>
  <si>
    <t>.12 Miles</t>
  </si>
  <si>
    <t>.24 Miles</t>
  </si>
  <si>
    <t>Specific Service Oriented Facility</t>
  </si>
  <si>
    <t>Medical Clinic/Hospital</t>
  </si>
  <si>
    <r>
      <t>Kaiser Permanente facility</t>
    </r>
    <r>
      <rPr>
        <sz val="11"/>
        <color rgb="FF000000"/>
        <rFont val="Calibri"/>
        <family val="2"/>
      </rPr>
      <t> </t>
    </r>
  </si>
  <si>
    <t xml:space="preserve">Pharmacy: Kaiser Permanente Skyport Medical Offices </t>
  </si>
  <si>
    <t>Pharmacy</t>
  </si>
  <si>
    <t xml:space="preserve">1721 Technology Drive						</t>
  </si>
  <si>
    <t>1721 Technology Drive Dept 100, 1st Floor</t>
  </si>
  <si>
    <t>In-unit High Speed Internet Service</t>
  </si>
  <si>
    <t xml:space="preserve">San Jose 95110				</t>
  </si>
  <si>
    <t xml:space="preserve">408-436-3300 </t>
  </si>
  <si>
    <t>(408) 436-3335</t>
  </si>
  <si>
    <t xml:space="preserve">https://healthy.kaiserpermanente.org/northern-california/facilities/skyport-medical-offices-334581 </t>
  </si>
  <si>
    <t xml:space="preserve">https://thrive.kaiserpermanente.org/care-near-you/northern-california/santaclara/departments/pharmacy/ </t>
  </si>
  <si>
    <t>.35 Miles</t>
  </si>
  <si>
    <t>Bachrodt Elementary School</t>
  </si>
  <si>
    <t>Sprouts Farmers Market</t>
  </si>
  <si>
    <t>102 Sonora Avenue</t>
  </si>
  <si>
    <t>1028 E. Brokaw Road</t>
  </si>
  <si>
    <t>San Jose, 95110</t>
  </si>
  <si>
    <t>San Jose, Ca 95131</t>
  </si>
  <si>
    <t>Tina Ybarra</t>
  </si>
  <si>
    <t>bachrodt.sjusd.org</t>
  </si>
  <si>
    <t>www.sprouts.com/store/ca/san-jose-brokaw-rd/</t>
  </si>
  <si>
    <t>.11 miles</t>
  </si>
  <si>
    <t>1.35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</si>
  <si>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</si>
  <si>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</si>
  <si>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</si>
  <si>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</si>
  <si>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</si>
  <si>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</si>
  <si>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</si>
  <si>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</si>
  <si>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</si>
  <si>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</si>
  <si>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</si>
  <si>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</si>
  <si>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</si>
  <si>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</si>
  <si>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</si>
  <si>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</si>
  <si>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</si>
  <si>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</si>
  <si>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</si>
  <si>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</si>
  <si>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</si>
  <si>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</si>
  <si>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</si>
  <si>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</si>
  <si>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</si>
  <si>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</si>
  <si>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</si>
  <si>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</si>
  <si>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</si>
  <si>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</si>
  <si>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</si>
  <si>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</si>
  <si>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</si>
  <si>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</si>
  <si>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</si>
  <si>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</si>
  <si>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</si>
  <si>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</si>
  <si>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</si>
  <si>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</si>
  <si>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</si>
  <si>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</si>
  <si>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</si>
  <si>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</si>
  <si>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</si>
  <si>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</si>
  <si>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</si>
  <si>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</si>
  <si>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</si>
  <si>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</si>
  <si>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</si>
  <si>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</si>
  <si>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</si>
  <si>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</si>
  <si>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</si>
  <si>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</si>
  <si>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</si>
  <si>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</si>
  <si>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</si>
  <si>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</si>
  <si>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</si>
  <si>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</si>
  <si>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</si>
  <si>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</si>
  <si>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</si>
  <si>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</si>
  <si>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</si>
  <si>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</si>
  <si>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</si>
  <si>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</si>
  <si>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</si>
  <si>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</si>
  <si>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</si>
  <si>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</si>
  <si>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</si>
  <si>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</si>
  <si>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</si>
  <si>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</si>
  <si>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</si>
  <si>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</si>
  <si>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</si>
  <si>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</si>
  <si>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</si>
  <si>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</si>
  <si>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</si>
  <si>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</si>
  <si>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</si>
  <si>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</si>
  <si>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</si>
  <si>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</si>
  <si>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</si>
  <si>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</si>
  <si>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</si>
  <si>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</si>
  <si>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</si>
  <si>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</si>
  <si>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</si>
  <si>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</si>
  <si>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</si>
  <si>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</si>
  <si>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</si>
  <si>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</si>
  <si>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</si>
  <si>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</si>
  <si>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</si>
  <si>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</si>
  <si>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</si>
  <si>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</si>
  <si>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</si>
  <si>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</si>
  <si>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</si>
  <si>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</si>
  <si>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</si>
  <si>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</si>
  <si>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</si>
  <si>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</si>
  <si>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</si>
  <si>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</si>
  <si>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</si>
  <si>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</si>
  <si>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</si>
  <si>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</si>
  <si>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</si>
  <si>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</si>
  <si>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</si>
  <si>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</si>
  <si>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</si>
  <si>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</si>
  <si>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</si>
  <si>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</si>
  <si>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</si>
  <si>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</si>
  <si>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</si>
  <si>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</si>
  <si>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</si>
  <si>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</si>
  <si>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</si>
  <si>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</si>
  <si>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</si>
  <si>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</si>
  <si>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</si>
  <si>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</si>
  <si>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</si>
  <si>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</si>
  <si>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</si>
  <si>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</si>
  <si>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</si>
  <si>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</si>
  <si>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</si>
  <si>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</si>
  <si>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</si>
  <si>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</si>
  <si>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</si>
  <si>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</si>
  <si>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</si>
  <si>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</si>
  <si>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</si>
  <si>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</si>
  <si>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</si>
  <si>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</si>
  <si>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</si>
  <si>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</si>
  <si>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</si>
  <si>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</si>
  <si>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</si>
  <si>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</si>
  <si>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</si>
  <si>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</si>
  <si>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</si>
  <si>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</si>
  <si>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</si>
  <si>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</si>
  <si>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</si>
  <si>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</si>
  <si>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</si>
  <si>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</si>
  <si>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</si>
  <si>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</si>
  <si>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</si>
  <si>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</si>
  <si>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</si>
  <si>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</si>
  <si>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</si>
  <si>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</si>
  <si>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</si>
  <si>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</si>
  <si>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</si>
  <si>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</si>
  <si>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</si>
  <si>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</si>
  <si>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</si>
  <si>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</si>
  <si>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</si>
  <si>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</si>
  <si>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</si>
  <si>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</si>
  <si>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</si>
  <si>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</si>
  <si>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</si>
  <si>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</si>
  <si>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</si>
  <si>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</si>
  <si>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</si>
  <si>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</si>
  <si>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</si>
  <si>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</si>
  <si>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</si>
  <si>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</si>
  <si>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</si>
  <si>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</si>
  <si>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</si>
  <si>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</si>
  <si>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</si>
  <si>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</si>
  <si>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</si>
  <si>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</si>
  <si>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</si>
  <si>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</si>
  <si>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</si>
  <si>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</si>
  <si>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</si>
  <si>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</si>
  <si>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</si>
  <si>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</si>
  <si>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</si>
  <si>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</si>
  <si>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</si>
  <si>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</si>
  <si>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</si>
  <si>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</si>
  <si>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</si>
  <si>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</si>
  <si>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</si>
  <si>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</si>
  <si>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</si>
  <si>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</si>
  <si>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</si>
  <si>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</si>
  <si>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</si>
  <si>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</si>
  <si>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</si>
  <si>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</si>
  <si>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</si>
  <si>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</si>
  <si>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</si>
  <si>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</si>
  <si>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</si>
  <si>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</si>
  <si>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</si>
  <si>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</si>
  <si>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</si>
  <si>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</si>
  <si>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</si>
  <si>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</si>
  <si>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</si>
  <si>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</si>
  <si>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</si>
  <si>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</si>
  <si>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</si>
  <si>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</si>
  <si>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</si>
  <si>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</si>
  <si>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</si>
  <si>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</si>
  <si>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</si>
  <si>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</si>
  <si>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</si>
  <si>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</si>
  <si>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</si>
  <si>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</si>
  <si>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</si>
  <si>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</si>
  <si>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</si>
  <si>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</si>
  <si>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</si>
  <si>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</si>
  <si>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</si>
  <si>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</si>
  <si>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</si>
  <si>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</si>
  <si>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</si>
  <si>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</si>
  <si>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</si>
  <si>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</si>
  <si>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</si>
  <si>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</si>
  <si>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</si>
  <si>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</si>
  <si>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</si>
  <si>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</si>
  <si>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</si>
  <si>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</si>
  <si>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</si>
  <si>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</si>
  <si>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</si>
  <si>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</si>
  <si>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</si>
  <si>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</si>
  <si>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</si>
  <si>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</si>
  <si>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</si>
  <si>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</si>
  <si>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</si>
  <si>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</si>
  <si>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</si>
  <si>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</si>
  <si>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</si>
  <si>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</si>
  <si>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</si>
  <si>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</si>
  <si>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</si>
  <si>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</si>
  <si>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</si>
  <si>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</si>
  <si>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</si>
  <si>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</si>
  <si>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</si>
  <si>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</si>
  <si>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</si>
  <si>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</si>
  <si>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</si>
  <si>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</si>
  <si>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</si>
  <si>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</si>
  <si>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</si>
  <si>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</si>
  <si>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</si>
  <si>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</si>
  <si>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</si>
  <si>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</si>
  <si>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</si>
  <si>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</si>
  <si>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</si>
  <si>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</si>
  <si>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</si>
  <si>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</si>
  <si>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</si>
  <si>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</si>
  <si>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</si>
  <si>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</si>
  <si>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</si>
  <si>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</si>
  <si>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</si>
  <si>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</si>
  <si>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</si>
  <si>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</si>
  <si>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</si>
  <si>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</si>
  <si>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</si>
  <si>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</si>
  <si>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</si>
  <si>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</si>
  <si>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</si>
  <si>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</si>
  <si>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</si>
  <si>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</si>
  <si>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</si>
  <si>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</si>
  <si>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</si>
  <si>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</si>
  <si>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</si>
  <si>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</si>
  <si>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</si>
  <si>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</si>
  <si>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</si>
  <si>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</si>
  <si>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</si>
  <si>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</si>
  <si>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</si>
  <si>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</si>
  <si>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</si>
  <si>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</si>
  <si>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</si>
  <si>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</si>
  <si>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</si>
  <si>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</si>
  <si>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</si>
  <si>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</si>
  <si>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</si>
  <si>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</si>
  <si>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</si>
  <si>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</si>
  <si>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</si>
  <si>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</si>
  <si>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</si>
  <si>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</si>
  <si>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</si>
  <si>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</si>
  <si>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</si>
  <si>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</si>
  <si>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</si>
  <si>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</si>
  <si>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</si>
  <si>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</si>
  <si>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</si>
  <si>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</si>
  <si>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</si>
  <si>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</si>
  <si>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</si>
  <si>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</si>
  <si>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</si>
  <si>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</si>
  <si>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</si>
  <si>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</si>
  <si>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</si>
  <si>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</si>
  <si>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</si>
  <si>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</si>
  <si>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</si>
  <si>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</si>
  <si>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</si>
  <si>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</si>
  <si>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</si>
  <si>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</si>
  <si>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</si>
  <si>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</si>
  <si>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</si>
  <si>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</si>
  <si>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</si>
  <si>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</si>
  <si>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</si>
  <si>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</si>
  <si>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</si>
  <si>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</si>
  <si>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</si>
  <si>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</si>
  <si>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</si>
  <si>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</si>
  <si>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</si>
  <si>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</si>
  <si>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</si>
  <si>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</si>
  <si>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</si>
  <si>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</si>
  <si>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</si>
  <si>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</si>
  <si>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</si>
  <si>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</si>
  <si>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</si>
  <si>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</si>
  <si>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</si>
  <si>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NOTE: This project is not requesting state tax credits.  We have checked the Special Needs 130% boost plus state credit box because it is the only way we could get the application to reflect the 130% boost we are allowed as a Special Needs housing type project.</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</si>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</sst>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2"/>
      <name val="Aptos"/>
      <family val="2"/>
      <charset val="1"/>
    </font>
    <font>
      <sz val="11"/>
      <color rgb="FF242424"/>
      <name val="Aptos Narrow"/>
    </font>
    <font>
      <sz val="11"/>
      <color rgb="FF000000"/>
      <name val="Calibri"/>
      <family val="2"/>
      <charset val="1"/>
    </font>
    <font>
      <sz val="11"/>
      <name val="Calibri Light"/>
      <family val="2"/>
      <charset val="1"/>
    </font>
    <font>
      <b/>
      <sz val="11"/>
      <color rgb="FF464646"/>
      <name val="Open Sans"/>
      <family val="2"/>
      <charset val="1"/>
    </font>
    <font>
      <sz val="11"/>
      <color rgb="FF000000"/>
      <name val="Calibri"/>
      <family val="2"/>
    </font>
    <font>
      <b/>
      <sz val="11"/>
      <color rgb="FF000000"/>
      <name val="Calibri"/>
      <family val="2"/>
    </font>
    <font>
      <sz val="11"/>
      <color rgb="FF242424"/>
      <name val="Aptos Narrow"/>
      <charset val="1"/>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91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53" borderId="4" xfId="0"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53" borderId="5" xfId="0" applyFill="1" applyBorder="1" applyAlignment="1" applyProtection="1">
      <alignment horizontal="left"/>
      <protection locked="0"/>
    </xf>
    <xf numFmtId="167" fontId="3" fillId="53"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33" fillId="7"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0" fontId="133" fillId="7" borderId="12" xfId="0" applyFont="1" applyFill="1" applyBorder="1" applyAlignment="1" applyProtection="1">
      <alignment horizontal="lef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32" fillId="7" borderId="5"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0" fontId="3" fillId="53" borderId="4" xfId="0" applyFont="1" applyFill="1" applyBorder="1" applyAlignment="1" applyProtection="1">
      <alignment horizontal="lef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33" fillId="7" borderId="4" xfId="0" applyFont="1" applyFill="1" applyBorder="1" applyAlignment="1" applyProtection="1">
      <alignment horizontal="left"/>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169" fontId="133" fillId="7" borderId="9" xfId="0" applyNumberFormat="1" applyFont="1" applyFill="1" applyBorder="1" applyAlignment="1" applyProtection="1">
      <alignment horizontal="right"/>
      <protection locked="0"/>
    </xf>
    <xf numFmtId="167" fontId="139" fillId="7" borderId="4" xfId="0" applyNumberFormat="1"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7" fontId="3" fillId="53"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53"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3" fillId="53" borderId="5" xfId="245" applyFont="1" applyFill="1" applyBorder="1" applyAlignment="1" applyProtection="1">
      <alignment horizontal="left"/>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53"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136" fillId="53" borderId="5" xfId="0" applyNumberFormat="1" applyFont="1" applyFill="1" applyBorder="1" applyAlignment="1" applyProtection="1">
      <alignment horizontal="left"/>
      <protection locked="0"/>
    </xf>
    <xf numFmtId="167" fontId="0" fillId="53"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167" fontId="0" fillId="53" borderId="4" xfId="0" applyNumberFormat="1" applyFill="1" applyBorder="1" applyAlignment="1" applyProtection="1">
      <alignment horizontal="lef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39" fillId="7" borderId="4" xfId="0" applyFont="1" applyFill="1" applyBorder="1" applyAlignment="1" applyProtection="1">
      <alignment horizontal="left"/>
      <protection locked="0"/>
    </xf>
    <xf numFmtId="167" fontId="133" fillId="7" borderId="4" xfId="0" applyNumberFormat="1" applyFont="1" applyFill="1" applyBorder="1" applyAlignment="1" applyProtection="1">
      <alignment horizontal="left"/>
      <protection locked="0"/>
    </xf>
    <xf numFmtId="0" fontId="139" fillId="7" borderId="5" xfId="0" applyFont="1" applyFill="1" applyBorder="1" applyAlignment="1" applyProtection="1">
      <alignment horizontal="left"/>
      <protection locked="0"/>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133" fillId="51" borderId="3" xfId="0" applyNumberFormat="1" applyFont="1" applyFill="1" applyBorder="1" applyAlignment="1" applyProtection="1">
      <alignment horizontal="center"/>
      <protection locked="0"/>
    </xf>
    <xf numFmtId="0" fontId="133" fillId="7" borderId="4" xfId="0" applyFont="1" applyFill="1" applyBorder="1" applyAlignment="1" applyProtection="1">
      <alignment vertical="center"/>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67" fontId="135" fillId="7" borderId="4" xfId="0" applyNumberFormat="1" applyFont="1" applyFill="1" applyBorder="1" applyAlignment="1" applyProtection="1">
      <alignment horizontal="left"/>
      <protection locked="0"/>
    </xf>
    <xf numFmtId="0" fontId="134" fillId="7" borderId="5" xfId="0" applyFont="1" applyFill="1" applyBorder="1" applyAlignment="1" applyProtection="1">
      <alignment horizontal="lef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33" fillId="7" borderId="3" xfId="0" applyNumberFormat="1" applyFont="1" applyFill="1" applyBorder="1" applyAlignment="1" applyProtection="1">
      <alignment horizontal="right"/>
      <protection locked="0"/>
    </xf>
    <xf numFmtId="0" fontId="0" fillId="53" borderId="4" xfId="0" applyFill="1" applyBorder="1" applyAlignment="1" applyProtection="1">
      <alignment horizontal="center"/>
      <protection locked="0"/>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33" fillId="51" borderId="5" xfId="0" applyFont="1" applyFill="1" applyBorder="1" applyAlignment="1" applyProtection="1">
      <alignment horizontal="left"/>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138" fillId="7" borderId="5" xfId="0" applyFont="1" applyFill="1" applyBorder="1" applyAlignment="1" applyProtection="1">
      <alignment horizontal="left"/>
      <protection locked="0"/>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5" sqref="E25:AK25"/>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8" workbookViewId="0">
      <selection activeCell="E90" sqref="E90"/>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48" t="s">
        <v>2305</v>
      </c>
      <c r="B1" s="1848"/>
      <c r="C1" s="1848"/>
      <c r="D1" s="1848"/>
      <c r="E1" s="1848"/>
      <c r="F1" s="1848"/>
      <c r="G1" s="1848"/>
      <c r="H1" s="1848"/>
      <c r="I1" s="1848"/>
      <c r="J1" s="1848"/>
      <c r="K1" s="1848"/>
      <c r="L1" s="1848"/>
      <c r="M1" s="1848"/>
      <c r="N1" s="1848"/>
      <c r="O1" s="1848"/>
      <c r="P1" s="1848"/>
      <c r="Q1" s="1848"/>
      <c r="R1" s="1848"/>
      <c r="S1" s="1848"/>
    </row>
    <row r="2" spans="1:19" ht="15" customHeight="1">
      <c r="A2" s="1848"/>
      <c r="B2" s="1848"/>
      <c r="C2" s="1848"/>
      <c r="D2" s="1848"/>
      <c r="E2" s="1848"/>
      <c r="F2" s="1848"/>
      <c r="G2" s="1848"/>
      <c r="H2" s="1848"/>
      <c r="I2" s="1848"/>
      <c r="J2" s="1848"/>
      <c r="K2" s="1848"/>
      <c r="L2" s="1848"/>
      <c r="M2" s="1848"/>
      <c r="N2" s="1848"/>
      <c r="O2" s="1848"/>
      <c r="P2" s="1848"/>
      <c r="Q2" s="1848"/>
      <c r="R2" s="1848"/>
      <c r="S2" s="1848"/>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33" t="s">
        <v>2306</v>
      </c>
      <c r="C4" s="1833"/>
      <c r="D4" s="1833"/>
      <c r="E4" s="1833"/>
      <c r="F4" s="1833"/>
      <c r="G4" s="1833"/>
      <c r="H4" s="1833"/>
      <c r="I4" s="1833"/>
      <c r="J4" s="1833"/>
      <c r="K4" s="1833"/>
      <c r="L4" s="1833"/>
      <c r="M4" s="1833"/>
      <c r="N4" s="1833"/>
      <c r="O4" s="1833"/>
      <c r="P4" s="1833"/>
      <c r="Q4" s="1833"/>
      <c r="R4" s="1833"/>
    </row>
    <row r="5" spans="1:19" ht="15" customHeight="1">
      <c r="A5" s="420"/>
      <c r="B5" s="1833"/>
      <c r="C5" s="1833"/>
      <c r="D5" s="1833"/>
      <c r="E5" s="1833"/>
      <c r="F5" s="1833"/>
      <c r="G5" s="1833"/>
      <c r="H5" s="1833"/>
      <c r="I5" s="1833"/>
      <c r="J5" s="1833"/>
      <c r="K5" s="1833"/>
      <c r="L5" s="1833"/>
      <c r="M5" s="1833"/>
      <c r="N5" s="1833"/>
      <c r="O5" s="1833"/>
      <c r="P5" s="1833"/>
      <c r="Q5" s="1833"/>
      <c r="R5" s="1833"/>
    </row>
    <row r="6" spans="1:19" ht="15" customHeight="1">
      <c r="A6" s="420"/>
      <c r="B6" s="1833"/>
      <c r="C6" s="1833"/>
      <c r="D6" s="1833"/>
      <c r="E6" s="1833"/>
      <c r="F6" s="1833"/>
      <c r="G6" s="1833"/>
      <c r="H6" s="1833"/>
      <c r="I6" s="1833"/>
      <c r="J6" s="1833"/>
      <c r="K6" s="1833"/>
      <c r="L6" s="1833"/>
      <c r="M6" s="1833"/>
      <c r="N6" s="1833"/>
      <c r="O6" s="1833"/>
      <c r="P6" s="1833"/>
      <c r="Q6" s="1833"/>
      <c r="R6" s="1833"/>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33" t="s">
        <v>2307</v>
      </c>
      <c r="C8" s="1833"/>
      <c r="D8" s="1833"/>
      <c r="E8" s="1833"/>
      <c r="F8" s="1833"/>
      <c r="G8" s="1833"/>
      <c r="H8" s="1833"/>
      <c r="I8" s="1833"/>
      <c r="J8" s="1833"/>
      <c r="K8" s="1833"/>
      <c r="L8" s="1833"/>
      <c r="M8" s="1833"/>
      <c r="N8" s="1833"/>
      <c r="O8" s="1833"/>
      <c r="P8" s="1833"/>
      <c r="Q8" s="1833"/>
      <c r="R8" s="1833"/>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33" t="s">
        <v>2308</v>
      </c>
      <c r="C10" s="1833"/>
      <c r="D10" s="1833"/>
      <c r="E10" s="1833"/>
      <c r="F10" s="1833"/>
      <c r="G10" s="1833"/>
      <c r="H10" s="1833"/>
      <c r="I10" s="1833"/>
      <c r="J10" s="1833"/>
      <c r="K10" s="1833"/>
      <c r="L10" s="1833"/>
      <c r="M10" s="1833"/>
      <c r="N10" s="1833"/>
      <c r="O10" s="1833"/>
      <c r="P10" s="1833"/>
      <c r="Q10" s="1833"/>
      <c r="R10" s="1833"/>
    </row>
    <row r="11" spans="1:19" ht="29.25" customHeight="1">
      <c r="A11" s="420"/>
      <c r="B11" s="1833"/>
      <c r="C11" s="1833"/>
      <c r="D11" s="1833"/>
      <c r="E11" s="1833"/>
      <c r="F11" s="1833"/>
      <c r="G11" s="1833"/>
      <c r="H11" s="1833"/>
      <c r="I11" s="1833"/>
      <c r="J11" s="1833"/>
      <c r="K11" s="1833"/>
      <c r="L11" s="1833"/>
      <c r="M11" s="1833"/>
      <c r="N11" s="1833"/>
      <c r="O11" s="1833"/>
      <c r="P11" s="1833"/>
      <c r="Q11" s="1833"/>
      <c r="R11" s="1833"/>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33" t="s">
        <v>2309</v>
      </c>
      <c r="C13" s="1833"/>
      <c r="D13" s="1833"/>
      <c r="E13" s="1833"/>
      <c r="F13" s="1833"/>
      <c r="G13" s="1833"/>
      <c r="H13" s="1833"/>
      <c r="I13" s="1833"/>
      <c r="J13" s="1833"/>
      <c r="K13" s="1833"/>
      <c r="L13" s="1833"/>
      <c r="M13" s="1833"/>
      <c r="N13" s="1833"/>
      <c r="O13" s="1833"/>
      <c r="P13" s="1833"/>
      <c r="Q13" s="1833"/>
      <c r="R13" s="1833"/>
    </row>
    <row r="14" spans="1:19" ht="15" customHeight="1">
      <c r="A14" s="420"/>
      <c r="B14" s="1833"/>
      <c r="C14" s="1833"/>
      <c r="D14" s="1833"/>
      <c r="E14" s="1833"/>
      <c r="F14" s="1833"/>
      <c r="G14" s="1833"/>
      <c r="H14" s="1833"/>
      <c r="I14" s="1833"/>
      <c r="J14" s="1833"/>
      <c r="K14" s="1833"/>
      <c r="L14" s="1833"/>
      <c r="M14" s="1833"/>
      <c r="N14" s="1833"/>
      <c r="O14" s="1833"/>
      <c r="P14" s="1833"/>
      <c r="Q14" s="1833"/>
      <c r="R14" s="1833"/>
    </row>
    <row r="15" spans="1:19" ht="15" customHeight="1">
      <c r="A15" s="420"/>
      <c r="B15" s="1833"/>
      <c r="C15" s="1833"/>
      <c r="D15" s="1833"/>
      <c r="E15" s="1833"/>
      <c r="F15" s="1833"/>
      <c r="G15" s="1833"/>
      <c r="H15" s="1833"/>
      <c r="I15" s="1833"/>
      <c r="J15" s="1833"/>
      <c r="K15" s="1833"/>
      <c r="L15" s="1833"/>
      <c r="M15" s="1833"/>
      <c r="N15" s="1833"/>
      <c r="O15" s="1833"/>
      <c r="P15" s="1833"/>
      <c r="Q15" s="1833"/>
      <c r="R15" s="1833"/>
    </row>
    <row r="16" spans="1:19" ht="15" customHeight="1">
      <c r="A16" s="420"/>
      <c r="B16" s="1833"/>
      <c r="C16" s="1833"/>
      <c r="D16" s="1833"/>
      <c r="E16" s="1833"/>
      <c r="F16" s="1833"/>
      <c r="G16" s="1833"/>
      <c r="H16" s="1833"/>
      <c r="I16" s="1833"/>
      <c r="J16" s="1833"/>
      <c r="K16" s="1833"/>
      <c r="L16" s="1833"/>
      <c r="M16" s="1833"/>
      <c r="N16" s="1833"/>
      <c r="O16" s="1833"/>
      <c r="P16" s="1833"/>
      <c r="Q16" s="1833"/>
      <c r="R16" s="1833"/>
    </row>
    <row r="17" spans="1:18" ht="15" customHeight="1">
      <c r="A17" s="420"/>
      <c r="B17" s="1833"/>
      <c r="C17" s="1833"/>
      <c r="D17" s="1833"/>
      <c r="E17" s="1833"/>
      <c r="F17" s="1833"/>
      <c r="G17" s="1833"/>
      <c r="H17" s="1833"/>
      <c r="I17" s="1833"/>
      <c r="J17" s="1833"/>
      <c r="K17" s="1833"/>
      <c r="L17" s="1833"/>
      <c r="M17" s="1833"/>
      <c r="N17" s="1833"/>
      <c r="O17" s="1833"/>
      <c r="P17" s="1833"/>
      <c r="Q17" s="1833"/>
      <c r="R17" s="1833"/>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33" t="s">
        <v>2310</v>
      </c>
      <c r="C19" s="1833"/>
      <c r="D19" s="1833"/>
      <c r="E19" s="1833"/>
      <c r="F19" s="1833"/>
      <c r="G19" s="1833"/>
      <c r="H19" s="1833"/>
      <c r="I19" s="1833"/>
      <c r="J19" s="1833"/>
      <c r="K19" s="1833"/>
      <c r="L19" s="1833"/>
      <c r="M19" s="1833"/>
      <c r="N19" s="1833"/>
      <c r="O19" s="1833"/>
      <c r="P19" s="1833"/>
      <c r="Q19" s="1833"/>
      <c r="R19" s="1833"/>
    </row>
    <row r="20" spans="1:18" ht="15" customHeight="1">
      <c r="A20" s="420"/>
      <c r="B20" s="1833"/>
      <c r="C20" s="1833"/>
      <c r="D20" s="1833"/>
      <c r="E20" s="1833"/>
      <c r="F20" s="1833"/>
      <c r="G20" s="1833"/>
      <c r="H20" s="1833"/>
      <c r="I20" s="1833"/>
      <c r="J20" s="1833"/>
      <c r="K20" s="1833"/>
      <c r="L20" s="1833"/>
      <c r="M20" s="1833"/>
      <c r="N20" s="1833"/>
      <c r="O20" s="1833"/>
      <c r="P20" s="1833"/>
      <c r="Q20" s="1833"/>
      <c r="R20" s="1833"/>
    </row>
    <row r="21" spans="1:18" ht="15" customHeight="1">
      <c r="A21" s="420"/>
      <c r="B21" s="1833"/>
      <c r="C21" s="1833"/>
      <c r="D21" s="1833"/>
      <c r="E21" s="1833"/>
      <c r="F21" s="1833"/>
      <c r="G21" s="1833"/>
      <c r="H21" s="1833"/>
      <c r="I21" s="1833"/>
      <c r="J21" s="1833"/>
      <c r="K21" s="1833"/>
      <c r="L21" s="1833"/>
      <c r="M21" s="1833"/>
      <c r="N21" s="1833"/>
      <c r="O21" s="1833"/>
      <c r="P21" s="1833"/>
      <c r="Q21" s="1833"/>
      <c r="R21" s="1833"/>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33" t="s">
        <v>2311</v>
      </c>
      <c r="C23" s="1833"/>
      <c r="D23" s="1833"/>
      <c r="E23" s="1833"/>
      <c r="F23" s="1833"/>
      <c r="G23" s="1833"/>
      <c r="H23" s="1833"/>
      <c r="I23" s="1833"/>
      <c r="J23" s="1833"/>
      <c r="K23" s="1833"/>
      <c r="L23" s="1833"/>
      <c r="M23" s="1833"/>
      <c r="N23" s="1833"/>
      <c r="O23" s="1833"/>
      <c r="P23" s="1833"/>
      <c r="Q23" s="1833"/>
      <c r="R23" s="1833"/>
    </row>
    <row r="24" spans="1:18" ht="15" customHeight="1">
      <c r="B24" s="1833"/>
      <c r="C24" s="1833"/>
      <c r="D24" s="1833"/>
      <c r="E24" s="1833"/>
      <c r="F24" s="1833"/>
      <c r="G24" s="1833"/>
      <c r="H24" s="1833"/>
      <c r="I24" s="1833"/>
      <c r="J24" s="1833"/>
      <c r="K24" s="1833"/>
      <c r="L24" s="1833"/>
      <c r="M24" s="1833"/>
      <c r="N24" s="1833"/>
      <c r="O24" s="1833"/>
      <c r="P24" s="1833"/>
      <c r="Q24" s="1833"/>
      <c r="R24" s="1833"/>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33" t="s">
        <v>2312</v>
      </c>
      <c r="C26" s="1833"/>
      <c r="D26" s="1833"/>
      <c r="E26" s="1833"/>
      <c r="F26" s="1833"/>
      <c r="G26" s="1833"/>
      <c r="H26" s="1833"/>
      <c r="I26" s="1833"/>
      <c r="J26" s="1833"/>
      <c r="K26" s="1833"/>
      <c r="L26" s="1833"/>
      <c r="M26" s="1833"/>
      <c r="N26" s="1833"/>
      <c r="O26" s="1833"/>
      <c r="P26" s="1833"/>
      <c r="Q26" s="1833"/>
      <c r="R26" s="1833"/>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2313</v>
      </c>
    </row>
    <row r="29" spans="1:18" ht="15" customHeight="1">
      <c r="B29" s="1859" t="s">
        <v>2314</v>
      </c>
      <c r="C29" s="1859"/>
      <c r="D29" s="1859"/>
      <c r="E29" s="1859"/>
      <c r="F29" s="1859"/>
      <c r="G29" s="1859"/>
      <c r="H29" s="303"/>
      <c r="I29" s="303"/>
      <c r="J29" s="303"/>
      <c r="K29" s="303"/>
      <c r="L29" s="303"/>
      <c r="M29" s="303"/>
      <c r="N29" s="303"/>
      <c r="O29" s="1857" t="s">
        <v>2315</v>
      </c>
    </row>
    <row r="30" spans="1:18" ht="15" customHeight="1">
      <c r="B30" s="1859"/>
      <c r="C30" s="1859"/>
      <c r="D30" s="1859"/>
      <c r="E30" s="1859"/>
      <c r="F30" s="1859"/>
      <c r="G30" s="1859"/>
      <c r="H30" s="303"/>
      <c r="I30" s="303"/>
      <c r="J30" s="303"/>
      <c r="K30" s="303"/>
      <c r="L30" s="303"/>
      <c r="M30" s="303"/>
      <c r="N30" s="303"/>
      <c r="O30" s="1857"/>
    </row>
    <row r="31" spans="1:18" ht="15" customHeight="1">
      <c r="B31" s="1859"/>
      <c r="C31" s="1859"/>
      <c r="D31" s="1859"/>
      <c r="E31" s="1859"/>
      <c r="F31" s="1859"/>
      <c r="G31" s="1859"/>
      <c r="H31" s="303"/>
      <c r="I31" s="303"/>
      <c r="J31" s="303"/>
      <c r="K31" s="303"/>
      <c r="L31" s="303"/>
      <c r="M31" s="303"/>
      <c r="N31" s="303"/>
      <c r="O31" s="1857"/>
    </row>
    <row r="32" spans="1:18" ht="15" customHeight="1">
      <c r="B32" s="1860"/>
      <c r="C32" s="1860"/>
      <c r="D32" s="1860"/>
      <c r="E32" s="1860"/>
      <c r="F32" s="1860"/>
      <c r="G32" s="1860"/>
      <c r="I32" s="1827" t="s">
        <v>2316</v>
      </c>
      <c r="J32" s="1828" t="s">
        <v>2317</v>
      </c>
      <c r="K32" s="1861">
        <v>1</v>
      </c>
      <c r="M32" s="422"/>
      <c r="O32" s="1858"/>
      <c r="P32" s="1828" t="s">
        <v>2318</v>
      </c>
    </row>
    <row r="33" spans="1:21" ht="15" customHeight="1">
      <c r="B33" s="1862" t="s">
        <v>2319</v>
      </c>
      <c r="C33" s="1862"/>
      <c r="D33" s="1862"/>
      <c r="E33" s="1862"/>
      <c r="F33" s="1862"/>
      <c r="G33" s="1862"/>
      <c r="I33" s="1827"/>
      <c r="J33" s="1828"/>
      <c r="K33" s="1861"/>
      <c r="M33" s="423"/>
      <c r="O33" s="1862" t="s">
        <v>2319</v>
      </c>
      <c r="P33" s="1828"/>
    </row>
    <row r="34" spans="1:21" ht="15" customHeight="1">
      <c r="B34" s="1827"/>
      <c r="C34" s="1827"/>
      <c r="D34" s="1827"/>
      <c r="E34" s="1827"/>
      <c r="F34" s="1827"/>
      <c r="G34" s="1827"/>
      <c r="I34" s="554"/>
      <c r="J34" s="553"/>
      <c r="K34" s="440"/>
      <c r="M34" s="423"/>
      <c r="O34" s="1827"/>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9" t="s">
        <v>2320</v>
      </c>
      <c r="C37" s="1849"/>
      <c r="D37" s="1849"/>
      <c r="E37" s="1849"/>
      <c r="F37" s="429"/>
      <c r="G37" s="429"/>
      <c r="H37" s="430"/>
      <c r="I37" s="303"/>
      <c r="J37" s="303"/>
      <c r="L37" s="442"/>
      <c r="M37" s="442"/>
      <c r="N37" s="442"/>
      <c r="O37" s="442"/>
      <c r="P37" s="442"/>
      <c r="Q37" s="442"/>
      <c r="R37" s="442"/>
      <c r="S37" s="442"/>
    </row>
    <row r="38" spans="1:21" ht="15" customHeight="1">
      <c r="B38" s="1836" t="s">
        <v>2321</v>
      </c>
      <c r="C38" s="1836"/>
      <c r="D38" s="1836"/>
      <c r="E38" s="1836"/>
      <c r="F38" s="556"/>
      <c r="G38" s="431">
        <f>D110</f>
        <v>9968822.1694720592</v>
      </c>
      <c r="H38" s="311"/>
      <c r="I38" s="432"/>
      <c r="J38" s="311"/>
      <c r="K38" s="1845" t="s">
        <v>2322</v>
      </c>
      <c r="L38" s="1845"/>
      <c r="M38" s="1845"/>
      <c r="N38" s="1845"/>
      <c r="O38" s="1845"/>
      <c r="P38" s="1845"/>
      <c r="Q38" s="1845"/>
      <c r="R38" s="1845"/>
      <c r="S38" s="1845"/>
    </row>
    <row r="39" spans="1:21" ht="15" customHeight="1">
      <c r="B39" s="1844" t="s">
        <v>2323</v>
      </c>
      <c r="C39" s="1844"/>
      <c r="D39" s="1844"/>
      <c r="E39" s="1844"/>
      <c r="F39" s="556"/>
      <c r="G39" s="539"/>
      <c r="H39" s="311"/>
      <c r="I39" s="432"/>
      <c r="J39" s="311"/>
      <c r="K39" s="1845"/>
      <c r="L39" s="1845"/>
      <c r="M39" s="1845"/>
      <c r="N39" s="1845"/>
      <c r="O39" s="1845"/>
      <c r="P39" s="1845"/>
      <c r="Q39" s="1845"/>
      <c r="R39" s="1845"/>
      <c r="S39" s="1845"/>
    </row>
    <row r="40" spans="1:21" ht="15" customHeight="1">
      <c r="B40" s="1844" t="s">
        <v>2324</v>
      </c>
      <c r="C40" s="1844"/>
      <c r="D40" s="1844"/>
      <c r="E40" s="1844"/>
      <c r="F40" s="556"/>
      <c r="G40" s="539"/>
      <c r="H40" s="311"/>
      <c r="I40" s="432"/>
      <c r="J40" s="311"/>
      <c r="K40" s="1845"/>
      <c r="L40" s="1845"/>
      <c r="M40" s="1845"/>
      <c r="N40" s="1845"/>
      <c r="O40" s="1845"/>
      <c r="P40" s="1845"/>
      <c r="Q40" s="1845"/>
      <c r="R40" s="1845"/>
      <c r="S40" s="1845"/>
    </row>
    <row r="41" spans="1:21" ht="15" customHeight="1">
      <c r="B41" s="1854" t="s">
        <v>2325</v>
      </c>
      <c r="C41" s="1854"/>
      <c r="D41" s="1854"/>
      <c r="E41" s="1854"/>
      <c r="F41" s="556"/>
      <c r="G41" s="311"/>
      <c r="H41" s="311"/>
      <c r="I41" s="432"/>
      <c r="J41" s="311"/>
      <c r="K41" s="1838" t="s">
        <v>326</v>
      </c>
      <c r="L41" s="1838"/>
      <c r="M41" s="1838"/>
      <c r="N41" s="1838"/>
      <c r="O41" s="1838"/>
      <c r="P41" s="1838"/>
      <c r="Q41" s="1838"/>
      <c r="R41" s="1838"/>
      <c r="S41" s="1838"/>
    </row>
    <row r="42" spans="1:21" ht="15" customHeight="1">
      <c r="B42" s="541" t="str">
        <f>Application!C631</f>
        <v>City of San Jose Loan</v>
      </c>
      <c r="C42" s="541"/>
      <c r="D42" s="535"/>
      <c r="E42" s="558">
        <f>Application!AO631</f>
        <v>5700000</v>
      </c>
      <c r="F42" s="556"/>
      <c r="G42" s="311"/>
      <c r="H42" s="311"/>
      <c r="I42" s="432"/>
      <c r="J42" s="311"/>
      <c r="K42" s="1843"/>
      <c r="L42" s="1843"/>
      <c r="M42" s="1843"/>
      <c r="N42" s="1843"/>
      <c r="O42" s="1843"/>
      <c r="Q42" s="1825"/>
      <c r="R42" s="1825"/>
      <c r="U42" s="648" t="s">
        <v>326</v>
      </c>
    </row>
    <row r="43" spans="1:21" ht="15" customHeight="1">
      <c r="B43" s="541" t="str">
        <f>Application!C632</f>
        <v>SCCHA MTW Loan</v>
      </c>
      <c r="C43" s="541"/>
      <c r="D43" s="417"/>
      <c r="E43" s="558">
        <f>Application!AO632</f>
        <v>9517984</v>
      </c>
      <c r="F43" s="556"/>
      <c r="G43" s="311"/>
      <c r="H43" s="311"/>
      <c r="I43" s="432"/>
      <c r="J43" s="311"/>
      <c r="L43" s="311"/>
      <c r="M43" s="303"/>
      <c r="N43" s="303"/>
      <c r="O43" s="303"/>
      <c r="Q43" s="433"/>
      <c r="R43" s="433"/>
      <c r="U43" s="648" t="s">
        <v>2326</v>
      </c>
    </row>
    <row r="44" spans="1:21" ht="15" customHeight="1">
      <c r="B44" s="541"/>
      <c r="C44" s="541"/>
      <c r="D44" s="417"/>
      <c r="E44" s="558"/>
      <c r="F44" s="556"/>
      <c r="G44" s="311"/>
      <c r="H44" s="311"/>
      <c r="I44" s="432"/>
      <c r="K44" s="310" t="s">
        <v>2327</v>
      </c>
      <c r="Q44" s="1825"/>
      <c r="R44" s="1825"/>
    </row>
    <row r="45" spans="1:21" ht="15" customHeight="1">
      <c r="B45" s="541"/>
      <c r="C45" s="541"/>
      <c r="D45" s="417"/>
      <c r="E45" s="558"/>
      <c r="F45" s="556"/>
      <c r="G45" s="311"/>
      <c r="H45" s="311"/>
      <c r="I45" s="432"/>
      <c r="K45" s="315" t="s">
        <v>2328</v>
      </c>
      <c r="L45" s="315"/>
      <c r="M45" s="311"/>
      <c r="N45" s="311"/>
      <c r="O45" s="311"/>
      <c r="P45" s="311"/>
    </row>
    <row r="46" spans="1:21" ht="15" customHeight="1">
      <c r="B46" s="541"/>
      <c r="C46" s="541"/>
      <c r="D46" s="417"/>
      <c r="E46" s="558"/>
      <c r="F46" s="556"/>
      <c r="G46" s="311"/>
      <c r="H46" s="311"/>
      <c r="I46" s="432"/>
      <c r="J46" s="311"/>
      <c r="K46" s="1822" t="s">
        <v>2329</v>
      </c>
      <c r="L46" s="1822"/>
      <c r="M46" s="1822"/>
      <c r="N46" s="1822"/>
      <c r="O46" s="1822"/>
      <c r="Q46" s="1820"/>
      <c r="R46" s="1820"/>
    </row>
    <row r="47" spans="1:21" ht="15" customHeight="1">
      <c r="B47" s="541"/>
      <c r="C47" s="541"/>
      <c r="D47" s="417"/>
      <c r="E47" s="558"/>
      <c r="F47" s="556"/>
      <c r="G47" s="311"/>
      <c r="H47" s="311"/>
      <c r="I47" s="432"/>
      <c r="J47" s="311"/>
      <c r="K47" s="1821" t="s">
        <v>2330</v>
      </c>
      <c r="L47" s="1821"/>
      <c r="M47" s="1821"/>
      <c r="N47" s="1821"/>
      <c r="O47" s="1821"/>
      <c r="Q47" s="1856"/>
      <c r="R47" s="1856"/>
    </row>
    <row r="48" spans="1:21" ht="15" customHeight="1">
      <c r="B48" s="541"/>
      <c r="C48" s="541"/>
      <c r="D48" s="417"/>
      <c r="E48" s="558"/>
      <c r="F48" s="556"/>
      <c r="G48" s="311"/>
      <c r="H48" s="311"/>
      <c r="I48" s="432"/>
      <c r="J48" s="311"/>
      <c r="K48" s="1855" t="s">
        <v>2331</v>
      </c>
      <c r="L48" s="1855"/>
      <c r="M48" s="1855"/>
      <c r="N48" s="1855"/>
      <c r="O48" s="1855"/>
      <c r="Q48" s="1822">
        <f>Q46+Q47</f>
        <v>0</v>
      </c>
      <c r="R48" s="1822"/>
    </row>
    <row r="49" spans="1:29" ht="15" customHeight="1">
      <c r="B49" s="541"/>
      <c r="C49" s="541"/>
      <c r="D49" s="417"/>
      <c r="E49" s="558"/>
      <c r="F49" s="556"/>
      <c r="G49" s="311"/>
      <c r="H49" s="311"/>
      <c r="I49" s="432"/>
      <c r="J49" s="311"/>
    </row>
    <row r="50" spans="1:29" ht="15" customHeight="1">
      <c r="B50" s="537" t="s">
        <v>2332</v>
      </c>
      <c r="C50" s="537"/>
      <c r="D50" s="540"/>
      <c r="E50" s="538">
        <f>MAX(IF('Sources and Uses Budget'!B15="",0,'Sources and Uses Budget'!B15),IF(Application!AG395="",0,Application!AG395))</f>
        <v>0</v>
      </c>
      <c r="F50" s="556"/>
      <c r="G50" s="311"/>
      <c r="H50" s="311"/>
      <c r="I50" s="432"/>
      <c r="J50" s="311"/>
      <c r="K50" s="315" t="s">
        <v>2333</v>
      </c>
      <c r="Q50" s="1820" t="s">
        <v>2334</v>
      </c>
      <c r="R50" s="1820"/>
    </row>
    <row r="51" spans="1:29" ht="15" customHeight="1">
      <c r="B51" s="536" t="s">
        <v>2335</v>
      </c>
      <c r="C51" s="536"/>
      <c r="D51" s="540"/>
      <c r="E51" s="538"/>
      <c r="F51" s="556"/>
      <c r="G51" s="311"/>
      <c r="H51" s="311"/>
      <c r="I51" s="432"/>
      <c r="J51" s="311"/>
    </row>
    <row r="52" spans="1:29" ht="15" customHeight="1">
      <c r="B52" s="1836" t="s">
        <v>2336</v>
      </c>
      <c r="C52" s="1836"/>
      <c r="D52" s="1836"/>
      <c r="E52" s="1836"/>
      <c r="F52" s="556"/>
      <c r="G52" s="431">
        <f>SUM(E42:E49)-ABS(E50)-ABS(E51)</f>
        <v>15217984</v>
      </c>
      <c r="H52" s="311"/>
      <c r="I52" s="432"/>
      <c r="J52" s="311"/>
    </row>
    <row r="53" spans="1:29" ht="15" customHeight="1">
      <c r="C53" s="436"/>
      <c r="D53" s="436" t="s">
        <v>1400</v>
      </c>
      <c r="E53" s="436"/>
      <c r="F53" s="436"/>
      <c r="G53" s="437">
        <f>SUM(G38:G40)+G52</f>
        <v>25186806.169472061</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2093</v>
      </c>
    </row>
    <row r="56" spans="1:29" ht="15" customHeight="1">
      <c r="B56" s="1835" t="s">
        <v>2337</v>
      </c>
      <c r="C56" s="1835"/>
      <c r="D56" s="556"/>
      <c r="E56" s="556"/>
      <c r="F56" s="556"/>
      <c r="G56" s="556"/>
      <c r="H56" s="556"/>
      <c r="I56" s="556"/>
      <c r="J56" s="556"/>
      <c r="K56" s="556"/>
      <c r="L56" s="556"/>
      <c r="M56" s="556"/>
      <c r="N56" s="556"/>
      <c r="O56" s="556"/>
      <c r="P56" s="556"/>
      <c r="U56" s="839" t="s">
        <v>2338</v>
      </c>
      <c r="AC56" s="840">
        <v>0.2</v>
      </c>
    </row>
    <row r="57" spans="1:29" ht="15" customHeight="1">
      <c r="A57" s="434"/>
      <c r="B57" s="1834" t="s">
        <v>2339</v>
      </c>
      <c r="C57" s="1834"/>
      <c r="D57" s="1834"/>
      <c r="E57" s="1834"/>
      <c r="F57" s="1834"/>
      <c r="G57" s="1834"/>
      <c r="H57" s="1834"/>
      <c r="I57" s="1834"/>
      <c r="J57" s="1834"/>
      <c r="K57" s="1834"/>
      <c r="L57" s="1834"/>
      <c r="M57" s="1834"/>
      <c r="N57" s="1834"/>
      <c r="O57" s="1834"/>
      <c r="P57" s="556"/>
      <c r="U57" s="839" t="s">
        <v>2340</v>
      </c>
      <c r="AC57" s="840">
        <v>0.1</v>
      </c>
    </row>
    <row r="58" spans="1:29" ht="15" customHeight="1">
      <c r="B58" s="1849" t="s">
        <v>2341</v>
      </c>
      <c r="C58" s="1850"/>
      <c r="D58" s="1850"/>
      <c r="E58" s="1850"/>
      <c r="F58" s="439"/>
      <c r="G58" s="439"/>
      <c r="H58" s="429"/>
      <c r="I58" s="429"/>
      <c r="J58" s="1851">
        <f>('Sources and Uses Budget'!D104+Q47)/('Sources and Uses Budget'!B104+Q48)</f>
        <v>0</v>
      </c>
      <c r="K58" s="1852"/>
      <c r="L58" s="1852"/>
      <c r="M58" s="1852"/>
      <c r="N58" s="1853"/>
      <c r="O58" s="429"/>
      <c r="P58" s="429"/>
      <c r="U58" s="839" t="s">
        <v>2342</v>
      </c>
      <c r="AC58" s="840">
        <v>0.1</v>
      </c>
    </row>
    <row r="59" spans="1:29" ht="15" customHeight="1">
      <c r="B59" s="1833" t="s">
        <v>2343</v>
      </c>
      <c r="C59" s="1833"/>
      <c r="D59" s="1833"/>
      <c r="E59" s="1833"/>
      <c r="F59" s="1833"/>
      <c r="G59" s="1833"/>
      <c r="H59" s="1833"/>
      <c r="I59" s="1833"/>
      <c r="J59" s="1833"/>
      <c r="K59" s="1833"/>
      <c r="L59" s="1833"/>
      <c r="M59" s="1833"/>
      <c r="N59" s="1833"/>
      <c r="O59" s="1833"/>
      <c r="P59" s="429"/>
      <c r="U59" s="839" t="s">
        <v>2344</v>
      </c>
      <c r="AC59" s="840">
        <v>0.05</v>
      </c>
    </row>
    <row r="60" spans="1:29" ht="15" customHeight="1">
      <c r="B60" s="1833"/>
      <c r="C60" s="1833"/>
      <c r="D60" s="1833"/>
      <c r="E60" s="1833"/>
      <c r="F60" s="1833"/>
      <c r="G60" s="1833"/>
      <c r="H60" s="1833"/>
      <c r="I60" s="1833"/>
      <c r="J60" s="1833"/>
      <c r="K60" s="1833"/>
      <c r="L60" s="1833"/>
      <c r="M60" s="1833"/>
      <c r="N60" s="1833"/>
      <c r="O60" s="1833"/>
      <c r="P60" s="429"/>
      <c r="AC60" s="841"/>
    </row>
    <row r="61" spans="1:29" ht="15" customHeight="1">
      <c r="B61" s="183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4"/>
      <c r="D61" s="1834"/>
      <c r="E61" s="1834"/>
      <c r="F61" s="1834"/>
      <c r="G61" s="1834"/>
      <c r="H61" s="1834"/>
      <c r="I61" s="1834"/>
      <c r="J61" s="1834"/>
      <c r="K61" s="1834"/>
      <c r="L61" s="1834"/>
      <c r="M61" s="1834"/>
      <c r="N61" s="1834"/>
      <c r="O61" s="1834"/>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39" t="s">
        <v>2345</v>
      </c>
      <c r="K63" s="1840"/>
      <c r="L63" s="1840"/>
      <c r="M63" s="1840"/>
      <c r="N63" s="1840"/>
      <c r="O63" s="1840"/>
      <c r="P63" s="1840"/>
      <c r="Q63" s="1840"/>
      <c r="R63" s="1840"/>
    </row>
    <row r="64" spans="1:29" ht="15" customHeight="1" thickBot="1">
      <c r="B64" s="1835" t="s">
        <v>2346</v>
      </c>
      <c r="C64" s="1835"/>
      <c r="D64" s="303"/>
      <c r="F64" s="303"/>
      <c r="G64" s="436" t="s">
        <v>2347</v>
      </c>
      <c r="H64" s="303"/>
      <c r="I64" s="652"/>
      <c r="J64" s="1841"/>
      <c r="K64" s="1842"/>
      <c r="L64" s="1842"/>
      <c r="M64" s="1842"/>
      <c r="N64" s="1842"/>
      <c r="O64" s="1842"/>
      <c r="P64" s="1842"/>
      <c r="Q64" s="1842"/>
      <c r="R64" s="1842"/>
      <c r="U64" s="838">
        <f>IF(K41="Rural project in a county where no tax credit applications have been received within 5 years",AC59,0)</f>
        <v>0</v>
      </c>
    </row>
    <row r="65" spans="1:22" ht="15" customHeight="1" thickBot="1">
      <c r="B65" s="440" t="s">
        <v>2348</v>
      </c>
      <c r="C65" s="425" t="str">
        <f>IF(OR(Application!M357="Yes",Application!M358="Yes"),"Yes","No")</f>
        <v>Yes</v>
      </c>
      <c r="E65" s="681"/>
      <c r="F65" s="681"/>
      <c r="G65" s="436" t="s">
        <v>2349</v>
      </c>
      <c r="H65" s="303"/>
      <c r="I65" s="652"/>
      <c r="J65" s="1841"/>
      <c r="K65" s="1842"/>
      <c r="L65" s="1842"/>
      <c r="M65" s="1842"/>
      <c r="N65" s="1842"/>
      <c r="O65" s="1842"/>
      <c r="P65" s="1842"/>
      <c r="Q65" s="1842"/>
      <c r="R65" s="1842"/>
      <c r="U65" s="838">
        <f>IF(J67="Non-rural project, Census Tract is Highest Resource (20 percentage points)",AC56,0)</f>
        <v>0</v>
      </c>
    </row>
    <row r="66" spans="1:22" ht="15" customHeight="1" thickBot="1">
      <c r="B66" s="441" t="s">
        <v>2350</v>
      </c>
      <c r="C66" s="545">
        <f>Application!AG438-Application!AG439</f>
        <v>58</v>
      </c>
      <c r="D66" s="681"/>
      <c r="E66" s="441" t="s">
        <v>2351</v>
      </c>
      <c r="F66" s="681"/>
      <c r="G66" s="559"/>
      <c r="H66" s="442"/>
      <c r="I66" s="653"/>
      <c r="J66" s="1841"/>
      <c r="K66" s="1842"/>
      <c r="L66" s="1842"/>
      <c r="M66" s="1842"/>
      <c r="N66" s="1842"/>
      <c r="O66" s="1842"/>
      <c r="P66" s="1842"/>
      <c r="Q66" s="1842"/>
      <c r="R66" s="1842"/>
      <c r="U66" s="838">
        <f>IF(J67="Non-rural project, Census Tract is High Resource (10 percentage points)",AC57,0)</f>
        <v>0</v>
      </c>
    </row>
    <row r="67" spans="1:22" ht="15" customHeight="1" thickBot="1">
      <c r="B67" s="441" t="s">
        <v>2352</v>
      </c>
      <c r="C67" s="546">
        <f>MIN(IF(AND(C65="Yes",G67&gt;=50),(0.75+(G67/200)),1),1.5)</f>
        <v>1.04</v>
      </c>
      <c r="D67" s="442"/>
      <c r="E67" s="441" t="s">
        <v>2353</v>
      </c>
      <c r="G67" s="545">
        <f>C66+G66</f>
        <v>58</v>
      </c>
      <c r="H67" s="442"/>
      <c r="I67" s="653"/>
      <c r="J67" s="1837" t="s">
        <v>326</v>
      </c>
      <c r="K67" s="1838"/>
      <c r="L67" s="1838"/>
      <c r="M67" s="1838"/>
      <c r="N67" s="1838"/>
      <c r="O67" s="1838"/>
      <c r="P67" s="1838"/>
      <c r="Q67" s="1838"/>
      <c r="R67" s="1838"/>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46">
        <f>SUM(U62:U68)</f>
        <v>0</v>
      </c>
    </row>
    <row r="70" spans="1:22" ht="15" customHeight="1" thickBot="1">
      <c r="B70" s="421" t="s">
        <v>2354</v>
      </c>
      <c r="C70" s="421"/>
      <c r="D70" s="421"/>
      <c r="E70" s="421"/>
      <c r="F70" s="421"/>
      <c r="G70" s="421"/>
      <c r="U70" s="1847"/>
      <c r="V70" s="300" t="s">
        <v>2355</v>
      </c>
    </row>
    <row r="71" spans="1:22" ht="15" customHeight="1">
      <c r="B71" s="1836" t="s">
        <v>2356</v>
      </c>
      <c r="C71" s="1836"/>
      <c r="D71" s="1836"/>
      <c r="E71" s="421"/>
      <c r="F71" s="421"/>
      <c r="G71" s="431">
        <f>G53*(1-J58)</f>
        <v>25186806.169472061</v>
      </c>
      <c r="J71" s="443"/>
      <c r="K71" s="588" t="s">
        <v>2315</v>
      </c>
      <c r="L71" s="588"/>
      <c r="M71" s="588"/>
      <c r="N71" s="588"/>
      <c r="O71" s="588"/>
      <c r="Q71" s="1822">
        <f>'Basis &amp; Credits'!T23+'Basis &amp; Credits'!Y23+'Basis &amp; Credits'!AD23+'Basis &amp; Credits'!AI23</f>
        <v>14499250</v>
      </c>
      <c r="R71" s="1822"/>
    </row>
    <row r="72" spans="1:22" ht="15" customHeight="1">
      <c r="B72" s="1824" t="s">
        <v>2357</v>
      </c>
      <c r="C72" s="1824"/>
      <c r="D72" s="1824"/>
      <c r="E72" s="421"/>
      <c r="F72" s="421"/>
      <c r="G72" s="431">
        <f>G71*C67</f>
        <v>26194278.416250944</v>
      </c>
      <c r="J72" s="443"/>
      <c r="K72" s="556"/>
      <c r="L72" s="556"/>
      <c r="M72" s="556"/>
      <c r="N72" s="556"/>
      <c r="O72" s="556"/>
      <c r="Q72" s="1825"/>
      <c r="R72" s="1825"/>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26">
        <f>$G$72</f>
        <v>26194278.416250944</v>
      </c>
      <c r="C75" s="1913"/>
      <c r="D75" s="1913"/>
      <c r="E75" s="1913"/>
      <c r="F75" s="1913"/>
      <c r="G75" s="1913"/>
      <c r="H75" s="444"/>
      <c r="I75" s="1827" t="s">
        <v>2316</v>
      </c>
      <c r="J75" s="1828" t="s">
        <v>2317</v>
      </c>
      <c r="K75" s="1827">
        <v>1</v>
      </c>
      <c r="M75" s="322"/>
      <c r="N75" s="423"/>
      <c r="O75" s="561">
        <f>$Q$71</f>
        <v>14499250</v>
      </c>
      <c r="P75" s="1828" t="s">
        <v>2318</v>
      </c>
      <c r="Q75" s="1829" t="s">
        <v>2358</v>
      </c>
      <c r="R75" s="1831">
        <f>((B75/B76)+((1-(O75/O76))/2))+U69</f>
        <v>1.1005391230184007</v>
      </c>
    </row>
    <row r="76" spans="1:22" ht="15" customHeight="1" thickBot="1">
      <c r="B76" s="1830">
        <f>'Sources and Uses Budget'!$C$104+$Q$46-($E$50+$E$51)*(1-$J$58)</f>
        <v>31546077</v>
      </c>
      <c r="C76" s="1914"/>
      <c r="D76" s="1914"/>
      <c r="E76" s="1914"/>
      <c r="F76" s="1914"/>
      <c r="G76" s="1830"/>
      <c r="I76" s="1827"/>
      <c r="J76" s="1828"/>
      <c r="K76" s="1827"/>
      <c r="M76" s="554"/>
      <c r="O76" s="560">
        <f>B76</f>
        <v>31546077</v>
      </c>
      <c r="P76" s="1828"/>
      <c r="Q76" s="1829"/>
      <c r="R76" s="1832"/>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2359</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2360</v>
      </c>
      <c r="C81" s="557"/>
      <c r="D81" s="557"/>
      <c r="E81" s="557"/>
      <c r="F81" s="557"/>
      <c r="H81" s="557"/>
      <c r="I81" s="432"/>
      <c r="J81" s="557"/>
      <c r="K81" s="310" t="s">
        <v>2361</v>
      </c>
      <c r="L81" s="557"/>
      <c r="M81" s="557"/>
      <c r="N81" s="557"/>
      <c r="O81" s="557"/>
    </row>
    <row r="82" spans="2:18" ht="15" customHeight="1">
      <c r="B82" s="668" t="s">
        <v>2362</v>
      </c>
      <c r="C82" s="660"/>
      <c r="D82" s="655"/>
      <c r="E82" s="660"/>
      <c r="F82" s="660"/>
      <c r="G82" s="661"/>
      <c r="I82" s="432"/>
    </row>
    <row r="83" spans="2:18" ht="15" customHeight="1">
      <c r="B83" s="666" t="s">
        <v>2363</v>
      </c>
      <c r="C83" s="660"/>
      <c r="D83" s="660"/>
      <c r="E83" s="658"/>
      <c r="F83" s="658"/>
      <c r="G83" s="661"/>
      <c r="I83" s="432"/>
      <c r="K83" s="649" t="s">
        <v>2364</v>
      </c>
    </row>
    <row r="84" spans="2:18" ht="15" customHeight="1">
      <c r="B84" s="667" t="s">
        <v>2365</v>
      </c>
      <c r="C84" s="662"/>
      <c r="D84" s="662"/>
      <c r="E84" s="656"/>
      <c r="F84" s="656"/>
      <c r="G84" s="663"/>
      <c r="I84" s="432"/>
      <c r="K84" s="649" t="s">
        <v>2366</v>
      </c>
      <c r="L84" s="557"/>
      <c r="M84" s="557"/>
      <c r="N84" s="557"/>
      <c r="O84" s="557"/>
      <c r="P84" s="557"/>
      <c r="Q84" s="1820"/>
      <c r="R84" s="1820"/>
    </row>
    <row r="85" spans="2:18" ht="15" customHeight="1">
      <c r="B85" s="667" t="s">
        <v>2367</v>
      </c>
      <c r="C85" s="664"/>
      <c r="D85" s="664"/>
      <c r="E85" s="659"/>
      <c r="F85" s="659"/>
      <c r="G85" s="665"/>
      <c r="I85" s="432"/>
      <c r="L85" s="585"/>
      <c r="M85" s="585"/>
      <c r="N85" s="585"/>
      <c r="O85" s="585"/>
      <c r="P85" s="585"/>
    </row>
    <row r="86" spans="2:18" ht="15" customHeight="1">
      <c r="B86" s="668" t="s">
        <v>2368</v>
      </c>
      <c r="C86" s="662"/>
      <c r="D86" s="662"/>
      <c r="E86" s="656"/>
      <c r="F86" s="656"/>
      <c r="G86" s="657"/>
      <c r="I86" s="432"/>
      <c r="L86" s="586"/>
      <c r="M86" s="586"/>
      <c r="N86" s="586"/>
      <c r="O86" s="682" t="s">
        <v>681</v>
      </c>
      <c r="P86" s="586"/>
    </row>
    <row r="87" spans="2:18" ht="15" customHeight="1">
      <c r="B87" s="668" t="s">
        <v>2369</v>
      </c>
      <c r="C87" s="664"/>
      <c r="D87" s="655"/>
      <c r="E87" s="660"/>
      <c r="F87" s="660"/>
      <c r="G87" s="685"/>
      <c r="I87" s="432"/>
    </row>
    <row r="88" spans="2:18" ht="15" customHeight="1">
      <c r="B88" s="683"/>
      <c r="C88" s="660"/>
      <c r="D88" s="660"/>
      <c r="E88" s="684" t="s">
        <v>2370</v>
      </c>
      <c r="F88" s="658"/>
      <c r="G88" s="658" t="s">
        <v>2371</v>
      </c>
      <c r="I88" s="432"/>
      <c r="K88" s="650" t="s">
        <v>2372</v>
      </c>
      <c r="L88" s="557"/>
      <c r="M88" s="557"/>
      <c r="N88" s="557"/>
      <c r="O88" s="557"/>
      <c r="P88" s="557"/>
    </row>
    <row r="89" spans="2:18" ht="15" customHeight="1">
      <c r="B89" s="445" t="s">
        <v>2295</v>
      </c>
      <c r="C89" s="446" t="s">
        <v>2373</v>
      </c>
      <c r="D89" s="669" t="s">
        <v>2374</v>
      </c>
      <c r="E89" s="669" t="s">
        <v>2375</v>
      </c>
      <c r="F89" s="424"/>
      <c r="G89" s="424" t="s">
        <v>2376</v>
      </c>
      <c r="I89" s="432"/>
      <c r="K89" s="650" t="s">
        <v>2377</v>
      </c>
      <c r="L89" s="585"/>
      <c r="M89" s="585"/>
      <c r="N89" s="585"/>
      <c r="O89" s="585"/>
      <c r="P89" s="585"/>
      <c r="Q89" s="1820"/>
      <c r="R89" s="1820"/>
    </row>
    <row r="90" spans="2:18" ht="15" customHeight="1">
      <c r="B90" s="410" t="s">
        <v>2378</v>
      </c>
      <c r="C90" s="411">
        <v>57</v>
      </c>
      <c r="D90" s="412">
        <v>1055</v>
      </c>
      <c r="E90" s="412">
        <f>'Subsidy Contract Calculation'!E4</f>
        <v>2621</v>
      </c>
      <c r="F90" s="453"/>
      <c r="G90" s="311">
        <f>MAX(($E90-$D90)*$C90*12,0)</f>
        <v>1071144</v>
      </c>
      <c r="I90" s="432"/>
      <c r="K90" s="650" t="s">
        <v>2379</v>
      </c>
      <c r="L90" s="585"/>
      <c r="M90" s="585"/>
      <c r="N90" s="585"/>
      <c r="O90" s="585"/>
      <c r="P90" s="585"/>
      <c r="Q90" s="1823"/>
      <c r="R90" s="1823"/>
    </row>
    <row r="91" spans="2:18" ht="15" customHeight="1">
      <c r="B91" s="410" t="s">
        <v>863</v>
      </c>
      <c r="C91" s="411"/>
      <c r="D91" s="412"/>
      <c r="E91" s="412"/>
      <c r="F91" s="453"/>
      <c r="G91" s="311">
        <f t="shared" ref="G91:G97" si="0">MAX(($E91-$D91)*$C91*12,0)</f>
        <v>0</v>
      </c>
      <c r="I91" s="432"/>
      <c r="K91" s="650" t="s">
        <v>2380</v>
      </c>
      <c r="L91" s="585"/>
      <c r="M91" s="585"/>
      <c r="N91" s="585"/>
      <c r="O91" s="585"/>
      <c r="P91" s="585"/>
      <c r="Q91" s="1821">
        <f>IFERROR(Q89/Q90,0)</f>
        <v>0</v>
      </c>
      <c r="R91" s="1821"/>
    </row>
    <row r="92" spans="2:18" ht="15" customHeight="1">
      <c r="B92" s="410" t="s">
        <v>863</v>
      </c>
      <c r="C92" s="411"/>
      <c r="D92" s="412"/>
      <c r="E92" s="412"/>
      <c r="F92" s="453"/>
      <c r="G92" s="311">
        <f t="shared" si="0"/>
        <v>0</v>
      </c>
      <c r="I92" s="432"/>
    </row>
    <row r="93" spans="2:18" ht="15" customHeight="1">
      <c r="B93" s="410" t="s">
        <v>863</v>
      </c>
      <c r="C93" s="411"/>
      <c r="D93" s="412"/>
      <c r="E93" s="412"/>
      <c r="F93" s="453"/>
      <c r="G93" s="311">
        <f t="shared" si="0"/>
        <v>0</v>
      </c>
      <c r="I93" s="432"/>
      <c r="K93" s="303" t="s">
        <v>2381</v>
      </c>
      <c r="L93" s="441"/>
      <c r="M93" s="441"/>
      <c r="N93" s="441"/>
      <c r="O93" s="441"/>
      <c r="P93" s="441"/>
      <c r="Q93" s="1822">
        <f>MAX(Q84,Q91)</f>
        <v>0</v>
      </c>
      <c r="R93" s="1822"/>
    </row>
    <row r="94" spans="2:18" ht="15" customHeight="1">
      <c r="B94" s="410" t="s">
        <v>863</v>
      </c>
      <c r="C94" s="411"/>
      <c r="D94" s="412"/>
      <c r="E94" s="412"/>
      <c r="F94" s="453"/>
      <c r="G94" s="311">
        <f t="shared" si="0"/>
        <v>0</v>
      </c>
      <c r="I94" s="432"/>
      <c r="K94" s="303"/>
      <c r="L94" s="441"/>
      <c r="M94" s="441"/>
      <c r="N94" s="441"/>
      <c r="O94" s="441"/>
      <c r="P94" s="441"/>
      <c r="Q94" s="433"/>
      <c r="R94" s="433"/>
    </row>
    <row r="95" spans="2:18" ht="15" customHeight="1">
      <c r="B95" s="410" t="s">
        <v>863</v>
      </c>
      <c r="C95" s="411"/>
      <c r="D95" s="412"/>
      <c r="E95" s="412"/>
      <c r="F95" s="453"/>
      <c r="G95" s="311">
        <f t="shared" si="0"/>
        <v>0</v>
      </c>
      <c r="I95" s="432"/>
      <c r="K95" s="303"/>
      <c r="L95" s="441"/>
      <c r="M95" s="441"/>
      <c r="N95" s="441"/>
      <c r="O95" s="441"/>
      <c r="P95" s="441"/>
      <c r="Q95" s="433"/>
      <c r="R95" s="433"/>
    </row>
    <row r="96" spans="2:18" ht="15" customHeight="1">
      <c r="B96" s="410" t="s">
        <v>863</v>
      </c>
      <c r="C96" s="411"/>
      <c r="D96" s="412"/>
      <c r="E96" s="412"/>
      <c r="F96" s="453"/>
      <c r="G96" s="311">
        <f t="shared" si="0"/>
        <v>0</v>
      </c>
      <c r="I96" s="432"/>
    </row>
    <row r="97" spans="2:9" ht="15" customHeight="1">
      <c r="B97" s="410" t="s">
        <v>863</v>
      </c>
      <c r="C97" s="411"/>
      <c r="D97" s="412"/>
      <c r="E97" s="412"/>
      <c r="F97" s="453"/>
      <c r="G97" s="311">
        <f t="shared" si="0"/>
        <v>0</v>
      </c>
      <c r="I97" s="432"/>
    </row>
    <row r="98" spans="2:9" ht="15" customHeight="1">
      <c r="C98" s="448"/>
      <c r="D98" s="303"/>
      <c r="E98" s="441" t="s">
        <v>2382</v>
      </c>
      <c r="F98" s="441"/>
      <c r="G98" s="437">
        <f>SUM(G90:G97)</f>
        <v>1071144</v>
      </c>
      <c r="I98" s="432"/>
    </row>
    <row r="99" spans="2:9" ht="15" customHeight="1">
      <c r="I99" s="432"/>
    </row>
    <row r="100" spans="2:9" ht="15" customHeight="1">
      <c r="B100" s="303" t="s">
        <v>2383</v>
      </c>
      <c r="D100" s="433">
        <f>G98+Q93</f>
        <v>1071144</v>
      </c>
      <c r="I100" s="432"/>
    </row>
    <row r="101" spans="2:9" ht="15" customHeight="1">
      <c r="B101" s="303" t="s">
        <v>2384</v>
      </c>
      <c r="D101" s="449">
        <v>0.05</v>
      </c>
      <c r="I101" s="432"/>
    </row>
    <row r="102" spans="2:9" ht="15" customHeight="1">
      <c r="B102" s="303" t="s">
        <v>2385</v>
      </c>
      <c r="D102" s="433">
        <f>D100-(D100*D101)</f>
        <v>1017586.8</v>
      </c>
    </row>
    <row r="103" spans="2:9" ht="15" customHeight="1">
      <c r="B103" s="303" t="s">
        <v>2386</v>
      </c>
      <c r="D103" s="450"/>
    </row>
    <row r="104" spans="2:9" ht="15" customHeight="1">
      <c r="B104" s="303" t="s">
        <v>2387</v>
      </c>
      <c r="D104" s="433">
        <f>D102/D108</f>
        <v>884858.08695652185</v>
      </c>
    </row>
    <row r="105" spans="2:9" ht="15" customHeight="1"/>
    <row r="106" spans="2:9" ht="15" customHeight="1">
      <c r="B106" s="303" t="s">
        <v>2388</v>
      </c>
      <c r="D106" s="303">
        <v>15</v>
      </c>
    </row>
    <row r="107" spans="2:9" ht="15" customHeight="1">
      <c r="B107" s="303" t="s">
        <v>2389</v>
      </c>
      <c r="D107" s="549">
        <v>0.04</v>
      </c>
    </row>
    <row r="108" spans="2:9" ht="15" customHeight="1">
      <c r="B108" s="303" t="s">
        <v>2390</v>
      </c>
      <c r="D108" s="451">
        <v>1.1499999999999999</v>
      </c>
    </row>
    <row r="109" spans="2:9" ht="15" customHeight="1">
      <c r="B109" s="303"/>
      <c r="C109" s="303"/>
      <c r="D109" s="452"/>
      <c r="E109" s="452"/>
      <c r="F109" s="452"/>
    </row>
    <row r="110" spans="2:9" ht="15" customHeight="1">
      <c r="B110" s="303" t="s">
        <v>2391</v>
      </c>
      <c r="C110" s="303"/>
      <c r="D110" s="544">
        <f>PV(D107/12,D106*12,-D104/12, ,0)</f>
        <v>9968822.1694720592</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disablePrompts="1"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5" sqref="E5"/>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63" t="s">
        <v>2392</v>
      </c>
      <c r="B1" s="1863"/>
      <c r="C1" s="1863"/>
      <c r="D1" s="1863"/>
      <c r="E1" s="1863"/>
      <c r="F1" s="1863"/>
      <c r="G1" s="1863"/>
      <c r="H1" s="1863"/>
      <c r="I1" s="1863"/>
    </row>
    <row r="2" spans="1:9">
      <c r="A2" s="507"/>
      <c r="B2" s="507"/>
      <c r="C2" s="507"/>
      <c r="D2" s="507"/>
      <c r="E2" s="507"/>
      <c r="F2" s="507"/>
      <c r="G2" s="507"/>
      <c r="H2" s="507"/>
      <c r="I2" s="507"/>
    </row>
    <row r="3" spans="1:9" ht="105" customHeight="1">
      <c r="A3" s="508" t="s">
        <v>2393</v>
      </c>
      <c r="B3" s="508" t="s">
        <v>2394</v>
      </c>
      <c r="C3" s="383" t="s">
        <v>2395</v>
      </c>
      <c r="D3" s="507"/>
      <c r="E3" s="383" t="s">
        <v>2396</v>
      </c>
      <c r="F3" s="508" t="s">
        <v>2397</v>
      </c>
      <c r="G3" s="509"/>
      <c r="H3" s="508" t="s">
        <v>2398</v>
      </c>
      <c r="I3" s="508" t="s">
        <v>2399</v>
      </c>
    </row>
    <row r="4" spans="1:9">
      <c r="A4" s="510" t="str">
        <f>Application!$B703</f>
        <v>SRO/Studio</v>
      </c>
      <c r="B4" s="832">
        <f>Application!$G703</f>
        <v>57</v>
      </c>
      <c r="C4" s="510">
        <f>Application!$O703</f>
        <v>1055</v>
      </c>
      <c r="D4" s="511"/>
      <c r="E4" s="830">
        <v>2621</v>
      </c>
      <c r="F4" s="510">
        <f>$E4*$B4</f>
        <v>149397</v>
      </c>
      <c r="G4" s="511"/>
      <c r="H4" s="510">
        <f>IF($E4=0,0,MAX($E4-$C4,0))</f>
        <v>1566</v>
      </c>
      <c r="I4" s="510">
        <f>IF($H4=0,0,($H4*$B4))</f>
        <v>89262</v>
      </c>
    </row>
    <row r="5" spans="1:9">
      <c r="A5" s="510">
        <f>Application!$B704</f>
        <v>0</v>
      </c>
      <c r="B5" s="831">
        <f>Application!$G704</f>
        <v>0</v>
      </c>
      <c r="C5" s="510">
        <f>Application!$O704</f>
        <v>0</v>
      </c>
      <c r="D5" s="511"/>
      <c r="E5" s="830"/>
      <c r="F5" s="510">
        <f t="shared" ref="F5:F38" si="0">$E5*$B5</f>
        <v>0</v>
      </c>
      <c r="G5" s="511"/>
      <c r="H5" s="510">
        <f t="shared" ref="H5:H38" si="1">IF($E5=0,0,MAX($E5-$C5,0))</f>
        <v>0</v>
      </c>
      <c r="I5" s="510">
        <f t="shared" ref="I5:I38" si="2">IF($H5=0,0,($H5*$B5))</f>
        <v>0</v>
      </c>
    </row>
    <row r="6" spans="1:9">
      <c r="A6" s="510">
        <f>Application!$B705</f>
        <v>0</v>
      </c>
      <c r="B6" s="831">
        <f>Application!$G705</f>
        <v>0</v>
      </c>
      <c r="C6" s="510">
        <f>Application!$O705</f>
        <v>0</v>
      </c>
      <c r="D6" s="511"/>
      <c r="E6" s="830"/>
      <c r="F6" s="510">
        <f t="shared" si="0"/>
        <v>0</v>
      </c>
      <c r="G6" s="511"/>
      <c r="H6" s="510">
        <f t="shared" si="1"/>
        <v>0</v>
      </c>
      <c r="I6" s="510">
        <f t="shared" si="2"/>
        <v>0</v>
      </c>
    </row>
    <row r="7" spans="1:9">
      <c r="A7" s="510">
        <f>Application!$B706</f>
        <v>0</v>
      </c>
      <c r="B7" s="831">
        <f>Application!$G706</f>
        <v>0</v>
      </c>
      <c r="C7" s="510">
        <f>Application!$O706</f>
        <v>0</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2400</v>
      </c>
      <c r="B40" s="513"/>
      <c r="C40" s="514">
        <f>Application!$T$738*12</f>
        <v>721620</v>
      </c>
      <c r="D40" s="511"/>
      <c r="E40" s="511"/>
      <c r="F40" s="514">
        <f>SUM(F4:F38)*12</f>
        <v>1792764</v>
      </c>
      <c r="G40" s="515"/>
      <c r="H40" s="513"/>
      <c r="I40" s="514">
        <f>SUM(I4:I38)*12</f>
        <v>1071144</v>
      </c>
    </row>
    <row r="41" spans="1:9" ht="15">
      <c r="A41" s="512"/>
      <c r="B41" s="513"/>
      <c r="C41" s="515"/>
      <c r="D41" s="511"/>
      <c r="E41" s="511"/>
      <c r="F41" s="515"/>
      <c r="G41" s="515"/>
      <c r="H41" s="513"/>
      <c r="I41" s="515"/>
    </row>
    <row r="42" spans="1:9">
      <c r="A42" s="507" t="s">
        <v>2401</v>
      </c>
      <c r="B42" s="507"/>
      <c r="C42" s="507"/>
      <c r="D42" s="507"/>
      <c r="E42" s="507"/>
      <c r="F42" s="507"/>
      <c r="G42" s="507"/>
      <c r="H42" s="507"/>
      <c r="I42" s="507"/>
    </row>
    <row r="43" spans="1:9">
      <c r="A43" s="507" t="s">
        <v>2402</v>
      </c>
      <c r="B43" s="507"/>
      <c r="C43" s="507"/>
      <c r="D43" s="507"/>
      <c r="E43" s="507"/>
      <c r="F43" s="507"/>
      <c r="G43" s="507"/>
      <c r="H43" s="507"/>
      <c r="I43" s="507"/>
    </row>
    <row r="44" spans="1:9">
      <c r="A44" s="507" t="s">
        <v>2403</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27" sqref="E27"/>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2404</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2405</v>
      </c>
      <c r="B3" s="305"/>
      <c r="C3" s="331" t="s">
        <v>2406</v>
      </c>
      <c r="D3" s="306"/>
      <c r="E3" s="332" t="s">
        <v>2407</v>
      </c>
      <c r="F3" s="302"/>
      <c r="G3" s="332" t="s">
        <v>2408</v>
      </c>
      <c r="H3" s="302"/>
      <c r="I3" s="332" t="s">
        <v>2409</v>
      </c>
      <c r="J3" s="302"/>
      <c r="K3" s="332" t="s">
        <v>2410</v>
      </c>
      <c r="L3" s="302"/>
      <c r="M3" s="332" t="s">
        <v>2411</v>
      </c>
      <c r="N3" s="302"/>
      <c r="O3" s="332" t="s">
        <v>2412</v>
      </c>
      <c r="P3" s="302"/>
      <c r="Q3" s="332" t="s">
        <v>2413</v>
      </c>
      <c r="R3" s="302"/>
      <c r="S3" s="332" t="s">
        <v>2414</v>
      </c>
      <c r="T3" s="302"/>
      <c r="U3" s="332" t="s">
        <v>2415</v>
      </c>
      <c r="V3" s="302"/>
      <c r="W3" s="332" t="s">
        <v>2416</v>
      </c>
      <c r="X3" s="302"/>
      <c r="Y3" s="332" t="s">
        <v>2417</v>
      </c>
      <c r="Z3" s="302"/>
      <c r="AA3" s="332" t="s">
        <v>2418</v>
      </c>
      <c r="AB3" s="302"/>
      <c r="AC3" s="332" t="s">
        <v>2419</v>
      </c>
      <c r="AD3" s="302"/>
      <c r="AE3" s="332" t="s">
        <v>2420</v>
      </c>
      <c r="AF3" s="302"/>
      <c r="AG3" s="332" t="s">
        <v>2421</v>
      </c>
      <c r="AH3" s="306"/>
    </row>
    <row r="4" spans="1:34" ht="14.25">
      <c r="A4" s="311" t="s">
        <v>2422</v>
      </c>
      <c r="B4" s="311"/>
      <c r="C4" s="334">
        <v>1.0249999999999999</v>
      </c>
      <c r="D4" s="311"/>
      <c r="E4" s="311">
        <f>Application!Y788</f>
        <v>721620</v>
      </c>
      <c r="F4" s="311"/>
      <c r="G4" s="311">
        <f>E4*$C$4</f>
        <v>739660.49999999988</v>
      </c>
      <c r="H4" s="311"/>
      <c r="I4" s="311">
        <f>G4*$C$4</f>
        <v>758152.01249999984</v>
      </c>
      <c r="J4" s="311"/>
      <c r="K4" s="311">
        <f>I4*$C$4</f>
        <v>777105.81281249982</v>
      </c>
      <c r="L4" s="311"/>
      <c r="M4" s="311">
        <f>K4*$C$4</f>
        <v>796533.45813281229</v>
      </c>
      <c r="N4" s="311"/>
      <c r="O4" s="311">
        <f>M4*$C$4</f>
        <v>816446.79458613251</v>
      </c>
      <c r="P4" s="311"/>
      <c r="Q4" s="311">
        <f>O4*$C$4</f>
        <v>836857.96445078577</v>
      </c>
      <c r="R4" s="311"/>
      <c r="S4" s="311">
        <f>Q4*$C$4</f>
        <v>857779.41356205533</v>
      </c>
      <c r="T4" s="311"/>
      <c r="U4" s="311">
        <f>S4*$C$4</f>
        <v>879223.89890110667</v>
      </c>
      <c r="V4" s="311"/>
      <c r="W4" s="311">
        <f>U4*$C$4</f>
        <v>901204.49637363432</v>
      </c>
      <c r="X4" s="311"/>
      <c r="Y4" s="311">
        <f>W4*$C$4</f>
        <v>923734.60878297512</v>
      </c>
      <c r="Z4" s="311"/>
      <c r="AA4" s="311">
        <f>Y4*$C$4</f>
        <v>946827.97400254942</v>
      </c>
      <c r="AB4" s="311"/>
      <c r="AC4" s="311">
        <f>AA4*$C$4</f>
        <v>970498.67335261311</v>
      </c>
      <c r="AD4" s="311"/>
      <c r="AE4" s="311">
        <f>AC4*$C$4</f>
        <v>994761.14018642833</v>
      </c>
      <c r="AF4" s="311"/>
      <c r="AG4" s="311">
        <f>AE4*$C$4</f>
        <v>1019630.1686910889</v>
      </c>
      <c r="AH4" s="311"/>
    </row>
    <row r="5" spans="1:34" ht="14.25">
      <c r="A5" s="303"/>
      <c r="B5" s="303" t="s">
        <v>2384</v>
      </c>
      <c r="C5" s="927">
        <v>0.05</v>
      </c>
      <c r="D5" s="303"/>
      <c r="E5" s="313">
        <f>-E4*$C$5</f>
        <v>-36081</v>
      </c>
      <c r="F5" s="313"/>
      <c r="G5" s="313">
        <f>-G4*$C$5</f>
        <v>-36983.024999999994</v>
      </c>
      <c r="H5" s="313"/>
      <c r="I5" s="313">
        <f>-I4*$C$5</f>
        <v>-37907.600624999992</v>
      </c>
      <c r="J5" s="313"/>
      <c r="K5" s="313">
        <f>-K4*$C$5</f>
        <v>-38855.290640624989</v>
      </c>
      <c r="L5" s="313"/>
      <c r="M5" s="313">
        <f>-M4*$C$5</f>
        <v>-39826.672906640619</v>
      </c>
      <c r="N5" s="313"/>
      <c r="O5" s="313">
        <f>-O4*$C$5</f>
        <v>-40822.33972930663</v>
      </c>
      <c r="P5" s="313"/>
      <c r="Q5" s="313">
        <f>-Q4*$C$5</f>
        <v>-41842.89822253929</v>
      </c>
      <c r="R5" s="313"/>
      <c r="S5" s="313">
        <f>-S4*$C$5</f>
        <v>-42888.970678102771</v>
      </c>
      <c r="T5" s="313"/>
      <c r="U5" s="313">
        <f>-U4*$C$5</f>
        <v>-43961.194945055337</v>
      </c>
      <c r="V5" s="313"/>
      <c r="W5" s="313">
        <f>-W4*$C$5</f>
        <v>-45060.224818681716</v>
      </c>
      <c r="X5" s="313"/>
      <c r="Y5" s="313">
        <f>-Y4*$C$5</f>
        <v>-46186.730439148756</v>
      </c>
      <c r="Z5" s="313"/>
      <c r="AA5" s="313">
        <f>-AA4*$C$5</f>
        <v>-47341.398700127473</v>
      </c>
      <c r="AB5" s="313"/>
      <c r="AC5" s="313">
        <f>-AC4*$C$5</f>
        <v>-48524.933667630656</v>
      </c>
      <c r="AD5" s="313"/>
      <c r="AE5" s="313">
        <f>-AE4*$C$5</f>
        <v>-49738.057009321419</v>
      </c>
      <c r="AF5" s="313"/>
      <c r="AG5" s="313">
        <f>-AG4*$C$5</f>
        <v>-50981.508434554446</v>
      </c>
      <c r="AH5" s="303"/>
    </row>
    <row r="6" spans="1:34" ht="14.25">
      <c r="A6" s="303" t="s">
        <v>2423</v>
      </c>
      <c r="B6" s="303"/>
      <c r="C6" s="334">
        <v>1.0249999999999999</v>
      </c>
      <c r="D6" s="303"/>
      <c r="E6" s="314">
        <f>Application!Z796</f>
        <v>1071144</v>
      </c>
      <c r="F6" s="314"/>
      <c r="G6" s="314">
        <f>E6*$C$6</f>
        <v>1097922.5999999999</v>
      </c>
      <c r="H6" s="314"/>
      <c r="I6" s="314">
        <f>G6*$C$6</f>
        <v>1125370.6649999998</v>
      </c>
      <c r="J6" s="314"/>
      <c r="K6" s="314">
        <f>I6*$C$6</f>
        <v>1153504.9316249997</v>
      </c>
      <c r="L6" s="314"/>
      <c r="M6" s="314">
        <f>K6*$C$6</f>
        <v>1182342.5549156247</v>
      </c>
      <c r="N6" s="314"/>
      <c r="O6" s="314">
        <f>M6*$C$6</f>
        <v>1211901.1187885152</v>
      </c>
      <c r="P6" s="314"/>
      <c r="Q6" s="314">
        <f>O6*$C$6</f>
        <v>1242198.6467582281</v>
      </c>
      <c r="R6" s="314"/>
      <c r="S6" s="314">
        <f>Q6*$C$6</f>
        <v>1273253.6129271837</v>
      </c>
      <c r="T6" s="314"/>
      <c r="U6" s="314">
        <f>S6*$C$6</f>
        <v>1305084.9532503632</v>
      </c>
      <c r="V6" s="314"/>
      <c r="W6" s="314">
        <f>U6*$C$6</f>
        <v>1337712.0770816221</v>
      </c>
      <c r="X6" s="314"/>
      <c r="Y6" s="314">
        <f>W6*$C$6</f>
        <v>1371154.8790086624</v>
      </c>
      <c r="Z6" s="314"/>
      <c r="AA6" s="314">
        <f>Y6*$C$6</f>
        <v>1405433.750983879</v>
      </c>
      <c r="AB6" s="314"/>
      <c r="AC6" s="314">
        <f>AA6*$C$6</f>
        <v>1440569.5947584759</v>
      </c>
      <c r="AD6" s="314"/>
      <c r="AE6" s="314">
        <f>AC6*$C$6</f>
        <v>1476583.8346274376</v>
      </c>
      <c r="AF6" s="314"/>
      <c r="AG6" s="314">
        <f>AE6*$C$6</f>
        <v>1513498.4304931234</v>
      </c>
      <c r="AH6" s="303"/>
    </row>
    <row r="7" spans="1:34" ht="14.25">
      <c r="A7" s="303"/>
      <c r="B7" s="303" t="s">
        <v>2384</v>
      </c>
      <c r="C7" s="927">
        <v>0.05</v>
      </c>
      <c r="D7" s="303"/>
      <c r="E7" s="313">
        <f>-E6*$C$7</f>
        <v>-53557.200000000004</v>
      </c>
      <c r="F7" s="313"/>
      <c r="G7" s="313">
        <f>-G6*$C$7</f>
        <v>-54896.13</v>
      </c>
      <c r="H7" s="313"/>
      <c r="I7" s="313">
        <f>-I6*$C$7</f>
        <v>-56268.533249999993</v>
      </c>
      <c r="J7" s="313"/>
      <c r="K7" s="313">
        <f>-K6*$C$7</f>
        <v>-57675.246581249987</v>
      </c>
      <c r="L7" s="313"/>
      <c r="M7" s="313">
        <f>-M6*$C$7</f>
        <v>-59117.127745781239</v>
      </c>
      <c r="N7" s="313"/>
      <c r="O7" s="313">
        <f>-O6*$C$7</f>
        <v>-60595.055939425765</v>
      </c>
      <c r="P7" s="313"/>
      <c r="Q7" s="313">
        <f>-Q6*$C$7</f>
        <v>-62109.932337911407</v>
      </c>
      <c r="R7" s="313"/>
      <c r="S7" s="313">
        <f>-S6*$C$7</f>
        <v>-63662.680646359193</v>
      </c>
      <c r="T7" s="313"/>
      <c r="U7" s="313">
        <f>-U6*$C$7</f>
        <v>-65254.247662518166</v>
      </c>
      <c r="V7" s="313"/>
      <c r="W7" s="313">
        <f>-W6*$C$7</f>
        <v>-66885.603854081113</v>
      </c>
      <c r="X7" s="313"/>
      <c r="Y7" s="313">
        <f>-Y6*$C$7</f>
        <v>-68557.743950433127</v>
      </c>
      <c r="Z7" s="313"/>
      <c r="AA7" s="313">
        <f>-AA6*$C$7</f>
        <v>-70271.687549193957</v>
      </c>
      <c r="AB7" s="313"/>
      <c r="AC7" s="313">
        <f>-AC6*$C$7</f>
        <v>-72028.479737923801</v>
      </c>
      <c r="AD7" s="313"/>
      <c r="AE7" s="313">
        <f>-AE6*$C$7</f>
        <v>-73829.191731371888</v>
      </c>
      <c r="AF7" s="313"/>
      <c r="AG7" s="313">
        <f>-AG6*$C$7</f>
        <v>-75674.921524656165</v>
      </c>
      <c r="AH7" s="303"/>
    </row>
    <row r="8" spans="1:34" ht="14.25">
      <c r="A8" s="303" t="s">
        <v>211</v>
      </c>
      <c r="B8" s="303"/>
      <c r="C8" s="334">
        <v>1.0249999999999999</v>
      </c>
      <c r="D8" s="303"/>
      <c r="E8" s="314">
        <f>Application!Z804</f>
        <v>14832</v>
      </c>
      <c r="F8" s="314"/>
      <c r="G8" s="314">
        <f>E8*$C$8</f>
        <v>15202.8</v>
      </c>
      <c r="H8" s="314"/>
      <c r="I8" s="314">
        <f>G8*$C$8</f>
        <v>15582.869999999997</v>
      </c>
      <c r="J8" s="314"/>
      <c r="K8" s="314">
        <f>I8*$C$8</f>
        <v>15972.441749999996</v>
      </c>
      <c r="L8" s="314"/>
      <c r="M8" s="314">
        <f>K8*$C$8</f>
        <v>16371.752793749994</v>
      </c>
      <c r="N8" s="314"/>
      <c r="O8" s="314">
        <f>M8*$C$8</f>
        <v>16781.046613593742</v>
      </c>
      <c r="P8" s="314"/>
      <c r="Q8" s="314">
        <f>O8*$C$8</f>
        <v>17200.572778933583</v>
      </c>
      <c r="R8" s="314"/>
      <c r="S8" s="314">
        <f>Q8*$C$8</f>
        <v>17630.587098406922</v>
      </c>
      <c r="T8" s="314"/>
      <c r="U8" s="314">
        <f>S8*$C$8</f>
        <v>18071.351775867093</v>
      </c>
      <c r="V8" s="314"/>
      <c r="W8" s="314">
        <f>U8*$C$8</f>
        <v>18523.13557026377</v>
      </c>
      <c r="X8" s="314"/>
      <c r="Y8" s="314">
        <f>W8*$C$8</f>
        <v>18986.213959520363</v>
      </c>
      <c r="Z8" s="314"/>
      <c r="AA8" s="314">
        <f>Y8*$C$8</f>
        <v>19460.869308508369</v>
      </c>
      <c r="AB8" s="314"/>
      <c r="AC8" s="314">
        <f>AA8*$C$8</f>
        <v>19947.391041221075</v>
      </c>
      <c r="AD8" s="314"/>
      <c r="AE8" s="314">
        <f>AC8*$C$8</f>
        <v>20446.0758172516</v>
      </c>
      <c r="AF8" s="314"/>
      <c r="AG8" s="314">
        <f>AE8*$C$8</f>
        <v>20957.227712682889</v>
      </c>
      <c r="AH8" s="303"/>
    </row>
    <row r="9" spans="1:34" ht="14.25">
      <c r="A9" s="303"/>
      <c r="B9" s="303" t="s">
        <v>2384</v>
      </c>
      <c r="C9" s="927">
        <v>0.05</v>
      </c>
      <c r="D9" s="303"/>
      <c r="E9" s="313">
        <f>-E8*$C$9</f>
        <v>-741.6</v>
      </c>
      <c r="F9" s="313"/>
      <c r="G9" s="313">
        <f>-G8*$C$9</f>
        <v>-760.14</v>
      </c>
      <c r="H9" s="313"/>
      <c r="I9" s="313">
        <f>-I8*$C$9</f>
        <v>-779.1434999999999</v>
      </c>
      <c r="J9" s="313"/>
      <c r="K9" s="313">
        <f>-K8*$C$9</f>
        <v>-798.62208749999991</v>
      </c>
      <c r="L9" s="313"/>
      <c r="M9" s="313">
        <f>-M8*$C$9</f>
        <v>-818.58763968749975</v>
      </c>
      <c r="N9" s="313"/>
      <c r="O9" s="313">
        <f>-O8*$C$9</f>
        <v>-839.0523306796872</v>
      </c>
      <c r="P9" s="313"/>
      <c r="Q9" s="313">
        <f>-Q8*$C$9</f>
        <v>-860.02863894667917</v>
      </c>
      <c r="R9" s="313"/>
      <c r="S9" s="313">
        <f>-S8*$C$9</f>
        <v>-881.52935492034612</v>
      </c>
      <c r="T9" s="313"/>
      <c r="U9" s="313">
        <f>-U8*$C$9</f>
        <v>-903.56758879335473</v>
      </c>
      <c r="V9" s="313"/>
      <c r="W9" s="313">
        <f>-W8*$C$9</f>
        <v>-926.15677851318856</v>
      </c>
      <c r="X9" s="313"/>
      <c r="Y9" s="313">
        <f>-Y8*$C$9</f>
        <v>-949.31069797601822</v>
      </c>
      <c r="Z9" s="313"/>
      <c r="AA9" s="313">
        <f>-AA8*$C$9</f>
        <v>-973.0434654254185</v>
      </c>
      <c r="AB9" s="313"/>
      <c r="AC9" s="313">
        <f>-AC8*$C$9</f>
        <v>-997.36955206105381</v>
      </c>
      <c r="AD9" s="313"/>
      <c r="AE9" s="313">
        <f>-AE8*$C$9</f>
        <v>-1022.3037908625801</v>
      </c>
      <c r="AF9" s="313"/>
      <c r="AG9" s="313">
        <f>-AG8*$C$9</f>
        <v>-1047.8613856341444</v>
      </c>
      <c r="AH9" s="303"/>
    </row>
    <row r="10" spans="1:34" ht="14.25">
      <c r="A10" s="823" t="s">
        <v>2424</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2425</v>
      </c>
      <c r="B11" s="315"/>
      <c r="C11" s="308"/>
      <c r="D11" s="315"/>
      <c r="E11" s="315">
        <f>SUM(E4:E10)</f>
        <v>1717216.2</v>
      </c>
      <c r="F11" s="315"/>
      <c r="G11" s="315">
        <f>SUM(G4:G10)</f>
        <v>1760146.605</v>
      </c>
      <c r="H11" s="315"/>
      <c r="I11" s="315">
        <f>SUM(I4:I10)</f>
        <v>1804150.2701249998</v>
      </c>
      <c r="J11" s="315"/>
      <c r="K11" s="315">
        <f>SUM(K4:K10)</f>
        <v>1849254.0268781248</v>
      </c>
      <c r="L11" s="315"/>
      <c r="M11" s="315">
        <f>SUM(M4:M10)</f>
        <v>1895485.3775500776</v>
      </c>
      <c r="N11" s="315"/>
      <c r="O11" s="315">
        <f>SUM(O4:O10)</f>
        <v>1942872.5119888296</v>
      </c>
      <c r="P11" s="315"/>
      <c r="Q11" s="315">
        <f>SUM(Q4:Q10)</f>
        <v>1991444.3247885501</v>
      </c>
      <c r="R11" s="315"/>
      <c r="S11" s="315">
        <f>SUM(S4:S10)</f>
        <v>2041230.4329082635</v>
      </c>
      <c r="T11" s="315"/>
      <c r="U11" s="315">
        <f>SUM(U4:U10)</f>
        <v>2092261.1937309704</v>
      </c>
      <c r="V11" s="315"/>
      <c r="W11" s="315">
        <f>SUM(W4:W10)</f>
        <v>2144567.7235742444</v>
      </c>
      <c r="X11" s="315"/>
      <c r="Y11" s="315">
        <f>SUM(Y4:Y10)</f>
        <v>2198181.9166636001</v>
      </c>
      <c r="Z11" s="315"/>
      <c r="AA11" s="315">
        <f>SUM(AA4:AA10)</f>
        <v>2253136.4645801904</v>
      </c>
      <c r="AB11" s="315"/>
      <c r="AC11" s="315">
        <f>SUM(AC4:AC10)</f>
        <v>2309464.8761946945</v>
      </c>
      <c r="AD11" s="315"/>
      <c r="AE11" s="315">
        <f>SUM(AE4:AE10)</f>
        <v>2367201.4980995618</v>
      </c>
      <c r="AF11" s="315"/>
      <c r="AG11" s="315">
        <f>SUM(AG4:AG10)</f>
        <v>2426381.5355520505</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2426</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2427</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2428</v>
      </c>
      <c r="B15" s="311"/>
      <c r="C15" s="326"/>
      <c r="D15" s="311"/>
      <c r="E15" s="311">
        <f>Application!W834</f>
        <v>204041</v>
      </c>
      <c r="F15" s="311"/>
      <c r="G15" s="311">
        <f t="shared" ref="G15:G21" si="0">E15*$C$14</f>
        <v>211182.435</v>
      </c>
      <c r="H15" s="311"/>
      <c r="I15" s="311">
        <f t="shared" ref="I15:I21" si="1">G15*$C$14</f>
        <v>218573.82022499997</v>
      </c>
      <c r="J15" s="311"/>
      <c r="K15" s="311">
        <f t="shared" ref="K15:K21" si="2">I15*$C$14</f>
        <v>226223.90393287496</v>
      </c>
      <c r="L15" s="311"/>
      <c r="M15" s="311">
        <f t="shared" ref="M15:M21" si="3">K15*$C$14</f>
        <v>234141.74057052558</v>
      </c>
      <c r="N15" s="311"/>
      <c r="O15" s="311">
        <f t="shared" ref="O15:O21" si="4">M15*$C$14</f>
        <v>242336.70149049396</v>
      </c>
      <c r="P15" s="311"/>
      <c r="Q15" s="311">
        <f t="shared" ref="Q15:Q21" si="5">O15*$C$14</f>
        <v>250818.48604266121</v>
      </c>
      <c r="R15" s="311"/>
      <c r="S15" s="311">
        <f t="shared" ref="S15:S21" si="6">Q15*$C$14</f>
        <v>259597.13305415434</v>
      </c>
      <c r="T15" s="311"/>
      <c r="U15" s="311">
        <f t="shared" ref="U15:U21" si="7">S15*$C$14</f>
        <v>268683.03271104972</v>
      </c>
      <c r="V15" s="311"/>
      <c r="W15" s="311">
        <f t="shared" ref="W15:W21" si="8">U15*$C$14</f>
        <v>278086.93885593646</v>
      </c>
      <c r="X15" s="311"/>
      <c r="Y15" s="311">
        <f t="shared" ref="Y15:Y21" si="9">W15*$C$14</f>
        <v>287819.98171589419</v>
      </c>
      <c r="Z15" s="311"/>
      <c r="AA15" s="311">
        <f t="shared" ref="AA15:AA21" si="10">Y15*$C$14</f>
        <v>297893.68107595044</v>
      </c>
      <c r="AB15" s="311"/>
      <c r="AC15" s="311">
        <f t="shared" ref="AC15:AC21" si="11">AA15*$C$14</f>
        <v>308319.95991360868</v>
      </c>
      <c r="AD15" s="311"/>
      <c r="AE15" s="311">
        <f t="shared" ref="AE15:AE21" si="12">AC15*$C$14</f>
        <v>319111.15851058497</v>
      </c>
      <c r="AF15" s="311"/>
      <c r="AG15" s="311">
        <f t="shared" ref="AG15:AG21" si="13">AE15*$C$14</f>
        <v>330280.04905845539</v>
      </c>
      <c r="AH15" s="311"/>
    </row>
    <row r="16" spans="1:34" ht="14.25">
      <c r="A16" s="303" t="s">
        <v>1453</v>
      </c>
      <c r="B16" s="303"/>
      <c r="C16" s="325"/>
      <c r="D16" s="303"/>
      <c r="E16" s="314">
        <f>Application!W836</f>
        <v>88486</v>
      </c>
      <c r="F16" s="314"/>
      <c r="G16" s="314">
        <f t="shared" si="0"/>
        <v>91583.01</v>
      </c>
      <c r="H16" s="314"/>
      <c r="I16" s="314">
        <f t="shared" si="1"/>
        <v>94788.415349999981</v>
      </c>
      <c r="J16" s="314"/>
      <c r="K16" s="314">
        <f t="shared" si="2"/>
        <v>98106.009887249966</v>
      </c>
      <c r="L16" s="314"/>
      <c r="M16" s="314">
        <f t="shared" si="3"/>
        <v>101539.72023330371</v>
      </c>
      <c r="N16" s="314"/>
      <c r="O16" s="314">
        <f t="shared" si="4"/>
        <v>105093.61044146934</v>
      </c>
      <c r="P16" s="314"/>
      <c r="Q16" s="314">
        <f t="shared" si="5"/>
        <v>108771.88680692075</v>
      </c>
      <c r="R16" s="314"/>
      <c r="S16" s="314">
        <f t="shared" si="6"/>
        <v>112578.90284516297</v>
      </c>
      <c r="T16" s="314"/>
      <c r="U16" s="314">
        <f t="shared" si="7"/>
        <v>116519.16444474367</v>
      </c>
      <c r="V16" s="314"/>
      <c r="W16" s="314">
        <f t="shared" si="8"/>
        <v>120597.3352003097</v>
      </c>
      <c r="X16" s="314"/>
      <c r="Y16" s="314">
        <f t="shared" si="9"/>
        <v>124818.24193232052</v>
      </c>
      <c r="Z16" s="314"/>
      <c r="AA16" s="314">
        <f t="shared" si="10"/>
        <v>129186.88039995174</v>
      </c>
      <c r="AB16" s="314"/>
      <c r="AC16" s="314">
        <f t="shared" si="11"/>
        <v>133708.42121395003</v>
      </c>
      <c r="AD16" s="314"/>
      <c r="AE16" s="314">
        <f t="shared" si="12"/>
        <v>138388.21595643827</v>
      </c>
      <c r="AF16" s="314"/>
      <c r="AG16" s="314">
        <f t="shared" si="13"/>
        <v>143231.8035149136</v>
      </c>
      <c r="AH16" s="303"/>
    </row>
    <row r="17" spans="1:34" ht="14.25">
      <c r="A17" s="303" t="s">
        <v>226</v>
      </c>
      <c r="B17" s="303"/>
      <c r="C17" s="325"/>
      <c r="D17" s="303"/>
      <c r="E17" s="314">
        <f>Application!W842</f>
        <v>133775</v>
      </c>
      <c r="F17" s="314"/>
      <c r="G17" s="314">
        <f t="shared" si="0"/>
        <v>138457.125</v>
      </c>
      <c r="H17" s="314"/>
      <c r="I17" s="314">
        <f t="shared" si="1"/>
        <v>143303.12437499998</v>
      </c>
      <c r="J17" s="314"/>
      <c r="K17" s="314">
        <f t="shared" si="2"/>
        <v>148318.73372812496</v>
      </c>
      <c r="L17" s="314"/>
      <c r="M17" s="314">
        <f t="shared" si="3"/>
        <v>153509.88940860934</v>
      </c>
      <c r="N17" s="314"/>
      <c r="O17" s="314">
        <f t="shared" si="4"/>
        <v>158882.73553791066</v>
      </c>
      <c r="P17" s="314"/>
      <c r="Q17" s="314">
        <f t="shared" si="5"/>
        <v>164443.63128173753</v>
      </c>
      <c r="R17" s="314"/>
      <c r="S17" s="314">
        <f t="shared" si="6"/>
        <v>170199.15837659832</v>
      </c>
      <c r="T17" s="314"/>
      <c r="U17" s="314">
        <f t="shared" si="7"/>
        <v>176156.12891977926</v>
      </c>
      <c r="V17" s="314"/>
      <c r="W17" s="314">
        <f t="shared" si="8"/>
        <v>182321.59343197153</v>
      </c>
      <c r="X17" s="314"/>
      <c r="Y17" s="314">
        <f t="shared" si="9"/>
        <v>188702.84920209053</v>
      </c>
      <c r="Z17" s="314"/>
      <c r="AA17" s="314">
        <f t="shared" si="10"/>
        <v>195307.44892416368</v>
      </c>
      <c r="AB17" s="314"/>
      <c r="AC17" s="314">
        <f t="shared" si="11"/>
        <v>202143.20963650939</v>
      </c>
      <c r="AD17" s="314"/>
      <c r="AE17" s="314">
        <f t="shared" si="12"/>
        <v>209218.22197378721</v>
      </c>
      <c r="AF17" s="314"/>
      <c r="AG17" s="314">
        <f t="shared" si="13"/>
        <v>216540.85974286974</v>
      </c>
      <c r="AH17" s="303"/>
    </row>
    <row r="18" spans="1:34" ht="14.25">
      <c r="A18" s="303" t="s">
        <v>2429</v>
      </c>
      <c r="B18" s="303"/>
      <c r="C18" s="325"/>
      <c r="D18" s="303"/>
      <c r="E18" s="314">
        <f>Application!W849</f>
        <v>324448</v>
      </c>
      <c r="F18" s="314"/>
      <c r="G18" s="314">
        <f t="shared" si="0"/>
        <v>335803.68</v>
      </c>
      <c r="H18" s="314"/>
      <c r="I18" s="314">
        <f t="shared" si="1"/>
        <v>347556.80879999994</v>
      </c>
      <c r="J18" s="314"/>
      <c r="K18" s="314">
        <f t="shared" si="2"/>
        <v>359721.29710799991</v>
      </c>
      <c r="L18" s="314"/>
      <c r="M18" s="314">
        <f t="shared" si="3"/>
        <v>372311.54250677989</v>
      </c>
      <c r="N18" s="314"/>
      <c r="O18" s="314">
        <f t="shared" si="4"/>
        <v>385342.44649451715</v>
      </c>
      <c r="P18" s="314"/>
      <c r="Q18" s="314">
        <f t="shared" si="5"/>
        <v>398829.43212182523</v>
      </c>
      <c r="R18" s="314"/>
      <c r="S18" s="314">
        <f t="shared" si="6"/>
        <v>412788.46224608907</v>
      </c>
      <c r="T18" s="314"/>
      <c r="U18" s="314">
        <f t="shared" si="7"/>
        <v>427236.05842470215</v>
      </c>
      <c r="V18" s="314"/>
      <c r="W18" s="314">
        <f t="shared" si="8"/>
        <v>442189.32046956668</v>
      </c>
      <c r="X18" s="314"/>
      <c r="Y18" s="314">
        <f t="shared" si="9"/>
        <v>457665.94668600149</v>
      </c>
      <c r="Z18" s="314"/>
      <c r="AA18" s="314">
        <f t="shared" si="10"/>
        <v>473684.2548200115</v>
      </c>
      <c r="AB18" s="314"/>
      <c r="AC18" s="314">
        <f t="shared" si="11"/>
        <v>490263.20373871189</v>
      </c>
      <c r="AD18" s="314"/>
      <c r="AE18" s="314">
        <f t="shared" si="12"/>
        <v>507422.41586956679</v>
      </c>
      <c r="AF18" s="314"/>
      <c r="AG18" s="314">
        <f t="shared" si="13"/>
        <v>525182.20042500156</v>
      </c>
    </row>
    <row r="19" spans="1:34" ht="14.25">
      <c r="A19" s="303" t="s">
        <v>1469</v>
      </c>
      <c r="B19" s="303"/>
      <c r="C19" s="325"/>
      <c r="D19" s="303"/>
      <c r="E19" s="314">
        <f>Application!W851</f>
        <v>58500</v>
      </c>
      <c r="F19" s="314"/>
      <c r="G19" s="314">
        <f t="shared" si="0"/>
        <v>60547.499999999993</v>
      </c>
      <c r="H19" s="314"/>
      <c r="I19" s="314">
        <f t="shared" si="1"/>
        <v>62666.662499999984</v>
      </c>
      <c r="J19" s="314"/>
      <c r="K19" s="314">
        <f t="shared" si="2"/>
        <v>64859.995687499977</v>
      </c>
      <c r="L19" s="314"/>
      <c r="M19" s="314">
        <f t="shared" si="3"/>
        <v>67130.095536562469</v>
      </c>
      <c r="N19" s="314"/>
      <c r="O19" s="314">
        <f t="shared" si="4"/>
        <v>69479.648880342153</v>
      </c>
      <c r="P19" s="314"/>
      <c r="Q19" s="314">
        <f t="shared" si="5"/>
        <v>71911.436591154124</v>
      </c>
      <c r="R19" s="314"/>
      <c r="S19" s="314">
        <f t="shared" si="6"/>
        <v>74428.336871844513</v>
      </c>
      <c r="T19" s="314"/>
      <c r="U19" s="314">
        <f t="shared" si="7"/>
        <v>77033.328662359068</v>
      </c>
      <c r="V19" s="314"/>
      <c r="W19" s="314">
        <f t="shared" si="8"/>
        <v>79729.495165541623</v>
      </c>
      <c r="X19" s="314"/>
      <c r="Y19" s="314">
        <f t="shared" si="9"/>
        <v>82520.027496335577</v>
      </c>
      <c r="Z19" s="314"/>
      <c r="AA19" s="314">
        <f t="shared" si="10"/>
        <v>85408.228458707323</v>
      </c>
      <c r="AB19" s="314"/>
      <c r="AC19" s="314">
        <f t="shared" si="11"/>
        <v>88397.516454762066</v>
      </c>
      <c r="AD19" s="314"/>
      <c r="AE19" s="314">
        <f t="shared" si="12"/>
        <v>91491.429530678724</v>
      </c>
      <c r="AF19" s="314"/>
      <c r="AG19" s="314">
        <f t="shared" si="13"/>
        <v>94693.629564252478</v>
      </c>
    </row>
    <row r="20" spans="1:34" ht="14.25">
      <c r="A20" s="303" t="s">
        <v>228</v>
      </c>
      <c r="B20" s="303"/>
      <c r="C20" s="325"/>
      <c r="D20" s="303"/>
      <c r="E20" s="314">
        <f>Application!W860</f>
        <v>165978</v>
      </c>
      <c r="F20" s="314"/>
      <c r="G20" s="314">
        <f t="shared" si="0"/>
        <v>171787.22999999998</v>
      </c>
      <c r="H20" s="314"/>
      <c r="I20" s="314">
        <f t="shared" si="1"/>
        <v>177799.78304999997</v>
      </c>
      <c r="J20" s="314"/>
      <c r="K20" s="314">
        <f t="shared" si="2"/>
        <v>184022.77545674995</v>
      </c>
      <c r="L20" s="314"/>
      <c r="M20" s="314">
        <f t="shared" si="3"/>
        <v>190463.57259773617</v>
      </c>
      <c r="N20" s="314"/>
      <c r="O20" s="314">
        <f t="shared" si="4"/>
        <v>197129.79763865692</v>
      </c>
      <c r="P20" s="314"/>
      <c r="Q20" s="314">
        <f t="shared" si="5"/>
        <v>204029.34055600991</v>
      </c>
      <c r="R20" s="314"/>
      <c r="S20" s="314">
        <f t="shared" si="6"/>
        <v>211170.36747547024</v>
      </c>
      <c r="T20" s="314"/>
      <c r="U20" s="314">
        <f t="shared" si="7"/>
        <v>218561.33033711169</v>
      </c>
      <c r="V20" s="314"/>
      <c r="W20" s="314">
        <f t="shared" si="8"/>
        <v>226210.97689891059</v>
      </c>
      <c r="X20" s="314"/>
      <c r="Y20" s="314">
        <f t="shared" si="9"/>
        <v>234128.36109037243</v>
      </c>
      <c r="Z20" s="314"/>
      <c r="AA20" s="314">
        <f t="shared" si="10"/>
        <v>242322.85372853544</v>
      </c>
      <c r="AB20" s="314"/>
      <c r="AC20" s="314">
        <f t="shared" si="11"/>
        <v>250804.15360903417</v>
      </c>
      <c r="AD20" s="314"/>
      <c r="AE20" s="314">
        <f t="shared" si="12"/>
        <v>259582.29898535035</v>
      </c>
      <c r="AF20" s="314"/>
      <c r="AG20" s="314">
        <f t="shared" si="13"/>
        <v>268667.6794498376</v>
      </c>
    </row>
    <row r="21" spans="1:34" ht="14.25">
      <c r="A21" s="507" t="s">
        <v>2430</v>
      </c>
      <c r="B21" s="507"/>
      <c r="C21" s="325"/>
      <c r="D21" s="303"/>
      <c r="E21" s="324">
        <f>Application!W867</f>
        <v>4800</v>
      </c>
      <c r="F21" s="314"/>
      <c r="G21" s="324">
        <f t="shared" si="0"/>
        <v>4968</v>
      </c>
      <c r="H21" s="314"/>
      <c r="I21" s="324">
        <f t="shared" si="1"/>
        <v>5141.8799999999992</v>
      </c>
      <c r="J21" s="314"/>
      <c r="K21" s="324">
        <f t="shared" si="2"/>
        <v>5321.8457999999991</v>
      </c>
      <c r="L21" s="314"/>
      <c r="M21" s="324">
        <f t="shared" si="3"/>
        <v>5508.1104029999988</v>
      </c>
      <c r="N21" s="314"/>
      <c r="O21" s="324">
        <f t="shared" si="4"/>
        <v>5700.8942671049981</v>
      </c>
      <c r="P21" s="314"/>
      <c r="Q21" s="324">
        <f t="shared" si="5"/>
        <v>5900.4255664536722</v>
      </c>
      <c r="R21" s="314"/>
      <c r="S21" s="324">
        <f t="shared" si="6"/>
        <v>6106.9404612795506</v>
      </c>
      <c r="T21" s="314"/>
      <c r="U21" s="324">
        <f t="shared" si="7"/>
        <v>6320.6833774243341</v>
      </c>
      <c r="V21" s="314"/>
      <c r="W21" s="324">
        <f t="shared" si="8"/>
        <v>6541.9072956341852</v>
      </c>
      <c r="X21" s="314"/>
      <c r="Y21" s="324">
        <f t="shared" si="9"/>
        <v>6770.8740509813815</v>
      </c>
      <c r="Z21" s="314"/>
      <c r="AA21" s="324">
        <f t="shared" si="10"/>
        <v>7007.8546427657293</v>
      </c>
      <c r="AB21" s="314"/>
      <c r="AC21" s="324">
        <f t="shared" si="11"/>
        <v>7253.1295552625288</v>
      </c>
      <c r="AD21" s="314"/>
      <c r="AE21" s="324">
        <f t="shared" si="12"/>
        <v>7506.9890896967163</v>
      </c>
      <c r="AF21" s="314"/>
      <c r="AG21" s="324">
        <f t="shared" si="13"/>
        <v>7769.7337078361006</v>
      </c>
    </row>
    <row r="22" spans="1:34" ht="15">
      <c r="A22" s="315" t="s">
        <v>2431</v>
      </c>
      <c r="B22" s="315"/>
      <c r="C22" s="325"/>
      <c r="D22" s="315"/>
      <c r="E22" s="315">
        <f>SUM(E15:E21)</f>
        <v>980028</v>
      </c>
      <c r="F22" s="315"/>
      <c r="G22" s="315">
        <f>SUM(G15:G21)</f>
        <v>1014328.98</v>
      </c>
      <c r="H22" s="315"/>
      <c r="I22" s="315">
        <f>SUM(I15:I21)</f>
        <v>1049830.4942999999</v>
      </c>
      <c r="J22" s="315"/>
      <c r="K22" s="315">
        <f>SUM(K15:K21)</f>
        <v>1086574.5616004998</v>
      </c>
      <c r="L22" s="315"/>
      <c r="M22" s="315">
        <f>SUM(M15:M21)</f>
        <v>1124604.6712565171</v>
      </c>
      <c r="N22" s="315"/>
      <c r="O22" s="315">
        <f>SUM(O15:O21)</f>
        <v>1163965.8347504952</v>
      </c>
      <c r="P22" s="315"/>
      <c r="Q22" s="315">
        <f>SUM(Q15:Q21)</f>
        <v>1204704.6389667625</v>
      </c>
      <c r="R22" s="315"/>
      <c r="S22" s="315">
        <f>SUM(S15:S21)</f>
        <v>1246869.301330599</v>
      </c>
      <c r="T22" s="315"/>
      <c r="U22" s="315">
        <f>SUM(U15:U21)</f>
        <v>1290509.7268771697</v>
      </c>
      <c r="V22" s="315"/>
      <c r="W22" s="315">
        <f>SUM(W15:W21)</f>
        <v>1335677.5673178707</v>
      </c>
      <c r="X22" s="315"/>
      <c r="Y22" s="315">
        <f>SUM(Y15:Y21)</f>
        <v>1382426.2821739959</v>
      </c>
      <c r="Z22" s="315"/>
      <c r="AA22" s="315">
        <f>SUM(AA15:AA21)</f>
        <v>1430811.2020500859</v>
      </c>
      <c r="AB22" s="315"/>
      <c r="AC22" s="315">
        <f>SUM(AC15:AC21)</f>
        <v>1480889.5941218387</v>
      </c>
      <c r="AD22" s="315"/>
      <c r="AE22" s="315">
        <f>SUM(AE15:AE21)</f>
        <v>1532720.7299161032</v>
      </c>
      <c r="AF22" s="315"/>
      <c r="AG22" s="315">
        <f>SUM(AG15:AG21)</f>
        <v>1586365.9554631666</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2432</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2433</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2434</v>
      </c>
      <c r="B27" s="303"/>
      <c r="C27" s="334">
        <v>1.0349999999999999</v>
      </c>
      <c r="D27" s="303"/>
      <c r="E27" s="314">
        <f>Application!AC876</f>
        <v>405700</v>
      </c>
      <c r="F27" s="314"/>
      <c r="G27" s="314">
        <f>E27*$C$27</f>
        <v>419899.49999999994</v>
      </c>
      <c r="H27" s="314"/>
      <c r="I27" s="314">
        <f>G27*$C$27</f>
        <v>434595.98249999993</v>
      </c>
      <c r="J27" s="314"/>
      <c r="K27" s="314">
        <f>I27*$C$27</f>
        <v>449806.8418874999</v>
      </c>
      <c r="L27" s="314"/>
      <c r="M27" s="314">
        <f>K27*$C$27</f>
        <v>465550.08135356236</v>
      </c>
      <c r="N27" s="314"/>
      <c r="O27" s="314">
        <f>M27*$C$27</f>
        <v>481844.33420093701</v>
      </c>
      <c r="P27" s="314"/>
      <c r="Q27" s="314">
        <f>O27*$C$27</f>
        <v>498708.88589796977</v>
      </c>
      <c r="R27" s="314"/>
      <c r="S27" s="314">
        <f>Q27*$C$27</f>
        <v>516163.69690439868</v>
      </c>
      <c r="T27" s="314"/>
      <c r="U27" s="314">
        <f>S27*$C$27</f>
        <v>534229.42629605264</v>
      </c>
      <c r="V27" s="314"/>
      <c r="W27" s="314">
        <f>U27*$C$27</f>
        <v>552927.45621641446</v>
      </c>
      <c r="X27" s="314"/>
      <c r="Y27" s="314">
        <f>W27*$C$27</f>
        <v>572279.91718398896</v>
      </c>
      <c r="Z27" s="314"/>
      <c r="AA27" s="314">
        <f>Y27*$C$27</f>
        <v>592309.71428542852</v>
      </c>
      <c r="AB27" s="314"/>
      <c r="AC27" s="314">
        <f>AA27*$C$27</f>
        <v>613040.55428541848</v>
      </c>
      <c r="AD27" s="314"/>
      <c r="AE27" s="314">
        <f>AC27*$C$27</f>
        <v>634496.97368540813</v>
      </c>
      <c r="AF27" s="314"/>
      <c r="AG27" s="314">
        <f>AE27*$C$27</f>
        <v>656704.36776439741</v>
      </c>
    </row>
    <row r="28" spans="1:34" ht="14.25">
      <c r="A28" s="507" t="s">
        <v>2435</v>
      </c>
      <c r="B28" s="303"/>
      <c r="C28" s="334"/>
      <c r="D28" s="303"/>
      <c r="E28" s="314">
        <f>Application!AC877</f>
        <v>37000</v>
      </c>
      <c r="F28" s="314"/>
      <c r="G28" s="314">
        <f>$E$28</f>
        <v>37000</v>
      </c>
      <c r="H28" s="314"/>
      <c r="I28" s="314">
        <f>$E$28</f>
        <v>37000</v>
      </c>
      <c r="J28" s="314"/>
      <c r="K28" s="314">
        <f>$E$28</f>
        <v>37000</v>
      </c>
      <c r="L28" s="314"/>
      <c r="M28" s="314">
        <f>$E$28</f>
        <v>37000</v>
      </c>
      <c r="N28" s="314"/>
      <c r="O28" s="314">
        <f>$E$28</f>
        <v>37000</v>
      </c>
      <c r="P28" s="314"/>
      <c r="Q28" s="314">
        <f>$E$28</f>
        <v>37000</v>
      </c>
      <c r="R28" s="314"/>
      <c r="S28" s="314">
        <f>$E$28</f>
        <v>37000</v>
      </c>
      <c r="T28" s="314"/>
      <c r="U28" s="314">
        <f>$E$28</f>
        <v>37000</v>
      </c>
      <c r="V28" s="314"/>
      <c r="W28" s="314">
        <f>$E$28</f>
        <v>37000</v>
      </c>
      <c r="X28" s="314"/>
      <c r="Y28" s="314">
        <f>$E$28</f>
        <v>37000</v>
      </c>
      <c r="Z28" s="314"/>
      <c r="AA28" s="314">
        <f>$E$28</f>
        <v>37000</v>
      </c>
      <c r="AB28" s="314"/>
      <c r="AC28" s="314">
        <f>$E$28</f>
        <v>37000</v>
      </c>
      <c r="AD28" s="314"/>
      <c r="AE28" s="314">
        <f>$E$28</f>
        <v>37000</v>
      </c>
      <c r="AF28" s="314"/>
      <c r="AG28" s="314">
        <f>$E$28</f>
        <v>37000</v>
      </c>
    </row>
    <row r="29" spans="1:34" ht="14.25">
      <c r="A29" s="507" t="s">
        <v>2436</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2437</v>
      </c>
      <c r="B30" s="303"/>
      <c r="C30" s="334">
        <v>1.02</v>
      </c>
      <c r="D30" s="303"/>
      <c r="E30" s="314">
        <f>Application!AC879</f>
        <v>6500</v>
      </c>
      <c r="F30" s="314"/>
      <c r="G30" s="314">
        <f>E30*$C$30</f>
        <v>6630</v>
      </c>
      <c r="H30" s="314"/>
      <c r="I30" s="314">
        <f>G30*$C$30</f>
        <v>6762.6</v>
      </c>
      <c r="J30" s="314"/>
      <c r="K30" s="314">
        <f>I30*$C$30</f>
        <v>6897.8520000000008</v>
      </c>
      <c r="L30" s="314"/>
      <c r="M30" s="314">
        <f>K30*$C$30</f>
        <v>7035.809040000001</v>
      </c>
      <c r="N30" s="314"/>
      <c r="O30" s="314">
        <f>M30*$C$30</f>
        <v>7176.5252208000011</v>
      </c>
      <c r="P30" s="314"/>
      <c r="Q30" s="314">
        <f>O30*$C$30</f>
        <v>7320.0557252160015</v>
      </c>
      <c r="R30" s="314"/>
      <c r="S30" s="314">
        <f>Q30*$C$30</f>
        <v>7466.456839720322</v>
      </c>
      <c r="T30" s="314"/>
      <c r="U30" s="314">
        <f>S30*$C$30</f>
        <v>7615.7859765147286</v>
      </c>
      <c r="V30" s="314"/>
      <c r="W30" s="314">
        <f>U30*$C$30</f>
        <v>7768.1016960450233</v>
      </c>
      <c r="X30" s="314"/>
      <c r="Y30" s="314">
        <f>W30*$C$30</f>
        <v>7923.4637299659244</v>
      </c>
      <c r="Z30" s="314"/>
      <c r="AA30" s="314">
        <f>Y30*$C$30</f>
        <v>8081.9330045652432</v>
      </c>
      <c r="AB30" s="314"/>
      <c r="AC30" s="314">
        <f>AA30*$C$30</f>
        <v>8243.5716646565488</v>
      </c>
      <c r="AD30" s="314"/>
      <c r="AE30" s="314">
        <f>AC30*$C$30</f>
        <v>8408.4430979496792</v>
      </c>
      <c r="AF30" s="314"/>
      <c r="AG30" s="314">
        <f>AE30*$C$30</f>
        <v>8576.6119599086724</v>
      </c>
    </row>
    <row r="31" spans="1:34" ht="14.25">
      <c r="A31" s="507" t="s">
        <v>2438</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1483</v>
      </c>
      <c r="B35" s="315"/>
      <c r="C35" s="316"/>
      <c r="D35" s="315"/>
      <c r="E35" s="315">
        <f>SUM(E22:E33)</f>
        <v>1429228</v>
      </c>
      <c r="F35" s="315"/>
      <c r="G35" s="315">
        <f>SUM(G22:G33)</f>
        <v>1477858.48</v>
      </c>
      <c r="H35" s="315"/>
      <c r="I35" s="315">
        <f>SUM(I22:I33)</f>
        <v>1528189.0767999999</v>
      </c>
      <c r="J35" s="315"/>
      <c r="K35" s="315">
        <f>SUM(K22:K33)</f>
        <v>1580279.2554879996</v>
      </c>
      <c r="L35" s="315"/>
      <c r="M35" s="315">
        <f>SUM(M22:M33)</f>
        <v>1634190.5616500794</v>
      </c>
      <c r="N35" s="315"/>
      <c r="O35" s="315">
        <f>SUM(O22:O33)</f>
        <v>1689986.6941722322</v>
      </c>
      <c r="P35" s="315"/>
      <c r="Q35" s="315">
        <f>SUM(Q22:Q33)</f>
        <v>1747733.5805899482</v>
      </c>
      <c r="R35" s="315"/>
      <c r="S35" s="315">
        <f>SUM(S22:S33)</f>
        <v>1807499.455074718</v>
      </c>
      <c r="T35" s="315"/>
      <c r="U35" s="315">
        <f>SUM(U22:U33)</f>
        <v>1869354.9391497369</v>
      </c>
      <c r="V35" s="315"/>
      <c r="W35" s="315">
        <f>SUM(W22:W33)</f>
        <v>1933373.1252303303</v>
      </c>
      <c r="X35" s="315"/>
      <c r="Y35" s="315">
        <f>SUM(Y22:Y33)</f>
        <v>1999629.6630879508</v>
      </c>
      <c r="Z35" s="315"/>
      <c r="AA35" s="315">
        <f>SUM(AA22:AA33)</f>
        <v>2068202.8493400796</v>
      </c>
      <c r="AB35" s="315"/>
      <c r="AC35" s="315">
        <f>SUM(AC22:AC33)</f>
        <v>2139173.7200719137</v>
      </c>
      <c r="AD35" s="315"/>
      <c r="AE35" s="315">
        <f>SUM(AE22:AE33)</f>
        <v>2212626.1466994607</v>
      </c>
      <c r="AF35" s="315"/>
      <c r="AG35" s="315">
        <f>SUM(AG22:AG33)</f>
        <v>2288646.9351874725</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2439</v>
      </c>
      <c r="B37" s="315"/>
      <c r="C37" s="316"/>
      <c r="D37" s="315"/>
      <c r="E37" s="315">
        <f>E11-E35</f>
        <v>287988.19999999995</v>
      </c>
      <c r="F37" s="315"/>
      <c r="G37" s="315">
        <f>G11-G35</f>
        <v>282288.125</v>
      </c>
      <c r="H37" s="315"/>
      <c r="I37" s="315">
        <f>I11-I35</f>
        <v>275961.19332499988</v>
      </c>
      <c r="J37" s="315"/>
      <c r="K37" s="315">
        <f>K11-K35</f>
        <v>268974.77139012516</v>
      </c>
      <c r="L37" s="315"/>
      <c r="M37" s="315">
        <f>M11-M35</f>
        <v>261294.81589999818</v>
      </c>
      <c r="N37" s="315"/>
      <c r="O37" s="315">
        <f>O11-O35</f>
        <v>252885.81781659741</v>
      </c>
      <c r="P37" s="315"/>
      <c r="Q37" s="315">
        <f>Q11-Q35</f>
        <v>243710.74419860193</v>
      </c>
      <c r="R37" s="315"/>
      <c r="S37" s="315">
        <f>S11-S35</f>
        <v>233730.97783354553</v>
      </c>
      <c r="T37" s="315"/>
      <c r="U37" s="315">
        <f>U11-U35</f>
        <v>222906.25458123349</v>
      </c>
      <c r="V37" s="315"/>
      <c r="W37" s="315">
        <f>W11-W35</f>
        <v>211194.59834391414</v>
      </c>
      <c r="X37" s="315"/>
      <c r="Y37" s="315">
        <f>Y11-Y35</f>
        <v>198552.25357564935</v>
      </c>
      <c r="Z37" s="315"/>
      <c r="AA37" s="315">
        <f>AA11-AA35</f>
        <v>184933.61524011078</v>
      </c>
      <c r="AB37" s="315"/>
      <c r="AC37" s="315">
        <f>AC11-AC35</f>
        <v>170291.15612278087</v>
      </c>
      <c r="AD37" s="315"/>
      <c r="AE37" s="315">
        <f>AE11-AE35</f>
        <v>154575.35140010109</v>
      </c>
      <c r="AF37" s="315"/>
      <c r="AG37" s="315">
        <f>AG11-AG35</f>
        <v>137734.60036457796</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2440</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SCCHA Perm Loan -- Tranche A</v>
      </c>
      <c r="B40" s="318"/>
      <c r="C40" s="312"/>
      <c r="D40" s="303"/>
      <c r="E40" s="311">
        <f>Application!AF629</f>
        <v>25001</v>
      </c>
      <c r="F40" s="311"/>
      <c r="G40" s="311">
        <f>$E$40</f>
        <v>25001</v>
      </c>
      <c r="H40" s="311"/>
      <c r="I40" s="311">
        <f>$E$40</f>
        <v>25001</v>
      </c>
      <c r="J40" s="311"/>
      <c r="K40" s="311">
        <f>$E$40</f>
        <v>25001</v>
      </c>
      <c r="L40" s="311"/>
      <c r="M40" s="311">
        <f>$E$40</f>
        <v>25001</v>
      </c>
      <c r="N40" s="311"/>
      <c r="O40" s="311">
        <f>$E$40</f>
        <v>25001</v>
      </c>
      <c r="P40" s="311"/>
      <c r="Q40" s="311">
        <f>$E$40</f>
        <v>25001</v>
      </c>
      <c r="R40" s="311"/>
      <c r="S40" s="311">
        <f>$E$40</f>
        <v>25001</v>
      </c>
      <c r="T40" s="311"/>
      <c r="U40" s="311">
        <f>$E$40</f>
        <v>25001</v>
      </c>
      <c r="V40" s="311"/>
      <c r="W40" s="311">
        <f>$E$40</f>
        <v>25001</v>
      </c>
      <c r="X40" s="311"/>
      <c r="Y40" s="311">
        <f>$E$40</f>
        <v>25001</v>
      </c>
      <c r="Z40" s="311"/>
      <c r="AA40" s="311">
        <f>$E$40</f>
        <v>25001</v>
      </c>
      <c r="AB40" s="311"/>
      <c r="AC40" s="311">
        <f>$E$40</f>
        <v>25001</v>
      </c>
      <c r="AD40" s="311"/>
      <c r="AE40" s="311">
        <f>$E$40</f>
        <v>25001</v>
      </c>
      <c r="AF40" s="311"/>
      <c r="AG40" s="311">
        <f>$E$40</f>
        <v>25001</v>
      </c>
      <c r="AH40" s="303"/>
      <c r="AI40" s="303"/>
    </row>
    <row r="41" spans="1:35" ht="14.25">
      <c r="A41" s="317" t="str">
        <f>Application!C630</f>
        <v>SCCHA Perm Loan -- Tranche B</v>
      </c>
      <c r="B41" s="318"/>
      <c r="C41" s="312"/>
      <c r="D41" s="303"/>
      <c r="E41" s="311">
        <f>Application!AF630</f>
        <v>90048</v>
      </c>
      <c r="F41" s="314"/>
      <c r="G41" s="314">
        <f>$E$41</f>
        <v>90048</v>
      </c>
      <c r="H41" s="314"/>
      <c r="I41" s="314">
        <f>$E$41</f>
        <v>90048</v>
      </c>
      <c r="J41" s="314"/>
      <c r="K41" s="314">
        <f>$E$41</f>
        <v>90048</v>
      </c>
      <c r="L41" s="314"/>
      <c r="M41" s="314">
        <f>$E$41</f>
        <v>90048</v>
      </c>
      <c r="N41" s="314"/>
      <c r="O41" s="314">
        <f>$E$41</f>
        <v>90048</v>
      </c>
      <c r="P41" s="314"/>
      <c r="Q41" s="314">
        <f>$E$41</f>
        <v>90048</v>
      </c>
      <c r="R41" s="314"/>
      <c r="S41" s="314">
        <f>$E$41</f>
        <v>90048</v>
      </c>
      <c r="T41" s="314"/>
      <c r="U41" s="314">
        <f>$E$41</f>
        <v>90048</v>
      </c>
      <c r="V41" s="314"/>
      <c r="W41" s="314">
        <f>$E$41</f>
        <v>90048</v>
      </c>
      <c r="X41" s="314"/>
      <c r="Y41" s="314">
        <f>$E$41</f>
        <v>90048</v>
      </c>
      <c r="Z41" s="314"/>
      <c r="AA41" s="314">
        <f>$E$41</f>
        <v>90048</v>
      </c>
      <c r="AB41" s="314"/>
      <c r="AC41" s="314">
        <f>$E$41</f>
        <v>90048</v>
      </c>
      <c r="AD41" s="314"/>
      <c r="AE41" s="314">
        <f>$E$41</f>
        <v>90048</v>
      </c>
      <c r="AF41" s="314"/>
      <c r="AG41" s="314">
        <f>$E$41</f>
        <v>90048</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2441</v>
      </c>
      <c r="B43" s="315"/>
      <c r="C43" s="316"/>
      <c r="D43" s="315"/>
      <c r="E43" s="315">
        <f>SUM(E40:E42)</f>
        <v>115049</v>
      </c>
      <c r="F43" s="315"/>
      <c r="G43" s="315">
        <f>SUM(G40:G42)</f>
        <v>115049</v>
      </c>
      <c r="H43" s="315"/>
      <c r="I43" s="315">
        <f>SUM(I40:I42)</f>
        <v>115049</v>
      </c>
      <c r="J43" s="315"/>
      <c r="K43" s="315">
        <f>SUM(K40:K42)</f>
        <v>115049</v>
      </c>
      <c r="L43" s="315"/>
      <c r="M43" s="315">
        <f>SUM(M40:M42)</f>
        <v>115049</v>
      </c>
      <c r="N43" s="315"/>
      <c r="O43" s="315">
        <f>SUM(O40:O42)</f>
        <v>115049</v>
      </c>
      <c r="P43" s="315"/>
      <c r="Q43" s="315">
        <f>SUM(Q40:Q42)</f>
        <v>115049</v>
      </c>
      <c r="R43" s="315"/>
      <c r="S43" s="315">
        <f>SUM(S40:S42)</f>
        <v>115049</v>
      </c>
      <c r="T43" s="315"/>
      <c r="U43" s="315">
        <f>SUM(U40:U42)</f>
        <v>115049</v>
      </c>
      <c r="V43" s="315"/>
      <c r="W43" s="315">
        <f>SUM(W40:W42)</f>
        <v>115049</v>
      </c>
      <c r="X43" s="315"/>
      <c r="Y43" s="315">
        <f>SUM(Y40:Y42)</f>
        <v>115049</v>
      </c>
      <c r="Z43" s="315"/>
      <c r="AA43" s="315">
        <f>SUM(AA40:AA42)</f>
        <v>115049</v>
      </c>
      <c r="AB43" s="315"/>
      <c r="AC43" s="315">
        <f>SUM(AC40:AC42)</f>
        <v>115049</v>
      </c>
      <c r="AD43" s="315"/>
      <c r="AE43" s="315">
        <f>SUM(AE40:AE42)</f>
        <v>115049</v>
      </c>
      <c r="AF43" s="315"/>
      <c r="AG43" s="315">
        <f>SUM(AG40:AG42)</f>
        <v>115049</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2442</v>
      </c>
      <c r="B45" s="315"/>
      <c r="C45" s="316"/>
      <c r="D45" s="315"/>
      <c r="E45" s="315">
        <f>E37-E43</f>
        <v>172939.19999999995</v>
      </c>
      <c r="F45" s="315"/>
      <c r="G45" s="315">
        <f>G37-G43</f>
        <v>167239.125</v>
      </c>
      <c r="H45" s="315"/>
      <c r="I45" s="315">
        <f>I37-I43</f>
        <v>160912.19332499988</v>
      </c>
      <c r="J45" s="315"/>
      <c r="K45" s="315">
        <f>K37-K43</f>
        <v>153925.77139012516</v>
      </c>
      <c r="L45" s="315"/>
      <c r="M45" s="315">
        <f>M37-M43</f>
        <v>146245.81589999818</v>
      </c>
      <c r="N45" s="315"/>
      <c r="O45" s="315">
        <f>O37-O43</f>
        <v>137836.81781659741</v>
      </c>
      <c r="P45" s="315"/>
      <c r="Q45" s="315">
        <f>Q37-Q43</f>
        <v>128661.74419860193</v>
      </c>
      <c r="R45" s="315"/>
      <c r="S45" s="315">
        <f>S37-S43</f>
        <v>118681.97783354553</v>
      </c>
      <c r="T45" s="315"/>
      <c r="U45" s="315">
        <f>U37-U43</f>
        <v>107857.25458123349</v>
      </c>
      <c r="V45" s="315"/>
      <c r="W45" s="315">
        <f>W37-W43</f>
        <v>96145.598343914142</v>
      </c>
      <c r="X45" s="315"/>
      <c r="Y45" s="315">
        <f>Y37-Y43</f>
        <v>83503.253575649345</v>
      </c>
      <c r="Z45" s="315"/>
      <c r="AA45" s="315">
        <f>AA37-AA43</f>
        <v>69884.615240110783</v>
      </c>
      <c r="AB45" s="315"/>
      <c r="AC45" s="315">
        <f>AC37-AC43</f>
        <v>55242.156122780871</v>
      </c>
      <c r="AD45" s="315"/>
      <c r="AE45" s="315">
        <f>AE37-AE43</f>
        <v>39526.351400101092</v>
      </c>
      <c r="AF45" s="315"/>
      <c r="AG45" s="315">
        <f>AG37-AG43</f>
        <v>22685.600364577956</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2443</v>
      </c>
      <c r="B47" s="319"/>
      <c r="C47" s="312"/>
      <c r="D47" s="319"/>
      <c r="E47" s="319">
        <f>E45/(E4+E6+E8)</f>
        <v>9.5673590780240694E-2</v>
      </c>
      <c r="F47" s="319"/>
      <c r="G47" s="319">
        <f>G45/(G4+G6+G8)</f>
        <v>9.0263599803949296E-2</v>
      </c>
      <c r="H47" s="319"/>
      <c r="I47" s="319">
        <f>I45/(I4+I6+I8)</f>
        <v>8.4730516182645127E-2</v>
      </c>
      <c r="J47" s="319"/>
      <c r="K47" s="319">
        <f>K45/(K4+K6+K8)</f>
        <v>7.9074848936509137E-2</v>
      </c>
      <c r="L47" s="319"/>
      <c r="M47" s="319">
        <f>M45/(M4+M6+M8)</f>
        <v>7.3297070370740819E-2</v>
      </c>
      <c r="N47" s="319"/>
      <c r="O47" s="319">
        <f>O45/(O4+O6+O8)</f>
        <v>6.7397616733856192E-2</v>
      </c>
      <c r="P47" s="319"/>
      <c r="Q47" s="319">
        <f>Q45/(Q4+Q6+Q8)</f>
        <v>6.1376888857613408E-2</v>
      </c>
      <c r="R47" s="319"/>
      <c r="S47" s="319">
        <f>S45/(S4+S6+S8)</f>
        <v>5.5235252778996421E-2</v>
      </c>
      <c r="T47" s="319"/>
      <c r="U47" s="319">
        <f>U45/(U4+U6+U8)</f>
        <v>4.8973040344668858E-2</v>
      </c>
      <c r="V47" s="319"/>
      <c r="W47" s="319">
        <f>W45/(W4+W6+W8)</f>
        <v>4.2590549798301264E-2</v>
      </c>
      <c r="X47" s="319"/>
      <c r="Y47" s="319">
        <f>Y45/(Y4+Y6+Y8)</f>
        <v>3.608804635117327E-2</v>
      </c>
      <c r="Z47" s="319"/>
      <c r="AA47" s="319">
        <f>AA45/(AA4+AA6+AA8)</f>
        <v>2.9465762736424074E-2</v>
      </c>
      <c r="AB47" s="319"/>
      <c r="AC47" s="319">
        <f>AC45/(AC4+AC6+AC8)</f>
        <v>2.2723899747335928E-2</v>
      </c>
      <c r="AD47" s="319"/>
      <c r="AE47" s="319">
        <f>AE45/(AE4+AE6+AE8)</f>
        <v>1.5862626760012606E-2</v>
      </c>
      <c r="AF47" s="319"/>
      <c r="AG47" s="319">
        <f>AG45/(AG4+AG6+AG8)</f>
        <v>8.8820822408070717E-3</v>
      </c>
      <c r="AH47" s="319"/>
      <c r="AI47" s="319"/>
    </row>
    <row r="48" spans="1:35" ht="14.25">
      <c r="A48" s="319" t="s">
        <v>2444</v>
      </c>
      <c r="B48" s="319"/>
      <c r="C48" s="312"/>
      <c r="D48" s="319"/>
      <c r="E48" s="319">
        <f>E45/E43</f>
        <v>1.5031786456205614</v>
      </c>
      <c r="F48" s="319"/>
      <c r="G48" s="319">
        <f>G45/G43</f>
        <v>1.453633886430999</v>
      </c>
      <c r="H48" s="319"/>
      <c r="I48" s="319">
        <f>I45/I43</f>
        <v>1.3986405212126998</v>
      </c>
      <c r="J48" s="319"/>
      <c r="K48" s="319">
        <f>K45/K43</f>
        <v>1.3379149005217357</v>
      </c>
      <c r="L48" s="319"/>
      <c r="M48" s="319">
        <f>M45/M43</f>
        <v>1.2711611217828767</v>
      </c>
      <c r="N48" s="319"/>
      <c r="O48" s="319">
        <f>O45/O43</f>
        <v>1.1980705422611011</v>
      </c>
      <c r="P48" s="319"/>
      <c r="Q48" s="319">
        <f>Q45/Q43</f>
        <v>1.1183212735321639</v>
      </c>
      <c r="R48" s="319"/>
      <c r="S48" s="319">
        <f>S45/S43</f>
        <v>1.0315776567683816</v>
      </c>
      <c r="T48" s="319"/>
      <c r="U48" s="319">
        <f>U45/U43</f>
        <v>0.93748971813082671</v>
      </c>
      <c r="V48" s="319"/>
      <c r="W48" s="319">
        <f>W45/W43</f>
        <v>0.83569260353340002</v>
      </c>
      <c r="X48" s="319"/>
      <c r="Y48" s="319">
        <f>Y45/Y43</f>
        <v>0.72580599201774332</v>
      </c>
      <c r="Z48" s="319"/>
      <c r="AA48" s="319">
        <f>AA45/AA43</f>
        <v>0.60743348695000199</v>
      </c>
      <c r="AB48" s="319"/>
      <c r="AC48" s="319">
        <f>AC45/AC43</f>
        <v>0.48016198422220852</v>
      </c>
      <c r="AD48" s="319"/>
      <c r="AE48" s="319">
        <f>AE45/AE43</f>
        <v>0.34356101661119254</v>
      </c>
      <c r="AF48" s="319"/>
      <c r="AG48" s="319">
        <f>AG45/AG43</f>
        <v>0.19718207341722185</v>
      </c>
      <c r="AH48" s="319"/>
      <c r="AI48" s="319"/>
    </row>
    <row r="49" spans="1:35" ht="14.25">
      <c r="A49" s="320" t="s">
        <v>2390</v>
      </c>
      <c r="B49" s="320"/>
      <c r="C49" s="321"/>
      <c r="D49" s="320"/>
      <c r="E49" s="320">
        <f>E37/E43</f>
        <v>2.5031786456205611</v>
      </c>
      <c r="F49" s="320"/>
      <c r="G49" s="320">
        <f>G37/G43</f>
        <v>2.4536338864309988</v>
      </c>
      <c r="H49" s="320"/>
      <c r="I49" s="320">
        <f>I37/I43</f>
        <v>2.3986405212126996</v>
      </c>
      <c r="J49" s="320"/>
      <c r="K49" s="320">
        <f>K37/K43</f>
        <v>2.3379149005217355</v>
      </c>
      <c r="L49" s="320"/>
      <c r="M49" s="320">
        <f>M37/M43</f>
        <v>2.2711611217828769</v>
      </c>
      <c r="N49" s="320"/>
      <c r="O49" s="320">
        <f>O37/O43</f>
        <v>2.1980705422611009</v>
      </c>
      <c r="P49" s="320"/>
      <c r="Q49" s="320">
        <f>Q37/Q43</f>
        <v>2.1183212735321639</v>
      </c>
      <c r="R49" s="320"/>
      <c r="S49" s="320">
        <f>S37/S43</f>
        <v>2.0315776567683814</v>
      </c>
      <c r="T49" s="320"/>
      <c r="U49" s="320">
        <f>U37/U43</f>
        <v>1.9374897181308268</v>
      </c>
      <c r="V49" s="320"/>
      <c r="W49" s="320">
        <f>W37/W43</f>
        <v>1.8356926035334</v>
      </c>
      <c r="X49" s="320"/>
      <c r="Y49" s="320">
        <f>Y37/Y43</f>
        <v>1.7258059920177433</v>
      </c>
      <c r="Z49" s="320"/>
      <c r="AA49" s="320">
        <f>AA37/AA43</f>
        <v>1.607433486950002</v>
      </c>
      <c r="AB49" s="320"/>
      <c r="AC49" s="320">
        <f>AC37/AC43</f>
        <v>1.4801619842222085</v>
      </c>
      <c r="AD49" s="320"/>
      <c r="AE49" s="320">
        <f>AE37/AE43</f>
        <v>1.3435610166111926</v>
      </c>
      <c r="AF49" s="320"/>
      <c r="AG49" s="320">
        <f>AG37/AG43</f>
        <v>1.1971820734172218</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2445</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2446</v>
      </c>
      <c r="B53" s="301"/>
      <c r="C53" s="709">
        <v>1.03</v>
      </c>
      <c r="D53" s="301"/>
      <c r="E53" s="328">
        <v>25000</v>
      </c>
      <c r="F53" s="301"/>
      <c r="G53" s="711">
        <f>E53*$C$53</f>
        <v>25750</v>
      </c>
      <c r="H53" s="711"/>
      <c r="I53" s="711">
        <f>G53*$C$53</f>
        <v>26522.5</v>
      </c>
      <c r="J53" s="711"/>
      <c r="K53" s="711">
        <f>I53*$C$53</f>
        <v>27318.174999999999</v>
      </c>
      <c r="L53" s="711"/>
      <c r="M53" s="711">
        <f>K53*$C$53</f>
        <v>28137.720249999998</v>
      </c>
      <c r="N53" s="711"/>
      <c r="O53" s="711">
        <f>M53*$C$53</f>
        <v>28981.851857499998</v>
      </c>
      <c r="P53" s="711"/>
      <c r="Q53" s="711">
        <f>O53*$C$53</f>
        <v>29851.307413225</v>
      </c>
      <c r="R53" s="711"/>
      <c r="S53" s="711">
        <f>Q53*$C$53</f>
        <v>30746.84663562175</v>
      </c>
      <c r="T53" s="711"/>
      <c r="U53" s="711">
        <f>S53*$C$53</f>
        <v>31669.252034690402</v>
      </c>
      <c r="V53" s="711"/>
      <c r="W53" s="711">
        <f>U53*$C$53</f>
        <v>32619.329595731117</v>
      </c>
      <c r="X53" s="711"/>
      <c r="Y53" s="711">
        <f>W53*$C$53</f>
        <v>33597.909483603049</v>
      </c>
      <c r="Z53" s="711"/>
      <c r="AA53" s="711">
        <f>Y53*$C$53</f>
        <v>34605.846768111143</v>
      </c>
      <c r="AB53" s="711"/>
      <c r="AC53" s="711">
        <f>AA53*$C$53</f>
        <v>35644.02217115448</v>
      </c>
      <c r="AD53" s="711"/>
      <c r="AE53" s="711">
        <f>AE45-AE54</f>
        <v>32183.682832843268</v>
      </c>
      <c r="AF53" s="711"/>
      <c r="AG53" s="711">
        <f>AG45-AG54</f>
        <v>15122.651740302399</v>
      </c>
      <c r="AH53" s="301"/>
      <c r="AI53" s="301"/>
    </row>
    <row r="54" spans="1:35">
      <c r="A54" s="293" t="s">
        <v>2447</v>
      </c>
      <c r="B54" s="293"/>
      <c r="C54" s="335"/>
      <c r="D54" s="293"/>
      <c r="E54" s="329">
        <v>5000</v>
      </c>
      <c r="F54" s="307"/>
      <c r="G54" s="710">
        <f t="shared" ref="G54:AG57" si="14">E54*$C$53</f>
        <v>5150</v>
      </c>
      <c r="H54" s="710"/>
      <c r="I54" s="710">
        <f t="shared" si="14"/>
        <v>5304.5</v>
      </c>
      <c r="J54" s="710"/>
      <c r="K54" s="710">
        <f t="shared" si="14"/>
        <v>5463.6350000000002</v>
      </c>
      <c r="L54" s="710"/>
      <c r="M54" s="710">
        <f t="shared" si="14"/>
        <v>5627.5440500000004</v>
      </c>
      <c r="N54" s="710"/>
      <c r="O54" s="710">
        <f t="shared" si="14"/>
        <v>5796.3703715000001</v>
      </c>
      <c r="P54" s="710"/>
      <c r="Q54" s="710">
        <f t="shared" si="14"/>
        <v>5970.2614826449999</v>
      </c>
      <c r="R54" s="710"/>
      <c r="S54" s="710">
        <f t="shared" si="14"/>
        <v>6149.3693271243501</v>
      </c>
      <c r="T54" s="710"/>
      <c r="U54" s="710">
        <f t="shared" si="14"/>
        <v>6333.8504069380806</v>
      </c>
      <c r="V54" s="710"/>
      <c r="W54" s="710">
        <f t="shared" si="14"/>
        <v>6523.865919146223</v>
      </c>
      <c r="X54" s="710"/>
      <c r="Y54" s="710">
        <f t="shared" si="14"/>
        <v>6719.5818967206096</v>
      </c>
      <c r="Z54" s="710"/>
      <c r="AA54" s="710">
        <f t="shared" si="14"/>
        <v>6921.1693536222283</v>
      </c>
      <c r="AB54" s="710"/>
      <c r="AC54" s="710">
        <f t="shared" si="14"/>
        <v>7128.8044342308949</v>
      </c>
      <c r="AD54" s="710"/>
      <c r="AE54" s="710">
        <f t="shared" si="14"/>
        <v>7342.6685672578224</v>
      </c>
      <c r="AF54" s="710"/>
      <c r="AG54" s="710">
        <f t="shared" si="14"/>
        <v>7562.9486242755574</v>
      </c>
      <c r="AH54" s="307"/>
      <c r="AI54" s="307"/>
    </row>
    <row r="55" spans="1:35">
      <c r="A55" s="293" t="s">
        <v>2448</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2449</v>
      </c>
      <c r="B58" s="293"/>
      <c r="C58" s="325"/>
      <c r="D58" s="293"/>
      <c r="E58" s="307">
        <f>SUM(E53:E57)</f>
        <v>30000</v>
      </c>
      <c r="F58" s="307"/>
      <c r="G58" s="307">
        <f>SUM(G53:G57)</f>
        <v>30900</v>
      </c>
      <c r="H58" s="307"/>
      <c r="I58" s="307">
        <f>SUM(I53:I57)</f>
        <v>31827</v>
      </c>
      <c r="J58" s="307"/>
      <c r="K58" s="307">
        <f>SUM(K53:K57)</f>
        <v>32781.81</v>
      </c>
      <c r="L58" s="307"/>
      <c r="M58" s="307">
        <f>SUM(M53:M57)</f>
        <v>33765.264299999995</v>
      </c>
      <c r="N58" s="307"/>
      <c r="O58" s="307">
        <f>SUM(O53:O57)</f>
        <v>34778.222228999999</v>
      </c>
      <c r="P58" s="307"/>
      <c r="Q58" s="307">
        <f>SUM(Q53:Q57)</f>
        <v>35821.568895869998</v>
      </c>
      <c r="R58" s="307"/>
      <c r="S58" s="307">
        <f>SUM(S53:S57)</f>
        <v>36896.215962746101</v>
      </c>
      <c r="T58" s="307"/>
      <c r="U58" s="307">
        <f>SUM(U53:U57)</f>
        <v>38003.102441628485</v>
      </c>
      <c r="V58" s="307"/>
      <c r="W58" s="307">
        <f>SUM(W53:W57)</f>
        <v>39143.195514877341</v>
      </c>
      <c r="X58" s="307"/>
      <c r="Y58" s="307">
        <f>SUM(Y53:Y57)</f>
        <v>40317.491380323656</v>
      </c>
      <c r="Z58" s="307"/>
      <c r="AA58" s="307">
        <f>SUM(AA53:AA57)</f>
        <v>41527.016121733373</v>
      </c>
      <c r="AB58" s="307"/>
      <c r="AC58" s="307">
        <f>SUM(AC53:AC57)</f>
        <v>42772.826605385373</v>
      </c>
      <c r="AD58" s="307"/>
      <c r="AE58" s="307">
        <f>SUM(AE53:AE57)</f>
        <v>39526.351400101092</v>
      </c>
      <c r="AF58" s="307"/>
      <c r="AG58" s="307">
        <f>SUM(AG53:AG57)</f>
        <v>22685.600364577956</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2450</v>
      </c>
      <c r="B60" s="301"/>
      <c r="C60" s="326"/>
      <c r="D60" s="301"/>
      <c r="E60" s="301">
        <f>E45-E58</f>
        <v>142939.19999999995</v>
      </c>
      <c r="F60" s="301"/>
      <c r="G60" s="301">
        <f>G45-G58</f>
        <v>136339.125</v>
      </c>
      <c r="H60" s="301"/>
      <c r="I60" s="301">
        <f>I45-I58</f>
        <v>129085.19332499988</v>
      </c>
      <c r="J60" s="301"/>
      <c r="K60" s="301">
        <f>K45-K58</f>
        <v>121143.96139012516</v>
      </c>
      <c r="L60" s="301"/>
      <c r="M60" s="301">
        <f>M45-M58</f>
        <v>112480.55159999819</v>
      </c>
      <c r="N60" s="301"/>
      <c r="O60" s="301">
        <f>O45-O58</f>
        <v>103058.5955875974</v>
      </c>
      <c r="P60" s="301"/>
      <c r="Q60" s="301">
        <f>Q45-Q58</f>
        <v>92840.175302731921</v>
      </c>
      <c r="R60" s="301"/>
      <c r="S60" s="301">
        <f>S45-S58</f>
        <v>81785.761870799441</v>
      </c>
      <c r="T60" s="301"/>
      <c r="U60" s="301">
        <f>U45-U58</f>
        <v>69854.152139604994</v>
      </c>
      <c r="V60" s="301"/>
      <c r="W60" s="301">
        <f>W45-W58</f>
        <v>57002.402829036801</v>
      </c>
      <c r="X60" s="301"/>
      <c r="Y60" s="301">
        <f>Y45-Y58</f>
        <v>43185.762195325689</v>
      </c>
      <c r="Z60" s="301"/>
      <c r="AA60" s="301">
        <f>AA45-AA58</f>
        <v>28357.599118377409</v>
      </c>
      <c r="AB60" s="301"/>
      <c r="AC60" s="301">
        <f>AC45-AC58</f>
        <v>12469.329517395498</v>
      </c>
      <c r="AD60" s="301"/>
      <c r="AE60" s="301">
        <f>AE45-AE58</f>
        <v>0</v>
      </c>
      <c r="AF60" s="301"/>
      <c r="AG60" s="301">
        <f>AG45-AG58</f>
        <v>0</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2451</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2452</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t="str">
        <f>Application!C631</f>
        <v>City of San Jose Loan</v>
      </c>
      <c r="B66" s="328"/>
      <c r="C66" s="325">
        <v>0.37459999999999999</v>
      </c>
      <c r="D66" s="301"/>
      <c r="E66" s="328">
        <f>E$60*$C66</f>
        <v>53545.024319999982</v>
      </c>
      <c r="F66" s="301"/>
      <c r="G66" s="328">
        <f>G$60*$C66</f>
        <v>51072.636225000002</v>
      </c>
      <c r="H66" s="301"/>
      <c r="I66" s="328">
        <f>I$60*$C66</f>
        <v>48355.313419544953</v>
      </c>
      <c r="J66" s="301"/>
      <c r="K66" s="328">
        <f>K$60*$C66</f>
        <v>45380.52793674088</v>
      </c>
      <c r="L66" s="301"/>
      <c r="M66" s="328">
        <f>M$60*$C66</f>
        <v>42135.214629359318</v>
      </c>
      <c r="N66" s="301"/>
      <c r="O66" s="328">
        <f>O$60*$C66</f>
        <v>38605.749907113983</v>
      </c>
      <c r="P66" s="301"/>
      <c r="Q66" s="328">
        <f>Q$60*$C66</f>
        <v>34777.929668403376</v>
      </c>
      <c r="R66" s="301"/>
      <c r="S66" s="328">
        <f>S$60*$C66</f>
        <v>30636.946396801468</v>
      </c>
      <c r="T66" s="301"/>
      <c r="U66" s="328">
        <f>U$60*$C66</f>
        <v>26167.36539149603</v>
      </c>
      <c r="V66" s="301"/>
      <c r="W66" s="328">
        <f>W$60*$C66</f>
        <v>21353.100099757186</v>
      </c>
      <c r="X66" s="301"/>
      <c r="Y66" s="328">
        <f>Y$60*$C66</f>
        <v>16177.386518369003</v>
      </c>
      <c r="Z66" s="301"/>
      <c r="AA66" s="328">
        <f>AA$60*$C66</f>
        <v>10622.756629744177</v>
      </c>
      <c r="AB66" s="301"/>
      <c r="AC66" s="328">
        <f>AC$60*$C66</f>
        <v>4671.0108372163531</v>
      </c>
      <c r="AD66" s="301"/>
      <c r="AE66" s="328">
        <f>AE$60*$C66</f>
        <v>0</v>
      </c>
      <c r="AF66" s="301"/>
      <c r="AG66" s="328">
        <f>AG$60*$C66</f>
        <v>0</v>
      </c>
      <c r="AH66" s="301"/>
      <c r="AI66" s="301"/>
    </row>
    <row r="67" spans="1:35">
      <c r="A67" s="329" t="str">
        <f>Application!C632</f>
        <v>SCCHA MTW Loan</v>
      </c>
      <c r="B67" s="329"/>
      <c r="C67" s="325">
        <f>1-C66</f>
        <v>0.62539999999999996</v>
      </c>
      <c r="D67" s="307"/>
      <c r="E67" s="328">
        <f>E$60*$C67</f>
        <v>89394.175679999971</v>
      </c>
      <c r="F67" s="307"/>
      <c r="G67" s="328">
        <f>G$60*$C67</f>
        <v>85266.488774999991</v>
      </c>
      <c r="H67" s="307"/>
      <c r="I67" s="328">
        <f>I$60*$C67</f>
        <v>80729.879905454916</v>
      </c>
      <c r="J67" s="307"/>
      <c r="K67" s="328">
        <f>K$60*$C67</f>
        <v>75763.433453384263</v>
      </c>
      <c r="L67" s="307"/>
      <c r="M67" s="328">
        <f>M$60*$C67</f>
        <v>70345.336970638862</v>
      </c>
      <c r="N67" s="307"/>
      <c r="O67" s="328">
        <f>O$60*$C67</f>
        <v>64452.845680483413</v>
      </c>
      <c r="P67" s="307"/>
      <c r="Q67" s="328">
        <f>Q$60*$C67</f>
        <v>58062.245634328538</v>
      </c>
      <c r="R67" s="307"/>
      <c r="S67" s="328">
        <f>S$60*$C67</f>
        <v>51148.815473997965</v>
      </c>
      <c r="T67" s="307"/>
      <c r="U67" s="328">
        <f>U$60*$C67</f>
        <v>43686.786748108963</v>
      </c>
      <c r="V67" s="307"/>
      <c r="W67" s="328">
        <f>W$60*$C67</f>
        <v>35649.302729279611</v>
      </c>
      <c r="X67" s="307"/>
      <c r="Y67" s="328">
        <f>Y$60*$C67</f>
        <v>27008.375676956683</v>
      </c>
      <c r="Z67" s="307"/>
      <c r="AA67" s="328">
        <f>AA$60*$C67</f>
        <v>17734.842488633232</v>
      </c>
      <c r="AB67" s="307"/>
      <c r="AC67" s="328">
        <f>AC$60*$C67</f>
        <v>7798.3186801791435</v>
      </c>
      <c r="AD67" s="307"/>
      <c r="AE67" s="328">
        <f>AE$60*$C67</f>
        <v>0</v>
      </c>
      <c r="AF67" s="307"/>
      <c r="AG67" s="328">
        <f>AG$60*$C67</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2449</v>
      </c>
      <c r="B70" s="307"/>
      <c r="C70" s="309"/>
      <c r="D70" s="307"/>
      <c r="E70" s="301">
        <f>SUM(E66:E69)</f>
        <v>142939.19999999995</v>
      </c>
      <c r="F70" s="301"/>
      <c r="G70" s="301">
        <f>SUM(G66:G69)</f>
        <v>136339.125</v>
      </c>
      <c r="H70" s="301"/>
      <c r="I70" s="301">
        <f>SUM(I66:I69)</f>
        <v>129085.19332499987</v>
      </c>
      <c r="J70" s="301"/>
      <c r="K70" s="301">
        <f>SUM(K66:K69)</f>
        <v>121143.96139012514</v>
      </c>
      <c r="L70" s="301"/>
      <c r="M70" s="301">
        <f>SUM(M66:M69)</f>
        <v>112480.55159999817</v>
      </c>
      <c r="N70" s="301"/>
      <c r="O70" s="301">
        <f>SUM(O66:O69)</f>
        <v>103058.5955875974</v>
      </c>
      <c r="P70" s="301"/>
      <c r="Q70" s="301">
        <f>SUM(Q66:Q69)</f>
        <v>92840.175302731921</v>
      </c>
      <c r="R70" s="301"/>
      <c r="S70" s="301">
        <f>SUM(S66:S69)</f>
        <v>81785.761870799441</v>
      </c>
      <c r="T70" s="301"/>
      <c r="U70" s="301">
        <f>SUM(U66:U69)</f>
        <v>69854.152139604994</v>
      </c>
      <c r="V70" s="301"/>
      <c r="W70" s="301">
        <f>SUM(W66:W69)</f>
        <v>57002.402829036801</v>
      </c>
      <c r="X70" s="301"/>
      <c r="Y70" s="301">
        <f>SUM(Y66:Y69)</f>
        <v>43185.762195325689</v>
      </c>
      <c r="Z70" s="301"/>
      <c r="AA70" s="301">
        <f>SUM(AA66:AA69)</f>
        <v>28357.599118377409</v>
      </c>
      <c r="AB70" s="301"/>
      <c r="AC70" s="301">
        <f>SUM(AC66:AC69)</f>
        <v>12469.329517395498</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2453</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2454</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64" t="s">
        <v>2455</v>
      </c>
      <c r="B77" s="1864"/>
      <c r="C77" s="1864"/>
      <c r="D77" s="1864"/>
      <c r="E77" s="1864"/>
      <c r="F77" s="1864"/>
      <c r="G77" s="1864"/>
      <c r="H77" s="1864"/>
      <c r="I77" s="1864"/>
      <c r="J77" s="1864"/>
      <c r="K77" s="1864"/>
      <c r="L77" s="1864"/>
      <c r="M77" s="1864"/>
      <c r="N77" s="1864"/>
      <c r="O77" s="1864"/>
      <c r="P77" s="1864"/>
      <c r="Q77" s="1864"/>
      <c r="R77" s="1864"/>
      <c r="S77" s="1864"/>
      <c r="T77" s="1864"/>
      <c r="U77" s="1864"/>
      <c r="V77" s="1864"/>
      <c r="W77" s="1864"/>
      <c r="X77" s="1864"/>
      <c r="Y77" s="1864"/>
      <c r="Z77" s="1864"/>
      <c r="AA77" s="1864"/>
      <c r="AB77" s="1864"/>
      <c r="AC77" s="1864"/>
      <c r="AD77" s="1864"/>
      <c r="AE77" s="1864"/>
      <c r="AF77" s="1864"/>
      <c r="AG77" s="1864"/>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A2" sqref="A2"/>
    </sheetView>
  </sheetViews>
  <sheetFormatPr defaultColWidth="9.140625" defaultRowHeight="12.75"/>
  <cols>
    <col min="1" max="16384" width="9.140625" style="278"/>
  </cols>
  <sheetData>
    <row r="1" spans="1:1">
      <c r="A1" s="261" t="s">
        <v>2456</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2457</v>
      </c>
    </row>
    <row r="2" spans="1:1" ht="15.75">
      <c r="A2" s="399"/>
    </row>
    <row r="3" spans="1:1" ht="15.75">
      <c r="A3" s="400" t="s">
        <v>2458</v>
      </c>
    </row>
    <row r="4" spans="1:1" ht="15.75">
      <c r="A4" s="400" t="s">
        <v>2459</v>
      </c>
    </row>
    <row r="5" spans="1:1" ht="15.75">
      <c r="A5" s="400" t="s">
        <v>2460</v>
      </c>
    </row>
    <row r="6" spans="1:1" ht="15.75">
      <c r="A6" s="400" t="s">
        <v>2461</v>
      </c>
    </row>
    <row r="7" spans="1:1" ht="15.75">
      <c r="A7" s="400" t="s">
        <v>2462</v>
      </c>
    </row>
    <row r="8" spans="1:1" ht="15.75">
      <c r="A8" s="473" t="s">
        <v>2463</v>
      </c>
    </row>
    <row r="9" spans="1:1" ht="15.75">
      <c r="A9" s="400" t="s">
        <v>2464</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0" t="s">
        <v>2465</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row>
    <row r="2" spans="1:40" ht="12.95"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19" t="s">
        <v>2466</v>
      </c>
      <c r="U7" s="1519"/>
      <c r="V7" s="1519"/>
      <c r="W7" s="1519"/>
      <c r="X7" s="1519"/>
      <c r="Y7" s="1519" t="s">
        <v>2467</v>
      </c>
      <c r="Z7" s="1519"/>
      <c r="AA7" s="1519"/>
      <c r="AB7" s="1519"/>
      <c r="AC7" s="1519"/>
      <c r="AD7" s="1519" t="s">
        <v>2468</v>
      </c>
      <c r="AE7" s="1519"/>
      <c r="AF7" s="1519"/>
      <c r="AG7" s="1519"/>
      <c r="AH7" s="1519"/>
      <c r="AI7" s="1519" t="s">
        <v>2469</v>
      </c>
      <c r="AJ7" s="1519"/>
      <c r="AK7" s="1519"/>
      <c r="AL7" s="1519"/>
      <c r="AM7" s="1519"/>
    </row>
    <row r="8" spans="1:40" ht="12.95" customHeight="1">
      <c r="B8" s="173"/>
      <c r="T8" s="1519"/>
      <c r="U8" s="1519"/>
      <c r="V8" s="1519"/>
      <c r="W8" s="1519"/>
      <c r="X8" s="1519"/>
      <c r="Y8" s="1519"/>
      <c r="Z8" s="1519"/>
      <c r="AA8" s="1519"/>
      <c r="AB8" s="1519"/>
      <c r="AC8" s="1519"/>
      <c r="AD8" s="1519"/>
      <c r="AE8" s="1519"/>
      <c r="AF8" s="1519"/>
      <c r="AG8" s="1519"/>
      <c r="AH8" s="1519"/>
      <c r="AI8" s="1519"/>
      <c r="AJ8" s="1519"/>
      <c r="AK8" s="1519"/>
      <c r="AL8" s="1519"/>
      <c r="AM8" s="1519"/>
    </row>
    <row r="9" spans="1:40" ht="12.95" customHeight="1">
      <c r="B9" s="173"/>
      <c r="T9" s="1519"/>
      <c r="U9" s="1519"/>
      <c r="V9" s="1519"/>
      <c r="W9" s="1519"/>
      <c r="X9" s="1519"/>
      <c r="Y9" s="1519"/>
      <c r="Z9" s="1519"/>
      <c r="AA9" s="1519"/>
      <c r="AB9" s="1519"/>
      <c r="AC9" s="1519"/>
      <c r="AD9" s="1519"/>
      <c r="AE9" s="1519"/>
      <c r="AF9" s="1519"/>
      <c r="AG9" s="1519"/>
      <c r="AH9" s="1519"/>
      <c r="AI9" s="1519"/>
      <c r="AJ9" s="1519"/>
      <c r="AK9" s="1519"/>
      <c r="AL9" s="1519"/>
      <c r="AM9" s="1519"/>
    </row>
    <row r="10" spans="1:40" ht="12.95" customHeight="1">
      <c r="B10" s="46"/>
      <c r="C10" s="47"/>
      <c r="D10" s="47"/>
      <c r="E10" s="47"/>
      <c r="F10" s="47"/>
      <c r="G10" s="47"/>
      <c r="H10" s="47"/>
      <c r="I10" s="47"/>
      <c r="J10" s="47"/>
      <c r="K10" s="47"/>
      <c r="L10" s="47"/>
      <c r="M10" s="47"/>
      <c r="N10" s="47"/>
      <c r="O10" s="47"/>
      <c r="P10" s="47"/>
      <c r="Q10" s="47"/>
      <c r="R10" s="47"/>
      <c r="S10" s="47"/>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2.95" customHeight="1">
      <c r="B11" s="1077" t="s">
        <v>1759</v>
      </c>
      <c r="C11" s="1078"/>
      <c r="D11" s="1078"/>
      <c r="E11" s="1078"/>
      <c r="F11" s="1078"/>
      <c r="G11" s="1078"/>
      <c r="H11" s="1078"/>
      <c r="I11" s="1078"/>
      <c r="J11" s="1078"/>
      <c r="K11" s="1078"/>
      <c r="L11" s="1078"/>
      <c r="M11" s="1078"/>
      <c r="N11" s="1078"/>
      <c r="O11" s="1078"/>
      <c r="P11" s="1078"/>
      <c r="Q11" s="1078"/>
      <c r="R11" s="1078"/>
      <c r="S11" s="1080"/>
      <c r="T11" s="1544">
        <f>IF('Sources and Basis Breakdown'!F105=0,'Sources and Basis Breakdown'!E105,'Sources and Basis Breakdown'!F105)</f>
        <v>19273054</v>
      </c>
      <c r="U11" s="1535"/>
      <c r="V11" s="1535"/>
      <c r="W11" s="1535"/>
      <c r="X11" s="1535"/>
      <c r="Y11" s="1534">
        <f>IF('Sources and Basis Breakdown'!G105+'Sources and Basis Breakdown'!F105='Sources and Basis Breakdown'!E105,'Sources and Basis Breakdown'!G105,0)</f>
        <v>0</v>
      </c>
      <c r="Z11" s="1535"/>
      <c r="AA11" s="1535"/>
      <c r="AB11" s="1535"/>
      <c r="AC11" s="1535"/>
      <c r="AD11" s="1535">
        <f>IF('Sources and Basis Breakdown'!I105=0,'Sources and Basis Breakdown'!H105,'Sources and Basis Breakdown'!I105)</f>
        <v>0</v>
      </c>
      <c r="AE11" s="1535"/>
      <c r="AF11" s="1535"/>
      <c r="AG11" s="1535"/>
      <c r="AH11" s="1535"/>
      <c r="AI11" s="1535">
        <f>IF('Sources and Basis Breakdown'!I105+'Sources and Basis Breakdown'!J105='Sources and Basis Breakdown'!H105,'Sources and Basis Breakdown'!J105,0)</f>
        <v>0</v>
      </c>
      <c r="AJ11" s="1535"/>
      <c r="AK11" s="1535"/>
      <c r="AL11" s="1535"/>
      <c r="AM11" s="1535"/>
    </row>
    <row r="12" spans="1:40" ht="12.95" customHeight="1">
      <c r="B12" s="1540" t="s">
        <v>1760</v>
      </c>
      <c r="C12" s="967"/>
      <c r="D12" s="967"/>
      <c r="E12" s="967"/>
      <c r="F12" s="967"/>
      <c r="G12" s="967"/>
      <c r="H12" s="967"/>
      <c r="I12" s="967"/>
      <c r="J12" s="967"/>
      <c r="K12" s="967"/>
      <c r="L12" s="967"/>
      <c r="M12" s="967"/>
      <c r="N12" s="967"/>
      <c r="O12" s="967"/>
      <c r="P12" s="967"/>
      <c r="Q12" s="967"/>
      <c r="R12" s="967"/>
      <c r="S12" s="154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2.95" customHeight="1">
      <c r="B13" s="8"/>
      <c r="C13" s="1542" t="s">
        <v>1761</v>
      </c>
      <c r="D13" s="1542"/>
      <c r="E13" s="1542"/>
      <c r="F13" s="1542"/>
      <c r="G13" s="1542"/>
      <c r="H13" s="1542"/>
      <c r="I13" s="1542"/>
      <c r="J13" s="1542"/>
      <c r="K13" s="1542"/>
      <c r="L13" s="1542"/>
      <c r="M13" s="1542"/>
      <c r="N13" s="1542"/>
      <c r="O13" s="1542"/>
      <c r="P13" s="1542"/>
      <c r="Q13" s="1542"/>
      <c r="R13" s="1542"/>
      <c r="S13" s="1543"/>
      <c r="T13" s="1536">
        <f>'Basis &amp; Credits'!T13</f>
        <v>0</v>
      </c>
      <c r="U13" s="1533"/>
      <c r="V13" s="1533"/>
      <c r="W13" s="1533"/>
      <c r="X13" s="1533"/>
      <c r="Y13" s="1536">
        <f>'Basis &amp; Credits'!Y13</f>
        <v>0</v>
      </c>
      <c r="Z13" s="1533"/>
      <c r="AA13" s="1533"/>
      <c r="AB13" s="1533"/>
      <c r="AC13" s="1533"/>
      <c r="AD13" s="1533">
        <f>'Basis &amp; Credits'!AD13</f>
        <v>0</v>
      </c>
      <c r="AE13" s="1533"/>
      <c r="AF13" s="1533"/>
      <c r="AG13" s="1533"/>
      <c r="AH13" s="1533"/>
      <c r="AI13" s="1533">
        <f>'Basis &amp; Credits'!AI13</f>
        <v>0</v>
      </c>
      <c r="AJ13" s="1533"/>
      <c r="AK13" s="1533"/>
      <c r="AL13" s="1533"/>
      <c r="AM13" s="1533"/>
    </row>
    <row r="14" spans="1:40" ht="12.95" customHeight="1">
      <c r="B14" s="8"/>
      <c r="C14" s="1542" t="s">
        <v>1762</v>
      </c>
      <c r="D14" s="1542"/>
      <c r="E14" s="1542"/>
      <c r="F14" s="1542"/>
      <c r="G14" s="1542"/>
      <c r="H14" s="1542"/>
      <c r="I14" s="1542"/>
      <c r="J14" s="1542"/>
      <c r="K14" s="1542"/>
      <c r="L14" s="1542"/>
      <c r="M14" s="1542"/>
      <c r="N14" s="1542"/>
      <c r="O14" s="1542"/>
      <c r="P14" s="1542"/>
      <c r="Q14" s="1542"/>
      <c r="R14" s="1542"/>
      <c r="S14" s="1543"/>
      <c r="T14" s="1137">
        <f>'Basis &amp; Credits'!T14</f>
        <v>0</v>
      </c>
      <c r="U14" s="1151"/>
      <c r="V14" s="1151"/>
      <c r="W14" s="1151"/>
      <c r="X14" s="1151"/>
      <c r="Y14" s="1137">
        <f>'Basis &amp; Credits'!Y14</f>
        <v>0</v>
      </c>
      <c r="Z14" s="1151"/>
      <c r="AA14" s="1151"/>
      <c r="AB14" s="1151"/>
      <c r="AC14" s="1151"/>
      <c r="AD14" s="1151">
        <f>'Basis &amp; Credits'!AD14</f>
        <v>0</v>
      </c>
      <c r="AE14" s="1151"/>
      <c r="AF14" s="1151"/>
      <c r="AG14" s="1151"/>
      <c r="AH14" s="1151"/>
      <c r="AI14" s="1151">
        <f>'Basis &amp; Credits'!AI14</f>
        <v>0</v>
      </c>
      <c r="AJ14" s="1151"/>
      <c r="AK14" s="1151"/>
      <c r="AL14" s="1151"/>
      <c r="AM14" s="1151"/>
    </row>
    <row r="15" spans="1:40" ht="12.95" customHeight="1">
      <c r="B15" s="8"/>
      <c r="C15" s="1542" t="s">
        <v>1763</v>
      </c>
      <c r="D15" s="1542"/>
      <c r="E15" s="1542"/>
      <c r="F15" s="1542"/>
      <c r="G15" s="1542"/>
      <c r="H15" s="1542"/>
      <c r="I15" s="1542"/>
      <c r="J15" s="1542"/>
      <c r="K15" s="1542"/>
      <c r="L15" s="1542"/>
      <c r="M15" s="1542"/>
      <c r="N15" s="1542"/>
      <c r="O15" s="1542"/>
      <c r="P15" s="1542"/>
      <c r="Q15" s="1542"/>
      <c r="R15" s="1542"/>
      <c r="S15" s="1543"/>
      <c r="T15" s="1137">
        <f>'Basis &amp; Credits'!T15</f>
        <v>0</v>
      </c>
      <c r="U15" s="1151"/>
      <c r="V15" s="1151"/>
      <c r="W15" s="1151"/>
      <c r="X15" s="1151"/>
      <c r="Y15" s="1137">
        <f>'Basis &amp; Credits'!Y15</f>
        <v>0</v>
      </c>
      <c r="Z15" s="1151"/>
      <c r="AA15" s="1151"/>
      <c r="AB15" s="1151"/>
      <c r="AC15" s="1151"/>
      <c r="AD15" s="1151">
        <f>'Basis &amp; Credits'!AD15</f>
        <v>0</v>
      </c>
      <c r="AE15" s="1151"/>
      <c r="AF15" s="1151"/>
      <c r="AG15" s="1151"/>
      <c r="AH15" s="1151"/>
      <c r="AI15" s="1151">
        <f>'Basis &amp; Credits'!AI15</f>
        <v>0</v>
      </c>
      <c r="AJ15" s="1151"/>
      <c r="AK15" s="1151"/>
      <c r="AL15" s="1151"/>
      <c r="AM15" s="1151"/>
    </row>
    <row r="16" spans="1:40" ht="12.95" customHeight="1">
      <c r="B16" s="8"/>
      <c r="C16" s="1542" t="s">
        <v>1764</v>
      </c>
      <c r="D16" s="1542"/>
      <c r="E16" s="1542"/>
      <c r="F16" s="1542"/>
      <c r="G16" s="1542"/>
      <c r="H16" s="1542"/>
      <c r="I16" s="1542"/>
      <c r="J16" s="1542"/>
      <c r="K16" s="1542"/>
      <c r="L16" s="1542"/>
      <c r="M16" s="1542"/>
      <c r="N16" s="1542"/>
      <c r="O16" s="1542"/>
      <c r="P16" s="1542"/>
      <c r="Q16" s="1542"/>
      <c r="R16" s="1542"/>
      <c r="S16" s="1543"/>
      <c r="T16" s="1137">
        <f>'Basis &amp; Credits'!T16</f>
        <v>0</v>
      </c>
      <c r="U16" s="1151"/>
      <c r="V16" s="1151"/>
      <c r="W16" s="1151"/>
      <c r="X16" s="1151"/>
      <c r="Y16" s="1137">
        <f>'Basis &amp; Credits'!Y16</f>
        <v>0</v>
      </c>
      <c r="Z16" s="1151"/>
      <c r="AA16" s="1151"/>
      <c r="AB16" s="1151"/>
      <c r="AC16" s="1151"/>
      <c r="AD16" s="1151">
        <f>'Basis &amp; Credits'!AD16</f>
        <v>0</v>
      </c>
      <c r="AE16" s="1151"/>
      <c r="AF16" s="1151"/>
      <c r="AG16" s="1151"/>
      <c r="AH16" s="1151"/>
      <c r="AI16" s="1151">
        <f>'Basis &amp; Credits'!AI16</f>
        <v>0</v>
      </c>
      <c r="AJ16" s="1151"/>
      <c r="AK16" s="1151"/>
      <c r="AL16" s="1151"/>
      <c r="AM16" s="1151"/>
    </row>
    <row r="17" spans="1:39" ht="12.95" customHeight="1">
      <c r="B17" s="8"/>
      <c r="C17" s="1542" t="s">
        <v>1765</v>
      </c>
      <c r="D17" s="1542"/>
      <c r="E17" s="1542"/>
      <c r="F17" s="1542"/>
      <c r="G17" s="1542"/>
      <c r="H17" s="1542"/>
      <c r="I17" s="1542"/>
      <c r="J17" s="1542"/>
      <c r="K17" s="1542"/>
      <c r="L17" s="1542"/>
      <c r="M17" s="1542"/>
      <c r="N17" s="1542"/>
      <c r="O17" s="1542"/>
      <c r="P17" s="1542"/>
      <c r="Q17" s="1542"/>
      <c r="R17" s="1542"/>
      <c r="S17" s="1543"/>
      <c r="T17" s="1137">
        <f>'Basis &amp; Credits'!T17</f>
        <v>0</v>
      </c>
      <c r="U17" s="1151"/>
      <c r="V17" s="1151"/>
      <c r="W17" s="1151"/>
      <c r="X17" s="1151"/>
      <c r="Y17" s="1137">
        <f>'Basis &amp; Credits'!Y17</f>
        <v>0</v>
      </c>
      <c r="Z17" s="1151"/>
      <c r="AA17" s="1151"/>
      <c r="AB17" s="1151"/>
      <c r="AC17" s="1151"/>
      <c r="AD17" s="1151">
        <f>'Basis &amp; Credits'!AD17</f>
        <v>0</v>
      </c>
      <c r="AE17" s="1151"/>
      <c r="AF17" s="1151"/>
      <c r="AG17" s="1151"/>
      <c r="AH17" s="1151"/>
      <c r="AI17" s="1151">
        <f>'Basis &amp; Credits'!AI17</f>
        <v>0</v>
      </c>
      <c r="AJ17" s="1151"/>
      <c r="AK17" s="1151"/>
      <c r="AL17" s="1151"/>
      <c r="AM17" s="1151"/>
    </row>
    <row r="18" spans="1:39" ht="12.95" customHeight="1">
      <c r="B18" s="502"/>
      <c r="C18" s="1542" t="s">
        <v>2470</v>
      </c>
      <c r="D18" s="1542"/>
      <c r="E18" s="1542"/>
      <c r="F18" s="1542"/>
      <c r="G18" s="1542"/>
      <c r="H18" s="1542"/>
      <c r="I18" s="1542"/>
      <c r="J18" s="1542"/>
      <c r="K18" s="1542"/>
      <c r="L18" s="1542"/>
      <c r="M18" s="1542"/>
      <c r="N18" s="1542"/>
      <c r="O18" s="1542"/>
      <c r="P18" s="1542"/>
      <c r="Q18" s="1542"/>
      <c r="R18" s="1542"/>
      <c r="S18" s="1543"/>
      <c r="T18" s="1135">
        <f>'Basis &amp; Credits'!T18</f>
        <v>0</v>
      </c>
      <c r="U18" s="1136"/>
      <c r="V18" s="1136"/>
      <c r="W18" s="1136"/>
      <c r="X18" s="1137"/>
      <c r="Y18" s="1137">
        <f>'Basis &amp; Credits'!Y18</f>
        <v>0</v>
      </c>
      <c r="Z18" s="1151"/>
      <c r="AA18" s="1151"/>
      <c r="AB18" s="1151"/>
      <c r="AC18" s="1151"/>
      <c r="AD18" s="1151">
        <f>'Basis &amp; Credits'!AD18</f>
        <v>0</v>
      </c>
      <c r="AE18" s="1151"/>
      <c r="AF18" s="1151"/>
      <c r="AG18" s="1151"/>
      <c r="AH18" s="1151"/>
      <c r="AI18" s="1151">
        <f>'Basis &amp; Credits'!AI18</f>
        <v>0</v>
      </c>
      <c r="AJ18" s="1151"/>
      <c r="AK18" s="1151"/>
      <c r="AL18" s="1151"/>
      <c r="AM18" s="1151"/>
    </row>
    <row r="19" spans="1:39" ht="12.95" customHeight="1">
      <c r="B19" s="398"/>
      <c r="C19" s="1330" t="str">
        <f>'Basis &amp; Credits'!C19:S19</f>
        <v>Subtract (specify other ineligible amounts):</v>
      </c>
      <c r="D19" s="1330"/>
      <c r="E19" s="1330"/>
      <c r="F19" s="1330"/>
      <c r="G19" s="1330"/>
      <c r="H19" s="1330"/>
      <c r="I19" s="1330"/>
      <c r="J19" s="1330"/>
      <c r="K19" s="1330"/>
      <c r="L19" s="1330"/>
      <c r="M19" s="1330"/>
      <c r="N19" s="1330"/>
      <c r="O19" s="1330"/>
      <c r="P19" s="1330"/>
      <c r="Q19" s="1330"/>
      <c r="R19" s="1330"/>
      <c r="S19" s="1331"/>
      <c r="T19" s="1137">
        <f>'Basis &amp; Credits'!T19</f>
        <v>0</v>
      </c>
      <c r="U19" s="1151"/>
      <c r="V19" s="1151"/>
      <c r="W19" s="1151"/>
      <c r="X19" s="1151"/>
      <c r="Y19" s="1137">
        <f>'Basis &amp; Credits'!Y19</f>
        <v>0</v>
      </c>
      <c r="Z19" s="1151"/>
      <c r="AA19" s="1151"/>
      <c r="AB19" s="1151"/>
      <c r="AC19" s="1151"/>
      <c r="AD19" s="1151">
        <f>'Basis &amp; Credits'!AD19</f>
        <v>0</v>
      </c>
      <c r="AE19" s="1151"/>
      <c r="AF19" s="1151"/>
      <c r="AG19" s="1151"/>
      <c r="AH19" s="1151"/>
      <c r="AI19" s="1151">
        <f>'Basis &amp; Credits'!AI19</f>
        <v>0</v>
      </c>
      <c r="AJ19" s="1151"/>
      <c r="AK19" s="1151"/>
      <c r="AL19" s="1151"/>
      <c r="AM19" s="1151"/>
    </row>
    <row r="20" spans="1:39" ht="12.95" customHeight="1">
      <c r="B20" s="1077" t="s">
        <v>1767</v>
      </c>
      <c r="C20" s="1078"/>
      <c r="D20" s="1078"/>
      <c r="E20" s="1078"/>
      <c r="F20" s="1078"/>
      <c r="G20" s="1078"/>
      <c r="H20" s="1078"/>
      <c r="I20" s="1078"/>
      <c r="J20" s="1078"/>
      <c r="K20" s="1078"/>
      <c r="L20" s="1078"/>
      <c r="M20" s="1078"/>
      <c r="N20" s="1078"/>
      <c r="O20" s="1078"/>
      <c r="P20" s="1078"/>
      <c r="Q20" s="1078"/>
      <c r="R20" s="1078"/>
      <c r="S20" s="1080"/>
      <c r="T20" s="1516">
        <f>SUM(T13:X19)</f>
        <v>0</v>
      </c>
      <c r="U20" s="1181"/>
      <c r="V20" s="1181"/>
      <c r="W20" s="1181"/>
      <c r="X20" s="1181"/>
      <c r="Y20" s="1516">
        <f>SUM(Y13:AC19)</f>
        <v>0</v>
      </c>
      <c r="Z20" s="1181"/>
      <c r="AA20" s="1181"/>
      <c r="AB20" s="1181"/>
      <c r="AC20" s="1181"/>
      <c r="AD20" s="1181">
        <f>SUM(AD13:AH19)</f>
        <v>0</v>
      </c>
      <c r="AE20" s="1181"/>
      <c r="AF20" s="1181"/>
      <c r="AG20" s="1181"/>
      <c r="AH20" s="1181"/>
      <c r="AI20" s="1181">
        <f>SUM(AI13:AM19)</f>
        <v>0</v>
      </c>
      <c r="AJ20" s="1181"/>
      <c r="AK20" s="1181"/>
      <c r="AL20" s="1181"/>
      <c r="AM20" s="1181"/>
    </row>
    <row r="21" spans="1:39" ht="12.95" customHeight="1">
      <c r="B21" s="1077" t="s">
        <v>1768</v>
      </c>
      <c r="C21" s="1078"/>
      <c r="D21" s="1078"/>
      <c r="E21" s="1078"/>
      <c r="F21" s="1078"/>
      <c r="G21" s="1078"/>
      <c r="H21" s="1078"/>
      <c r="I21" s="1078"/>
      <c r="J21" s="1078"/>
      <c r="K21" s="1078"/>
      <c r="L21" s="1078"/>
      <c r="M21" s="1078"/>
      <c r="N21" s="1078"/>
      <c r="O21" s="1078"/>
      <c r="P21" s="1078"/>
      <c r="Q21" s="1078"/>
      <c r="R21" s="1078"/>
      <c r="S21" s="1080"/>
      <c r="T21" s="1137">
        <f>'Basis &amp; Credits'!E21</f>
        <v>0</v>
      </c>
      <c r="U21" s="1151"/>
      <c r="V21" s="1151"/>
      <c r="W21" s="1151"/>
      <c r="X21" s="1151"/>
      <c r="Y21" s="1137">
        <f>'Basis &amp; Credits'!J21</f>
        <v>0</v>
      </c>
      <c r="Z21" s="1151"/>
      <c r="AA21" s="1151"/>
      <c r="AB21" s="1151"/>
      <c r="AC21" s="1151"/>
      <c r="AD21" s="1151">
        <f>'Basis &amp; Credits'!O21</f>
        <v>0</v>
      </c>
      <c r="AE21" s="1151"/>
      <c r="AF21" s="1151"/>
      <c r="AG21" s="1151"/>
      <c r="AH21" s="1151"/>
      <c r="AI21" s="1151">
        <f>'Basis &amp; Credits'!T21</f>
        <v>4773804</v>
      </c>
      <c r="AJ21" s="1151"/>
      <c r="AK21" s="1151"/>
      <c r="AL21" s="1151"/>
      <c r="AM21" s="1151"/>
    </row>
    <row r="22" spans="1:39" ht="12.95" customHeight="1">
      <c r="B22" s="1077" t="s">
        <v>1769</v>
      </c>
      <c r="C22" s="1078"/>
      <c r="D22" s="1078"/>
      <c r="E22" s="1078"/>
      <c r="F22" s="1078"/>
      <c r="G22" s="1078"/>
      <c r="H22" s="1078"/>
      <c r="I22" s="1078"/>
      <c r="J22" s="1078"/>
      <c r="K22" s="1078"/>
      <c r="L22" s="1078"/>
      <c r="M22" s="1078"/>
      <c r="N22" s="1078"/>
      <c r="O22" s="1078"/>
      <c r="P22" s="1078"/>
      <c r="Q22" s="1078"/>
      <c r="R22" s="1078"/>
      <c r="S22" s="1080"/>
      <c r="T22" s="1545">
        <f>(T20+T21)*-1</f>
        <v>0</v>
      </c>
      <c r="U22" s="1546"/>
      <c r="V22" s="1546"/>
      <c r="W22" s="1546"/>
      <c r="X22" s="1546"/>
      <c r="Y22" s="1545">
        <f>(Y20+Y21)*-1</f>
        <v>0</v>
      </c>
      <c r="Z22" s="1546"/>
      <c r="AA22" s="1546"/>
      <c r="AB22" s="1546"/>
      <c r="AC22" s="1546"/>
      <c r="AD22" s="1545">
        <f>(AD20+AD21)*-1</f>
        <v>0</v>
      </c>
      <c r="AE22" s="1546"/>
      <c r="AF22" s="1546"/>
      <c r="AG22" s="1546"/>
      <c r="AH22" s="1546"/>
      <c r="AI22" s="1545">
        <f>(AI20+AI21)*-1</f>
        <v>-4773804</v>
      </c>
      <c r="AJ22" s="1546"/>
      <c r="AK22" s="1546"/>
      <c r="AL22" s="1546"/>
      <c r="AM22" s="1546"/>
    </row>
    <row r="23" spans="1:39" ht="12.95" customHeight="1">
      <c r="B23" s="1077" t="s">
        <v>2471</v>
      </c>
      <c r="C23" s="1078"/>
      <c r="D23" s="1078"/>
      <c r="E23" s="1078"/>
      <c r="F23" s="1078"/>
      <c r="G23" s="1078"/>
      <c r="H23" s="1078"/>
      <c r="I23" s="1078"/>
      <c r="J23" s="1078"/>
      <c r="K23" s="1078"/>
      <c r="L23" s="1078"/>
      <c r="M23" s="1078"/>
      <c r="N23" s="1078"/>
      <c r="O23" s="1078"/>
      <c r="P23" s="1078"/>
      <c r="Q23" s="1078"/>
      <c r="R23" s="1078"/>
      <c r="S23" s="1080"/>
      <c r="T23" s="1516">
        <f>T11+T22</f>
        <v>19273054</v>
      </c>
      <c r="U23" s="1181"/>
      <c r="V23" s="1181"/>
      <c r="W23" s="1181"/>
      <c r="X23" s="1181"/>
      <c r="Y23" s="1516">
        <f>Y11+Y22</f>
        <v>0</v>
      </c>
      <c r="Z23" s="1181"/>
      <c r="AA23" s="1181"/>
      <c r="AB23" s="1181"/>
      <c r="AC23" s="1181"/>
      <c r="AD23" s="1516">
        <f>AD11+AD22</f>
        <v>0</v>
      </c>
      <c r="AE23" s="1181"/>
      <c r="AF23" s="1181"/>
      <c r="AG23" s="1181"/>
      <c r="AH23" s="1181"/>
      <c r="AI23" s="1516">
        <f>AI11+AI22</f>
        <v>-4773804</v>
      </c>
      <c r="AJ23" s="1181"/>
      <c r="AK23" s="1181"/>
      <c r="AL23" s="1181"/>
      <c r="AM23" s="1181"/>
    </row>
    <row r="24" spans="1:39" ht="12.95" customHeight="1">
      <c r="B24" s="1077" t="s">
        <v>1771</v>
      </c>
      <c r="C24" s="1078"/>
      <c r="D24" s="1078"/>
      <c r="E24" s="1078"/>
      <c r="F24" s="1078"/>
      <c r="G24" s="1078"/>
      <c r="H24" s="1078"/>
      <c r="I24" s="1078"/>
      <c r="J24" s="1078"/>
      <c r="K24" s="1078"/>
      <c r="L24" s="1078"/>
      <c r="M24" s="1078"/>
      <c r="N24" s="1078"/>
      <c r="O24" s="1078"/>
      <c r="P24" s="1078"/>
      <c r="Q24" s="1078"/>
      <c r="R24" s="1078"/>
      <c r="S24" s="1080"/>
      <c r="T24" s="1517">
        <f>Application!AD1020</f>
        <v>0</v>
      </c>
      <c r="U24" s="1518"/>
      <c r="V24" s="1518"/>
      <c r="W24" s="1518"/>
      <c r="X24" s="1518"/>
      <c r="Y24" s="1518"/>
      <c r="Z24" s="1518"/>
      <c r="AA24" s="1518"/>
      <c r="AB24" s="1518"/>
      <c r="AC24" s="1518"/>
      <c r="AD24" s="1518"/>
      <c r="AE24" s="1518"/>
      <c r="AF24" s="1518"/>
      <c r="AG24" s="1518"/>
      <c r="AH24" s="1518"/>
      <c r="AI24" s="1518"/>
      <c r="AJ24" s="1518"/>
      <c r="AK24" s="1518"/>
      <c r="AL24" s="1518"/>
      <c r="AM24" s="1516"/>
    </row>
    <row r="25" spans="1:39" ht="12.95" customHeight="1">
      <c r="B25" s="1552" t="s">
        <v>2472</v>
      </c>
      <c r="C25" s="1553"/>
      <c r="D25" s="1553"/>
      <c r="E25" s="1553"/>
      <c r="F25" s="1553"/>
      <c r="G25" s="1553"/>
      <c r="H25" s="1553"/>
      <c r="I25" s="1553"/>
      <c r="J25" s="1553"/>
      <c r="K25" s="1553"/>
      <c r="L25" s="1553"/>
      <c r="M25" s="1553"/>
      <c r="N25" s="1553"/>
      <c r="O25" s="1553"/>
      <c r="P25" s="1553"/>
      <c r="Q25" s="1553"/>
      <c r="R25" s="1553"/>
      <c r="S25" s="1554"/>
      <c r="T25" s="1547">
        <v>1</v>
      </c>
      <c r="U25" s="1548"/>
      <c r="V25" s="1548"/>
      <c r="W25" s="1548"/>
      <c r="X25" s="1551"/>
      <c r="Y25" s="1547">
        <v>1</v>
      </c>
      <c r="Z25" s="1548"/>
      <c r="AA25" s="1548"/>
      <c r="AB25" s="1548"/>
      <c r="AC25" s="1551"/>
      <c r="AD25" s="1547">
        <v>1</v>
      </c>
      <c r="AE25" s="1548"/>
      <c r="AF25" s="1548"/>
      <c r="AG25" s="1548"/>
      <c r="AH25" s="1551"/>
      <c r="AI25" s="1547">
        <v>1</v>
      </c>
      <c r="AJ25" s="1548"/>
      <c r="AK25" s="1548"/>
      <c r="AL25" s="1548"/>
      <c r="AM25" s="1551"/>
    </row>
    <row r="26" spans="1:39" ht="12.95" customHeight="1">
      <c r="B26" s="1077" t="s">
        <v>1773</v>
      </c>
      <c r="C26" s="1078"/>
      <c r="D26" s="1078"/>
      <c r="E26" s="1078"/>
      <c r="F26" s="1078"/>
      <c r="G26" s="1078"/>
      <c r="H26" s="1078"/>
      <c r="I26" s="1078"/>
      <c r="J26" s="1078"/>
      <c r="K26" s="1078"/>
      <c r="L26" s="1078"/>
      <c r="M26" s="1078"/>
      <c r="N26" s="1078"/>
      <c r="O26" s="1078"/>
      <c r="P26" s="1078"/>
      <c r="Q26" s="1078"/>
      <c r="R26" s="1078"/>
      <c r="S26" s="1080"/>
      <c r="T26" s="1054">
        <f>T23*T25</f>
        <v>19273054</v>
      </c>
      <c r="U26" s="1416"/>
      <c r="V26" s="1416"/>
      <c r="W26" s="1416"/>
      <c r="X26" s="1416"/>
      <c r="Y26" s="1054">
        <f>Y23*Y25</f>
        <v>0</v>
      </c>
      <c r="Z26" s="1416"/>
      <c r="AA26" s="1416"/>
      <c r="AB26" s="1416"/>
      <c r="AC26" s="1416"/>
      <c r="AD26" s="1054">
        <f>AD23*AD25</f>
        <v>0</v>
      </c>
      <c r="AE26" s="1416"/>
      <c r="AF26" s="1416"/>
      <c r="AG26" s="1416"/>
      <c r="AH26" s="1416"/>
      <c r="AI26" s="1054">
        <f>AI23*AI25</f>
        <v>-4773804</v>
      </c>
      <c r="AJ26" s="1416"/>
      <c r="AK26" s="1416"/>
      <c r="AL26" s="1416"/>
      <c r="AM26" s="1416"/>
    </row>
    <row r="27" spans="1:39" ht="12.95" customHeight="1">
      <c r="A27" s="4"/>
      <c r="B27" s="1552" t="s">
        <v>1774</v>
      </c>
      <c r="C27" s="1553"/>
      <c r="D27" s="1553"/>
      <c r="E27" s="1553"/>
      <c r="F27" s="1553"/>
      <c r="G27" s="1553"/>
      <c r="H27" s="1553"/>
      <c r="I27" s="1553"/>
      <c r="J27" s="1553"/>
      <c r="K27" s="1553"/>
      <c r="L27" s="1553"/>
      <c r="M27" s="1553"/>
      <c r="N27" s="1553"/>
      <c r="O27" s="1553"/>
      <c r="P27" s="1553"/>
      <c r="Q27" s="1553"/>
      <c r="R27" s="1553"/>
      <c r="S27" s="1554"/>
      <c r="T27" s="1549">
        <f>Application!AG446</f>
        <v>1</v>
      </c>
      <c r="U27" s="1550"/>
      <c r="V27" s="1550"/>
      <c r="W27" s="1550"/>
      <c r="X27" s="1550"/>
      <c r="Y27" s="1549">
        <f>Application!AG446</f>
        <v>1</v>
      </c>
      <c r="Z27" s="1550"/>
      <c r="AA27" s="1550"/>
      <c r="AB27" s="1550"/>
      <c r="AC27" s="1550"/>
      <c r="AD27" s="1549">
        <f>Application!AG446</f>
        <v>1</v>
      </c>
      <c r="AE27" s="1550"/>
      <c r="AF27" s="1550"/>
      <c r="AG27" s="1550"/>
      <c r="AH27" s="1550"/>
      <c r="AI27" s="1549">
        <f>Application!AG446</f>
        <v>1</v>
      </c>
      <c r="AJ27" s="1550"/>
      <c r="AK27" s="1550"/>
      <c r="AL27" s="1550"/>
      <c r="AM27" s="1550"/>
    </row>
    <row r="28" spans="1:39" ht="12.95" customHeight="1">
      <c r="A28" s="3"/>
      <c r="B28" s="1077" t="s">
        <v>1775</v>
      </c>
      <c r="C28" s="1078"/>
      <c r="D28" s="1078"/>
      <c r="E28" s="1078"/>
      <c r="F28" s="1078"/>
      <c r="G28" s="1078"/>
      <c r="H28" s="1078"/>
      <c r="I28" s="1078"/>
      <c r="J28" s="1078"/>
      <c r="K28" s="1078"/>
      <c r="L28" s="1078"/>
      <c r="M28" s="1078"/>
      <c r="N28" s="1078"/>
      <c r="O28" s="1078"/>
      <c r="P28" s="1078"/>
      <c r="Q28" s="1078"/>
      <c r="R28" s="1078"/>
      <c r="S28" s="1080"/>
      <c r="T28" s="1054">
        <f>IF(ISERROR((T26*T27)),0,(T26*T27))</f>
        <v>19273054</v>
      </c>
      <c r="U28" s="1416"/>
      <c r="V28" s="1416"/>
      <c r="W28" s="1416"/>
      <c r="X28" s="1416"/>
      <c r="Y28" s="1054">
        <f>IF(ISERROR((Y26*Y27)),0,(Y26*Y27))</f>
        <v>0</v>
      </c>
      <c r="Z28" s="1416"/>
      <c r="AA28" s="1416"/>
      <c r="AB28" s="1416"/>
      <c r="AC28" s="1416"/>
      <c r="AD28" s="1054">
        <f>IF(ISERROR((AD26*AD27)),0,(AD26*AD27))</f>
        <v>0</v>
      </c>
      <c r="AE28" s="1416"/>
      <c r="AF28" s="1416"/>
      <c r="AG28" s="1416"/>
      <c r="AH28" s="1416"/>
      <c r="AI28" s="1054">
        <f>IF(ISERROR((AI26*AI27)),0,(AI26*AI27))</f>
        <v>-4773804</v>
      </c>
      <c r="AJ28" s="1416"/>
      <c r="AK28" s="1416"/>
      <c r="AL28" s="1416"/>
      <c r="AM28" s="1416"/>
    </row>
    <row r="29" spans="1:39" ht="12.95" customHeight="1">
      <c r="B29" s="1077" t="s">
        <v>1776</v>
      </c>
      <c r="C29" s="1078"/>
      <c r="D29" s="1078"/>
      <c r="E29" s="1078"/>
      <c r="F29" s="1078"/>
      <c r="G29" s="1078"/>
      <c r="H29" s="1078"/>
      <c r="I29" s="1078"/>
      <c r="J29" s="1078"/>
      <c r="K29" s="1078"/>
      <c r="L29" s="1078"/>
      <c r="M29" s="1078"/>
      <c r="N29" s="1078"/>
      <c r="O29" s="1078"/>
      <c r="P29" s="1078"/>
      <c r="Q29" s="1078"/>
      <c r="R29" s="1078"/>
      <c r="S29" s="1080"/>
      <c r="T29" s="1517">
        <f>T28+Y28+AD28+AI28</f>
        <v>14499250</v>
      </c>
      <c r="U29" s="1518"/>
      <c r="V29" s="1518"/>
      <c r="W29" s="1518"/>
      <c r="X29" s="1518"/>
      <c r="Y29" s="1518"/>
      <c r="Z29" s="1518"/>
      <c r="AA29" s="1518"/>
      <c r="AB29" s="1518"/>
      <c r="AC29" s="1518"/>
      <c r="AD29" s="1518"/>
      <c r="AE29" s="1518"/>
      <c r="AF29" s="1518"/>
      <c r="AG29" s="1518"/>
      <c r="AH29" s="1518"/>
      <c r="AI29" s="1518"/>
      <c r="AJ29" s="1518"/>
      <c r="AK29" s="1518"/>
      <c r="AL29" s="1518"/>
      <c r="AM29" s="1516"/>
    </row>
    <row r="30" spans="1:39" ht="12.95" customHeight="1">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828</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19" t="s">
        <v>1779</v>
      </c>
      <c r="Z35" s="1519"/>
      <c r="AA35" s="1519"/>
      <c r="AB35" s="1519"/>
      <c r="AC35" s="1519"/>
      <c r="AD35" s="1171" t="s">
        <v>1780</v>
      </c>
      <c r="AE35" s="1171"/>
      <c r="AF35" s="1171"/>
      <c r="AG35" s="1171"/>
      <c r="AH35" s="1171"/>
    </row>
    <row r="36" spans="1:40" ht="12.95" customHeight="1">
      <c r="B36" s="173"/>
      <c r="X36" s="63"/>
      <c r="Y36" s="1519"/>
      <c r="Z36" s="1519"/>
      <c r="AA36" s="1519"/>
      <c r="AB36" s="1519"/>
      <c r="AC36" s="1519"/>
      <c r="AD36" s="1171"/>
      <c r="AE36" s="1171"/>
      <c r="AF36" s="1171"/>
      <c r="AG36" s="1171"/>
      <c r="AH36" s="117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9"/>
      <c r="Z37" s="1519"/>
      <c r="AA37" s="1519"/>
      <c r="AB37" s="1519"/>
      <c r="AC37" s="1519"/>
      <c r="AD37" s="1171"/>
      <c r="AE37" s="1171"/>
      <c r="AF37" s="1171"/>
      <c r="AG37" s="1171"/>
      <c r="AH37" s="1171"/>
    </row>
    <row r="38" spans="1:40" ht="12.95" customHeight="1">
      <c r="A38" s="3"/>
      <c r="B38" s="1077" t="s">
        <v>1775</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80"/>
      <c r="Y38" s="1181">
        <f>IF(T24&gt;=(T23+Y23+AD23+AI23),T28+Y28,0)</f>
        <v>0</v>
      </c>
      <c r="Z38" s="1181"/>
      <c r="AA38" s="1181"/>
      <c r="AB38" s="1181"/>
      <c r="AC38" s="1181"/>
      <c r="AD38" s="1181">
        <f>IF(T24&gt;=(T23+Y23+AD23+AI23),AD28+AI28,0)</f>
        <v>0</v>
      </c>
      <c r="AE38" s="1181"/>
      <c r="AF38" s="1181"/>
      <c r="AG38" s="1181"/>
      <c r="AH38" s="1181"/>
    </row>
    <row r="39" spans="1:40" ht="12.95" customHeight="1">
      <c r="B39" s="1077" t="s">
        <v>2473</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80"/>
      <c r="Y39" s="1866">
        <v>0.09</v>
      </c>
      <c r="Z39" s="1866"/>
      <c r="AA39" s="1866"/>
      <c r="AB39" s="1866"/>
      <c r="AC39" s="1866"/>
      <c r="AD39" s="1515">
        <v>0.04</v>
      </c>
      <c r="AE39" s="1515"/>
      <c r="AF39" s="1515"/>
      <c r="AG39" s="1515"/>
      <c r="AH39" s="1515"/>
    </row>
    <row r="40" spans="1:40" ht="12.95" customHeight="1">
      <c r="A40" s="3"/>
      <c r="B40" s="1077" t="s">
        <v>1782</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80"/>
      <c r="Y40" s="1181">
        <f>ROUND(Y38*Y39,0)</f>
        <v>0</v>
      </c>
      <c r="Z40" s="1181"/>
      <c r="AA40" s="1181"/>
      <c r="AB40" s="1181"/>
      <c r="AC40" s="1181"/>
      <c r="AD40" s="1516">
        <f>ROUND(AD38*AD39,0)</f>
        <v>0</v>
      </c>
      <c r="AE40" s="1181"/>
      <c r="AF40" s="1181"/>
      <c r="AG40" s="1181"/>
      <c r="AH40" s="1181"/>
    </row>
    <row r="41" spans="1:40" ht="12.95" customHeight="1">
      <c r="B41" s="1077" t="s">
        <v>1783</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80"/>
      <c r="Y41" s="1517">
        <f>IF((Y40+AD40)&gt;2500000,2500000,Y40+AD40)</f>
        <v>0</v>
      </c>
      <c r="Z41" s="1518"/>
      <c r="AA41" s="1518"/>
      <c r="AB41" s="1518"/>
      <c r="AC41" s="1518"/>
      <c r="AD41" s="1518"/>
      <c r="AE41" s="1518"/>
      <c r="AF41" s="1518"/>
      <c r="AG41" s="1518"/>
      <c r="AH41" s="1516"/>
    </row>
    <row r="42" spans="1:40" ht="12.95" customHeight="1">
      <c r="A42" s="3"/>
      <c r="B42" s="1527" t="s">
        <v>2474</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1785</v>
      </c>
      <c r="AB46" s="1172">
        <f>'Sources and Uses Budget'!B104-'Sources and Uses Budget'!$B$15</f>
        <v>31546077</v>
      </c>
      <c r="AC46" s="1173"/>
      <c r="AD46" s="1173"/>
      <c r="AE46" s="1173"/>
      <c r="AF46" s="1174"/>
    </row>
    <row r="47" spans="1:40" ht="12.95" customHeight="1">
      <c r="D47" s="3" t="s">
        <v>185</v>
      </c>
      <c r="AB47" s="1172">
        <f>Application!AG641-MIN('Sources and Uses Budget'!B15,Application!AG393)</f>
        <v>0</v>
      </c>
      <c r="AC47" s="1173"/>
      <c r="AD47" s="1173"/>
      <c r="AE47" s="1173"/>
      <c r="AF47" s="1174"/>
    </row>
    <row r="48" spans="1:40" ht="12.95" customHeight="1">
      <c r="D48" s="3" t="s">
        <v>1786</v>
      </c>
      <c r="AB48" s="1172">
        <f>AB46-AB47</f>
        <v>31546077</v>
      </c>
      <c r="AC48" s="1173"/>
      <c r="AD48" s="1173"/>
      <c r="AE48" s="1173"/>
      <c r="AF48" s="1174"/>
    </row>
    <row r="49" spans="1:40" ht="12.95" customHeight="1">
      <c r="D49" s="3" t="s">
        <v>1787</v>
      </c>
      <c r="AA49" s="31"/>
      <c r="AB49" s="1522"/>
      <c r="AC49" s="1523"/>
      <c r="AD49" s="1523"/>
      <c r="AE49" s="1523"/>
      <c r="AF49" s="1524"/>
    </row>
    <row r="50" spans="1:40" s="269" customFormat="1" ht="12.95" customHeight="1">
      <c r="A50"/>
      <c r="B50"/>
      <c r="C50"/>
      <c r="D50"/>
      <c r="E50" s="1528" t="s">
        <v>2475</v>
      </c>
      <c r="F50" s="1528"/>
      <c r="G50" s="1528"/>
      <c r="H50" s="1528"/>
      <c r="I50" s="1528"/>
      <c r="J50" s="1528"/>
      <c r="K50" s="1528"/>
      <c r="L50" s="1528"/>
      <c r="M50" s="1528"/>
      <c r="N50" s="1528"/>
      <c r="O50" s="1528"/>
      <c r="P50" s="1528"/>
      <c r="Q50" s="1528"/>
      <c r="R50" s="1528"/>
      <c r="S50" s="1528"/>
      <c r="T50" s="1528"/>
      <c r="U50" s="1528"/>
      <c r="V50" s="1528"/>
      <c r="W50" s="1528"/>
      <c r="X50" s="1528"/>
      <c r="Y50" s="1528"/>
      <c r="Z50" s="1528"/>
      <c r="AA50" s="705"/>
      <c r="AB50" s="705"/>
      <c r="AC50" s="705"/>
      <c r="AD50" s="705"/>
      <c r="AE50" s="705"/>
      <c r="AF50" s="705"/>
      <c r="AG50"/>
      <c r="AH50"/>
      <c r="AI50"/>
      <c r="AJ50"/>
      <c r="AK50"/>
      <c r="AL50"/>
      <c r="AM50"/>
      <c r="AN50"/>
    </row>
    <row r="51" spans="1:40" s="269" customFormat="1" ht="12.95" customHeight="1">
      <c r="A51"/>
      <c r="B51"/>
      <c r="C51"/>
      <c r="D51"/>
      <c r="E51" s="1528"/>
      <c r="F51" s="1528"/>
      <c r="G51" s="1528"/>
      <c r="H51" s="1528"/>
      <c r="I51" s="1528"/>
      <c r="J51" s="1528"/>
      <c r="K51" s="1528"/>
      <c r="L51" s="1528"/>
      <c r="M51" s="1528"/>
      <c r="N51" s="1528"/>
      <c r="O51" s="1528"/>
      <c r="P51" s="1528"/>
      <c r="Q51" s="1528"/>
      <c r="R51" s="1528"/>
      <c r="S51" s="1528"/>
      <c r="T51" s="1528"/>
      <c r="U51" s="1528"/>
      <c r="V51" s="1528"/>
      <c r="W51" s="1528"/>
      <c r="X51" s="1528"/>
      <c r="Y51" s="1528"/>
      <c r="Z51" s="152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1789</v>
      </c>
      <c r="AB53" s="1172">
        <f>ROUND(IF(ISERROR((AB48/AB49)),0,(AB48/AB49)),0)</f>
        <v>0</v>
      </c>
      <c r="AC53" s="1173"/>
      <c r="AD53" s="1173"/>
      <c r="AE53" s="1173"/>
      <c r="AF53" s="1174"/>
    </row>
    <row r="54" spans="1:40" ht="12.95" customHeight="1">
      <c r="D54" s="3" t="s">
        <v>1790</v>
      </c>
      <c r="AB54" s="1172">
        <f>(AB53/10)</f>
        <v>0</v>
      </c>
      <c r="AC54" s="1173"/>
      <c r="AD54" s="1173"/>
      <c r="AE54" s="1173"/>
      <c r="AF54" s="1174"/>
    </row>
    <row r="55" spans="1:40" ht="12.95" customHeight="1">
      <c r="D55" s="3" t="s">
        <v>1791</v>
      </c>
      <c r="AB55" s="1172">
        <f>(IF((Y41&lt;AB54),Y41,AB54))</f>
        <v>0</v>
      </c>
      <c r="AC55" s="1173"/>
      <c r="AD55" s="1173"/>
      <c r="AE55" s="1173"/>
      <c r="AF55" s="1174"/>
    </row>
    <row r="56" spans="1:40" ht="12.95" customHeight="1">
      <c r="D56" s="3" t="s">
        <v>1792</v>
      </c>
      <c r="AB56" s="1172">
        <f>ROUND((10*AB55*AB49),0)</f>
        <v>0</v>
      </c>
      <c r="AC56" s="1173"/>
      <c r="AD56" s="1173"/>
      <c r="AE56" s="1173"/>
      <c r="AF56" s="1174"/>
    </row>
    <row r="57" spans="1:40" ht="12.95" customHeight="1">
      <c r="D57" s="3"/>
      <c r="AB57" s="236"/>
      <c r="AC57" s="236"/>
      <c r="AD57" s="236"/>
      <c r="AE57" s="236"/>
      <c r="AF57" s="236"/>
    </row>
    <row r="58" spans="1:40" ht="12.95" customHeight="1">
      <c r="D58" s="3" t="s">
        <v>1793</v>
      </c>
      <c r="AB58" s="1185">
        <f>AB48-AB56</f>
        <v>31546077</v>
      </c>
      <c r="AC58" s="1185"/>
      <c r="AD58" s="1185"/>
      <c r="AE58" s="1185"/>
      <c r="AF58" s="118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13" t="s">
        <v>1794</v>
      </c>
      <c r="B60" s="1513"/>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513"/>
      <c r="AM60" s="1513"/>
      <c r="AN60" s="1513"/>
    </row>
    <row r="61" spans="1:40" ht="12.95" customHeight="1" thickTop="1">
      <c r="A61" s="1141"/>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row>
    <row r="62" spans="1:40" ht="12.95" customHeight="1">
      <c r="A62" s="3" t="s">
        <v>930</v>
      </c>
      <c r="C62" s="3" t="s">
        <v>286</v>
      </c>
      <c r="Y62" s="1475" t="s">
        <v>1795</v>
      </c>
      <c r="Z62" s="1475"/>
      <c r="AA62" s="1475"/>
      <c r="AB62" s="1475"/>
      <c r="AC62" s="1475"/>
      <c r="AD62" s="1475" t="s">
        <v>1780</v>
      </c>
      <c r="AE62" s="1475"/>
      <c r="AF62" s="1475"/>
      <c r="AG62" s="1475"/>
      <c r="AH62" s="1475"/>
    </row>
    <row r="63" spans="1:40" ht="12.95" customHeight="1">
      <c r="C63" s="3"/>
      <c r="D63" s="105" t="s">
        <v>1796</v>
      </c>
      <c r="E63" s="15"/>
      <c r="F63" s="15"/>
      <c r="G63" s="15"/>
      <c r="H63" s="15"/>
      <c r="I63" s="15"/>
      <c r="J63" s="15"/>
      <c r="K63" s="15"/>
      <c r="L63" s="15"/>
      <c r="M63" s="15"/>
      <c r="N63" s="15"/>
      <c r="O63" s="15"/>
      <c r="P63" s="15"/>
      <c r="Q63" s="15"/>
      <c r="R63" s="15"/>
      <c r="S63" s="15"/>
      <c r="T63" s="15"/>
      <c r="U63" s="15"/>
      <c r="V63" s="15"/>
      <c r="W63" s="15"/>
      <c r="X63" s="15"/>
      <c r="Y63" s="1181">
        <f>Y28</f>
        <v>0</v>
      </c>
      <c r="Z63" s="1525"/>
      <c r="AA63" s="1525"/>
      <c r="AB63" s="1525"/>
      <c r="AC63" s="1525"/>
      <c r="AD63" s="1181">
        <f>AI28</f>
        <v>-4773804</v>
      </c>
      <c r="AE63" s="1525"/>
      <c r="AF63" s="1525"/>
      <c r="AG63" s="1525"/>
      <c r="AH63" s="1525"/>
    </row>
    <row r="64" spans="1:40" ht="12.95" customHeight="1">
      <c r="C64" s="3"/>
      <c r="E64" s="1514" t="s">
        <v>1797</v>
      </c>
      <c r="F64" s="1514"/>
      <c r="G64" s="1514"/>
      <c r="H64" s="1514"/>
      <c r="I64" s="1514"/>
      <c r="J64" s="1514"/>
      <c r="K64" s="1514"/>
      <c r="L64" s="1514"/>
      <c r="M64" s="1514"/>
      <c r="N64" s="1514"/>
      <c r="O64" s="1514"/>
      <c r="P64" s="1514"/>
      <c r="Q64" s="1514"/>
      <c r="R64" s="1514"/>
      <c r="S64" s="1514"/>
      <c r="T64" s="1514"/>
      <c r="U64" s="1514"/>
      <c r="V64" s="1514"/>
      <c r="W64" s="1514"/>
      <c r="X64" s="1514"/>
      <c r="Y64" s="1514"/>
      <c r="Z64" s="1514"/>
      <c r="AA64" s="1514"/>
      <c r="AB64" s="1514"/>
      <c r="AC64" s="1514"/>
      <c r="AD64" s="1514"/>
      <c r="AE64" s="1514"/>
      <c r="AF64" s="1514"/>
      <c r="AG64" s="1514"/>
      <c r="AH64" s="1514"/>
    </row>
    <row r="65" spans="1:34" ht="32.25" customHeight="1">
      <c r="C65" s="3"/>
      <c r="E65" s="1514"/>
      <c r="F65" s="1514"/>
      <c r="G65" s="1514"/>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row>
    <row r="66" spans="1:34" ht="12.95" customHeight="1">
      <c r="C66" s="3"/>
      <c r="D66" s="3" t="s">
        <v>1798</v>
      </c>
      <c r="E66" s="81"/>
      <c r="F66" s="81"/>
      <c r="G66" s="81"/>
      <c r="H66" s="81"/>
      <c r="I66" s="81"/>
      <c r="J66" s="81"/>
      <c r="K66" s="81"/>
      <c r="L66" s="81"/>
      <c r="M66" s="81"/>
      <c r="N66" s="81"/>
      <c r="O66" s="81"/>
      <c r="P66" s="81"/>
      <c r="Q66" s="81"/>
      <c r="R66" s="81"/>
      <c r="S66" s="81"/>
      <c r="T66" s="81"/>
      <c r="U66" s="81"/>
      <c r="V66" s="81"/>
      <c r="W66" s="81"/>
      <c r="X66" s="81"/>
      <c r="Y66" s="1521">
        <v>0.3</v>
      </c>
      <c r="Z66" s="1521"/>
      <c r="AA66" s="1521"/>
      <c r="AB66" s="1521"/>
      <c r="AC66" s="1521"/>
      <c r="AD66" s="1521">
        <v>0.13</v>
      </c>
      <c r="AE66" s="1521"/>
      <c r="AF66" s="1521"/>
      <c r="AG66" s="1521"/>
      <c r="AH66" s="1521"/>
    </row>
    <row r="67" spans="1:34" ht="12.95" customHeight="1">
      <c r="C67" s="3"/>
      <c r="D67" s="3" t="s">
        <v>1799</v>
      </c>
      <c r="Y67" s="1181">
        <f>ROUND(Y63*Y66,0)</f>
        <v>0</v>
      </c>
      <c r="Z67" s="1525"/>
      <c r="AA67" s="1525"/>
      <c r="AB67" s="1525"/>
      <c r="AC67" s="1525"/>
      <c r="AD67" s="1181" t="str">
        <f>IF(OR(Application!D211="At-Risk",Application!D211="At-Risk/Located in Rural Census Tract",Application!D214="At-Risk"),ROUND(AD63*AD66,0),"$0")</f>
        <v>$0</v>
      </c>
      <c r="AE67" s="1181"/>
      <c r="AF67" s="1181"/>
      <c r="AG67" s="1181"/>
      <c r="AH67" s="1181"/>
    </row>
    <row r="68" spans="1:34" ht="12.95" customHeight="1">
      <c r="C68" s="3"/>
      <c r="E68" s="3"/>
      <c r="AB68" s="2"/>
      <c r="AC68" s="2"/>
      <c r="AD68" s="2"/>
      <c r="AE68" s="2"/>
      <c r="AF68" s="2"/>
    </row>
    <row r="69" spans="1:34" ht="12.95" customHeight="1">
      <c r="A69" s="3" t="s">
        <v>942</v>
      </c>
      <c r="C69" s="3" t="s">
        <v>289</v>
      </c>
    </row>
    <row r="70" spans="1:34" ht="12.95" customHeight="1">
      <c r="A70" s="3"/>
      <c r="C70" s="3"/>
      <c r="D70" s="3" t="s">
        <v>1801</v>
      </c>
      <c r="AB70" s="1522"/>
      <c r="AC70" s="1523"/>
      <c r="AD70" s="1523"/>
      <c r="AE70" s="1523"/>
      <c r="AF70" s="1524"/>
    </row>
    <row r="71" spans="1:34" ht="12.95" customHeight="1">
      <c r="A71" s="3"/>
      <c r="C71" s="3"/>
      <c r="D71" s="3"/>
      <c r="E71" s="1526" t="s">
        <v>2476</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7"/>
      <c r="AB71" s="217"/>
      <c r="AC71" s="217"/>
    </row>
    <row r="72" spans="1:34" ht="12.95"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7"/>
      <c r="AB72" s="217"/>
      <c r="AC72" s="217"/>
    </row>
    <row r="73" spans="1:34" ht="12.95"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1803</v>
      </c>
      <c r="AB75" s="1894">
        <f>ROUND(IF(ISERROR((AB58/AB70)),0,(AB58/AB70)),0)</f>
        <v>0</v>
      </c>
      <c r="AC75" s="1894"/>
      <c r="AD75" s="1894"/>
      <c r="AE75" s="1894"/>
      <c r="AF75" s="1894"/>
    </row>
    <row r="76" spans="1:34" ht="12.95" customHeight="1">
      <c r="C76" s="3"/>
      <c r="D76" s="3" t="s">
        <v>1804</v>
      </c>
      <c r="AB76" s="1898">
        <f>IF((Y67+AD67&lt;AB75),Y67+AD67,AB75)</f>
        <v>0</v>
      </c>
      <c r="AC76" s="1899"/>
      <c r="AD76" s="1899"/>
      <c r="AE76" s="1899"/>
      <c r="AF76" s="1900"/>
    </row>
    <row r="77" spans="1:34" ht="12.95" customHeight="1">
      <c r="C77" s="3"/>
      <c r="D77" s="3" t="s">
        <v>1805</v>
      </c>
      <c r="AB77" s="1520">
        <f>AB76*AB70</f>
        <v>0</v>
      </c>
      <c r="AC77" s="1520"/>
      <c r="AD77" s="1520"/>
      <c r="AE77" s="1520"/>
      <c r="AF77" s="1520"/>
    </row>
    <row r="78" spans="1:34" ht="12.95" customHeight="1">
      <c r="C78" s="3"/>
      <c r="D78" s="3"/>
      <c r="AB78" s="506"/>
      <c r="AC78" s="506"/>
      <c r="AD78" s="506"/>
      <c r="AE78" s="506"/>
      <c r="AF78" s="506"/>
    </row>
    <row r="79" spans="1:34" ht="12.95" customHeight="1">
      <c r="D79" s="3" t="s">
        <v>1793</v>
      </c>
      <c r="AB79" s="1185">
        <f>AB48-(AB56+AB77)</f>
        <v>31546077</v>
      </c>
      <c r="AC79" s="1185"/>
      <c r="AD79" s="1185"/>
      <c r="AE79" s="1185"/>
      <c r="AF79" s="1185"/>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0" t="s">
        <v>2477</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row>
    <row r="2" spans="1:40" ht="12.95"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19" t="s">
        <v>2466</v>
      </c>
      <c r="U7" s="1519"/>
      <c r="V7" s="1519"/>
      <c r="W7" s="1519"/>
      <c r="X7" s="1519"/>
      <c r="Y7" s="1519" t="s">
        <v>2467</v>
      </c>
      <c r="Z7" s="1519"/>
      <c r="AA7" s="1519"/>
      <c r="AB7" s="1519"/>
      <c r="AC7" s="1519"/>
      <c r="AD7" s="1519" t="s">
        <v>2468</v>
      </c>
      <c r="AE7" s="1519"/>
      <c r="AF7" s="1519"/>
      <c r="AG7" s="1519"/>
      <c r="AH7" s="1519"/>
      <c r="AI7" s="1519" t="s">
        <v>2469</v>
      </c>
      <c r="AJ7" s="1519"/>
      <c r="AK7" s="1519"/>
      <c r="AL7" s="1519"/>
      <c r="AM7" s="1519"/>
    </row>
    <row r="8" spans="1:40" ht="12.95" customHeight="1">
      <c r="B8" s="173"/>
      <c r="T8" s="1519"/>
      <c r="U8" s="1519"/>
      <c r="V8" s="1519"/>
      <c r="W8" s="1519"/>
      <c r="X8" s="1519"/>
      <c r="Y8" s="1519"/>
      <c r="Z8" s="1519"/>
      <c r="AA8" s="1519"/>
      <c r="AB8" s="1519"/>
      <c r="AC8" s="1519"/>
      <c r="AD8" s="1519"/>
      <c r="AE8" s="1519"/>
      <c r="AF8" s="1519"/>
      <c r="AG8" s="1519"/>
      <c r="AH8" s="1519"/>
      <c r="AI8" s="1519"/>
      <c r="AJ8" s="1519"/>
      <c r="AK8" s="1519"/>
      <c r="AL8" s="1519"/>
      <c r="AM8" s="1519"/>
    </row>
    <row r="9" spans="1:40" ht="12.95" customHeight="1">
      <c r="B9" s="173"/>
      <c r="T9" s="1519"/>
      <c r="U9" s="1519"/>
      <c r="V9" s="1519"/>
      <c r="W9" s="1519"/>
      <c r="X9" s="1519"/>
      <c r="Y9" s="1519"/>
      <c r="Z9" s="1519"/>
      <c r="AA9" s="1519"/>
      <c r="AB9" s="1519"/>
      <c r="AC9" s="1519"/>
      <c r="AD9" s="1519"/>
      <c r="AE9" s="1519"/>
      <c r="AF9" s="1519"/>
      <c r="AG9" s="1519"/>
      <c r="AH9" s="1519"/>
      <c r="AI9" s="1519"/>
      <c r="AJ9" s="1519"/>
      <c r="AK9" s="1519"/>
      <c r="AL9" s="1519"/>
      <c r="AM9" s="1519"/>
    </row>
    <row r="10" spans="1:40" ht="40.5" customHeight="1">
      <c r="B10" s="46"/>
      <c r="C10" s="47"/>
      <c r="D10" s="47"/>
      <c r="E10" s="47"/>
      <c r="F10" s="47"/>
      <c r="G10" s="47"/>
      <c r="H10" s="47"/>
      <c r="I10" s="47"/>
      <c r="J10" s="47"/>
      <c r="K10" s="47"/>
      <c r="L10" s="47"/>
      <c r="M10" s="47"/>
      <c r="N10" s="47"/>
      <c r="O10" s="47"/>
      <c r="P10" s="47"/>
      <c r="Q10" s="47"/>
      <c r="R10" s="47"/>
      <c r="S10" s="47"/>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2.95" customHeight="1">
      <c r="B11" s="1077" t="s">
        <v>1759</v>
      </c>
      <c r="C11" s="1078"/>
      <c r="D11" s="1078"/>
      <c r="E11" s="1078"/>
      <c r="F11" s="1078"/>
      <c r="G11" s="1078"/>
      <c r="H11" s="1078"/>
      <c r="I11" s="1078"/>
      <c r="J11" s="1078"/>
      <c r="K11" s="1078"/>
      <c r="L11" s="1078"/>
      <c r="M11" s="1078"/>
      <c r="N11" s="1078"/>
      <c r="O11" s="1078"/>
      <c r="P11" s="1078"/>
      <c r="Q11" s="1078"/>
      <c r="R11" s="1078"/>
      <c r="S11" s="1080"/>
      <c r="T11" s="1544">
        <f>IF('Sources and Basis Breakdown'!F105=0,'Sources and Basis Breakdown'!E105,'Sources and Basis Breakdown'!F105)</f>
        <v>19273054</v>
      </c>
      <c r="U11" s="1535"/>
      <c r="V11" s="1535"/>
      <c r="W11" s="1535"/>
      <c r="X11" s="1535"/>
      <c r="Y11" s="1534">
        <f>IF('Sources and Basis Breakdown'!G105+'Sources and Basis Breakdown'!F105='Sources and Basis Breakdown'!E105,'Sources and Basis Breakdown'!G105,0)</f>
        <v>0</v>
      </c>
      <c r="Z11" s="1535"/>
      <c r="AA11" s="1535"/>
      <c r="AB11" s="1535"/>
      <c r="AC11" s="1535"/>
      <c r="AD11" s="1535">
        <f>IF('Sources and Basis Breakdown'!I105=0,'Sources and Basis Breakdown'!H105,'Sources and Basis Breakdown'!I105)</f>
        <v>0</v>
      </c>
      <c r="AE11" s="1535"/>
      <c r="AF11" s="1535"/>
      <c r="AG11" s="1535"/>
      <c r="AH11" s="1535"/>
      <c r="AI11" s="1535">
        <f>IF('Sources and Basis Breakdown'!I105+'Sources and Basis Breakdown'!J105='Sources and Basis Breakdown'!H105,'Sources and Basis Breakdown'!J105,0)</f>
        <v>0</v>
      </c>
      <c r="AJ11" s="1535"/>
      <c r="AK11" s="1535"/>
      <c r="AL11" s="1535"/>
      <c r="AM11" s="1535"/>
    </row>
    <row r="12" spans="1:40" ht="12.95" customHeight="1">
      <c r="B12" s="1540" t="s">
        <v>1760</v>
      </c>
      <c r="C12" s="967"/>
      <c r="D12" s="967"/>
      <c r="E12" s="967"/>
      <c r="F12" s="967"/>
      <c r="G12" s="967"/>
      <c r="H12" s="967"/>
      <c r="I12" s="967"/>
      <c r="J12" s="967"/>
      <c r="K12" s="967"/>
      <c r="L12" s="967"/>
      <c r="M12" s="967"/>
      <c r="N12" s="967"/>
      <c r="O12" s="967"/>
      <c r="P12" s="967"/>
      <c r="Q12" s="967"/>
      <c r="R12" s="967"/>
      <c r="S12" s="154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2.95" customHeight="1">
      <c r="B13" s="8"/>
      <c r="C13" s="1542" t="s">
        <v>1761</v>
      </c>
      <c r="D13" s="1542"/>
      <c r="E13" s="1542"/>
      <c r="F13" s="1542"/>
      <c r="G13" s="1542"/>
      <c r="H13" s="1542"/>
      <c r="I13" s="1542"/>
      <c r="J13" s="1542"/>
      <c r="K13" s="1542"/>
      <c r="L13" s="1542"/>
      <c r="M13" s="1542"/>
      <c r="N13" s="1542"/>
      <c r="O13" s="1542"/>
      <c r="P13" s="1542"/>
      <c r="Q13" s="1542"/>
      <c r="R13" s="1542"/>
      <c r="S13" s="1543"/>
      <c r="T13" s="1536">
        <f>'Basis &amp; Credits'!T13</f>
        <v>0</v>
      </c>
      <c r="U13" s="1533"/>
      <c r="V13" s="1533"/>
      <c r="W13" s="1533"/>
      <c r="X13" s="1533"/>
      <c r="Y13" s="1536">
        <f>'Basis &amp; Credits'!Y13</f>
        <v>0</v>
      </c>
      <c r="Z13" s="1533"/>
      <c r="AA13" s="1533"/>
      <c r="AB13" s="1533"/>
      <c r="AC13" s="1533"/>
      <c r="AD13" s="1533">
        <f>'Basis &amp; Credits'!AD13</f>
        <v>0</v>
      </c>
      <c r="AE13" s="1533"/>
      <c r="AF13" s="1533"/>
      <c r="AG13" s="1533"/>
      <c r="AH13" s="1533"/>
      <c r="AI13" s="1533">
        <f>'Basis &amp; Credits'!AI13</f>
        <v>0</v>
      </c>
      <c r="AJ13" s="1533"/>
      <c r="AK13" s="1533"/>
      <c r="AL13" s="1533"/>
      <c r="AM13" s="1533"/>
    </row>
    <row r="14" spans="1:40" ht="12.95" customHeight="1">
      <c r="B14" s="8"/>
      <c r="C14" s="1542" t="s">
        <v>1762</v>
      </c>
      <c r="D14" s="1542"/>
      <c r="E14" s="1542"/>
      <c r="F14" s="1542"/>
      <c r="G14" s="1542"/>
      <c r="H14" s="1542"/>
      <c r="I14" s="1542"/>
      <c r="J14" s="1542"/>
      <c r="K14" s="1542"/>
      <c r="L14" s="1542"/>
      <c r="M14" s="1542"/>
      <c r="N14" s="1542"/>
      <c r="O14" s="1542"/>
      <c r="P14" s="1542"/>
      <c r="Q14" s="1542"/>
      <c r="R14" s="1542"/>
      <c r="S14" s="1543"/>
      <c r="T14" s="1137">
        <f>'Basis &amp; Credits'!T14</f>
        <v>0</v>
      </c>
      <c r="U14" s="1151"/>
      <c r="V14" s="1151"/>
      <c r="W14" s="1151"/>
      <c r="X14" s="1151"/>
      <c r="Y14" s="1137">
        <f>'Basis &amp; Credits'!Y14</f>
        <v>0</v>
      </c>
      <c r="Z14" s="1151"/>
      <c r="AA14" s="1151"/>
      <c r="AB14" s="1151"/>
      <c r="AC14" s="1151"/>
      <c r="AD14" s="1151">
        <f>'Basis &amp; Credits'!AD14</f>
        <v>0</v>
      </c>
      <c r="AE14" s="1151"/>
      <c r="AF14" s="1151"/>
      <c r="AG14" s="1151"/>
      <c r="AH14" s="1151"/>
      <c r="AI14" s="1151">
        <f>'Basis &amp; Credits'!AI14</f>
        <v>0</v>
      </c>
      <c r="AJ14" s="1151"/>
      <c r="AK14" s="1151"/>
      <c r="AL14" s="1151"/>
      <c r="AM14" s="1151"/>
    </row>
    <row r="15" spans="1:40" ht="12.95" customHeight="1">
      <c r="B15" s="8"/>
      <c r="C15" s="1542" t="s">
        <v>1763</v>
      </c>
      <c r="D15" s="1542"/>
      <c r="E15" s="1542"/>
      <c r="F15" s="1542"/>
      <c r="G15" s="1542"/>
      <c r="H15" s="1542"/>
      <c r="I15" s="1542"/>
      <c r="J15" s="1542"/>
      <c r="K15" s="1542"/>
      <c r="L15" s="1542"/>
      <c r="M15" s="1542"/>
      <c r="N15" s="1542"/>
      <c r="O15" s="1542"/>
      <c r="P15" s="1542"/>
      <c r="Q15" s="1542"/>
      <c r="R15" s="1542"/>
      <c r="S15" s="1543"/>
      <c r="T15" s="1137">
        <f>'Basis &amp; Credits'!T15</f>
        <v>0</v>
      </c>
      <c r="U15" s="1151"/>
      <c r="V15" s="1151"/>
      <c r="W15" s="1151"/>
      <c r="X15" s="1151"/>
      <c r="Y15" s="1137">
        <f>'Basis &amp; Credits'!Y15</f>
        <v>0</v>
      </c>
      <c r="Z15" s="1151"/>
      <c r="AA15" s="1151"/>
      <c r="AB15" s="1151"/>
      <c r="AC15" s="1151"/>
      <c r="AD15" s="1151">
        <f>'Basis &amp; Credits'!AD15</f>
        <v>0</v>
      </c>
      <c r="AE15" s="1151"/>
      <c r="AF15" s="1151"/>
      <c r="AG15" s="1151"/>
      <c r="AH15" s="1151"/>
      <c r="AI15" s="1151">
        <f>'Basis &amp; Credits'!AI15</f>
        <v>0</v>
      </c>
      <c r="AJ15" s="1151"/>
      <c r="AK15" s="1151"/>
      <c r="AL15" s="1151"/>
      <c r="AM15" s="1151"/>
    </row>
    <row r="16" spans="1:40" ht="12.95" customHeight="1">
      <c r="B16" s="8"/>
      <c r="C16" s="1542" t="s">
        <v>1764</v>
      </c>
      <c r="D16" s="1542"/>
      <c r="E16" s="1542"/>
      <c r="F16" s="1542"/>
      <c r="G16" s="1542"/>
      <c r="H16" s="1542"/>
      <c r="I16" s="1542"/>
      <c r="J16" s="1542"/>
      <c r="K16" s="1542"/>
      <c r="L16" s="1542"/>
      <c r="M16" s="1542"/>
      <c r="N16" s="1542"/>
      <c r="O16" s="1542"/>
      <c r="P16" s="1542"/>
      <c r="Q16" s="1542"/>
      <c r="R16" s="1542"/>
      <c r="S16" s="1543"/>
      <c r="T16" s="1137">
        <f>'Basis &amp; Credits'!T16</f>
        <v>0</v>
      </c>
      <c r="U16" s="1151"/>
      <c r="V16" s="1151"/>
      <c r="W16" s="1151"/>
      <c r="X16" s="1151"/>
      <c r="Y16" s="1137">
        <f>'Basis &amp; Credits'!Y16</f>
        <v>0</v>
      </c>
      <c r="Z16" s="1151"/>
      <c r="AA16" s="1151"/>
      <c r="AB16" s="1151"/>
      <c r="AC16" s="1151"/>
      <c r="AD16" s="1151">
        <f>'Basis &amp; Credits'!AD16</f>
        <v>0</v>
      </c>
      <c r="AE16" s="1151"/>
      <c r="AF16" s="1151"/>
      <c r="AG16" s="1151"/>
      <c r="AH16" s="1151"/>
      <c r="AI16" s="1151">
        <f>'Basis &amp; Credits'!AI16</f>
        <v>0</v>
      </c>
      <c r="AJ16" s="1151"/>
      <c r="AK16" s="1151"/>
      <c r="AL16" s="1151"/>
      <c r="AM16" s="1151"/>
    </row>
    <row r="17" spans="1:39" ht="12.95" customHeight="1">
      <c r="B17" s="8"/>
      <c r="C17" s="1542" t="s">
        <v>1765</v>
      </c>
      <c r="D17" s="1542"/>
      <c r="E17" s="1542"/>
      <c r="F17" s="1542"/>
      <c r="G17" s="1542"/>
      <c r="H17" s="1542"/>
      <c r="I17" s="1542"/>
      <c r="J17" s="1542"/>
      <c r="K17" s="1542"/>
      <c r="L17" s="1542"/>
      <c r="M17" s="1542"/>
      <c r="N17" s="1542"/>
      <c r="O17" s="1542"/>
      <c r="P17" s="1542"/>
      <c r="Q17" s="1542"/>
      <c r="R17" s="1542"/>
      <c r="S17" s="1543"/>
      <c r="T17" s="1137">
        <f>'Basis &amp; Credits'!T17</f>
        <v>0</v>
      </c>
      <c r="U17" s="1151"/>
      <c r="V17" s="1151"/>
      <c r="W17" s="1151"/>
      <c r="X17" s="1151"/>
      <c r="Y17" s="1137">
        <f>'Basis &amp; Credits'!Y17</f>
        <v>0</v>
      </c>
      <c r="Z17" s="1151"/>
      <c r="AA17" s="1151"/>
      <c r="AB17" s="1151"/>
      <c r="AC17" s="1151"/>
      <c r="AD17" s="1151">
        <f>'Basis &amp; Credits'!AD17</f>
        <v>0</v>
      </c>
      <c r="AE17" s="1151"/>
      <c r="AF17" s="1151"/>
      <c r="AG17" s="1151"/>
      <c r="AH17" s="1151"/>
      <c r="AI17" s="1151">
        <f>'Basis &amp; Credits'!AI17</f>
        <v>0</v>
      </c>
      <c r="AJ17" s="1151"/>
      <c r="AK17" s="1151"/>
      <c r="AL17" s="1151"/>
      <c r="AM17" s="1151"/>
    </row>
    <row r="18" spans="1:39" ht="12.95" customHeight="1">
      <c r="B18" s="502"/>
      <c r="C18" s="1542" t="s">
        <v>2470</v>
      </c>
      <c r="D18" s="1542"/>
      <c r="E18" s="1542"/>
      <c r="F18" s="1542"/>
      <c r="G18" s="1542"/>
      <c r="H18" s="1542"/>
      <c r="I18" s="1542"/>
      <c r="J18" s="1542"/>
      <c r="K18" s="1542"/>
      <c r="L18" s="1542"/>
      <c r="M18" s="1542"/>
      <c r="N18" s="1542"/>
      <c r="O18" s="1542"/>
      <c r="P18" s="1542"/>
      <c r="Q18" s="1542"/>
      <c r="R18" s="1542"/>
      <c r="S18" s="1543"/>
      <c r="T18" s="1135">
        <f>'Basis &amp; Credits'!T18</f>
        <v>0</v>
      </c>
      <c r="U18" s="1136"/>
      <c r="V18" s="1136"/>
      <c r="W18" s="1136"/>
      <c r="X18" s="1137"/>
      <c r="Y18" s="1137">
        <f>'Basis &amp; Credits'!Y18</f>
        <v>0</v>
      </c>
      <c r="Z18" s="1151"/>
      <c r="AA18" s="1151"/>
      <c r="AB18" s="1151"/>
      <c r="AC18" s="1151"/>
      <c r="AD18" s="1151">
        <f>'Basis &amp; Credits'!AD18</f>
        <v>0</v>
      </c>
      <c r="AE18" s="1151"/>
      <c r="AF18" s="1151"/>
      <c r="AG18" s="1151"/>
      <c r="AH18" s="1151"/>
      <c r="AI18" s="1151">
        <f>'Basis &amp; Credits'!AI18</f>
        <v>0</v>
      </c>
      <c r="AJ18" s="1151"/>
      <c r="AK18" s="1151"/>
      <c r="AL18" s="1151"/>
      <c r="AM18" s="1151"/>
    </row>
    <row r="19" spans="1:39" ht="12.95" customHeight="1">
      <c r="B19" s="398"/>
      <c r="C19" s="1330" t="str">
        <f>'Basis &amp; Credits'!C19:S19</f>
        <v>Subtract (specify other ineligible amounts):</v>
      </c>
      <c r="D19" s="1330"/>
      <c r="E19" s="1330"/>
      <c r="F19" s="1330"/>
      <c r="G19" s="1330"/>
      <c r="H19" s="1330"/>
      <c r="I19" s="1330"/>
      <c r="J19" s="1330"/>
      <c r="K19" s="1330"/>
      <c r="L19" s="1330"/>
      <c r="M19" s="1330"/>
      <c r="N19" s="1330"/>
      <c r="O19" s="1330"/>
      <c r="P19" s="1330"/>
      <c r="Q19" s="1330"/>
      <c r="R19" s="1330"/>
      <c r="S19" s="1331"/>
      <c r="T19" s="1137">
        <f>'Basis &amp; Credits'!T19</f>
        <v>0</v>
      </c>
      <c r="U19" s="1151"/>
      <c r="V19" s="1151"/>
      <c r="W19" s="1151"/>
      <c r="X19" s="1151"/>
      <c r="Y19" s="1137">
        <f>'Basis &amp; Credits'!Y19</f>
        <v>0</v>
      </c>
      <c r="Z19" s="1151"/>
      <c r="AA19" s="1151"/>
      <c r="AB19" s="1151"/>
      <c r="AC19" s="1151"/>
      <c r="AD19" s="1151">
        <f>'Basis &amp; Credits'!AD19</f>
        <v>0</v>
      </c>
      <c r="AE19" s="1151"/>
      <c r="AF19" s="1151"/>
      <c r="AG19" s="1151"/>
      <c r="AH19" s="1151"/>
      <c r="AI19" s="1151">
        <f>'Basis &amp; Credits'!AI19</f>
        <v>0</v>
      </c>
      <c r="AJ19" s="1151"/>
      <c r="AK19" s="1151"/>
      <c r="AL19" s="1151"/>
      <c r="AM19" s="1151"/>
    </row>
    <row r="20" spans="1:39" ht="12.95" customHeight="1">
      <c r="B20" s="1077" t="s">
        <v>1767</v>
      </c>
      <c r="C20" s="1078"/>
      <c r="D20" s="1078"/>
      <c r="E20" s="1078"/>
      <c r="F20" s="1078"/>
      <c r="G20" s="1078"/>
      <c r="H20" s="1078"/>
      <c r="I20" s="1078"/>
      <c r="J20" s="1078"/>
      <c r="K20" s="1078"/>
      <c r="L20" s="1078"/>
      <c r="M20" s="1078"/>
      <c r="N20" s="1078"/>
      <c r="O20" s="1078"/>
      <c r="P20" s="1078"/>
      <c r="Q20" s="1078"/>
      <c r="R20" s="1078"/>
      <c r="S20" s="1080"/>
      <c r="T20" s="1516">
        <f>SUM(T13:X19)</f>
        <v>0</v>
      </c>
      <c r="U20" s="1181"/>
      <c r="V20" s="1181"/>
      <c r="W20" s="1181"/>
      <c r="X20" s="1181"/>
      <c r="Y20" s="1516">
        <f>SUM(Y13:AC19)</f>
        <v>0</v>
      </c>
      <c r="Z20" s="1181"/>
      <c r="AA20" s="1181"/>
      <c r="AB20" s="1181"/>
      <c r="AC20" s="1181"/>
      <c r="AD20" s="1181">
        <f>SUM(AD13:AH19)</f>
        <v>0</v>
      </c>
      <c r="AE20" s="1181"/>
      <c r="AF20" s="1181"/>
      <c r="AG20" s="1181"/>
      <c r="AH20" s="1181"/>
      <c r="AI20" s="1181">
        <f>SUM(AI13:AM19)</f>
        <v>0</v>
      </c>
      <c r="AJ20" s="1181"/>
      <c r="AK20" s="1181"/>
      <c r="AL20" s="1181"/>
      <c r="AM20" s="1181"/>
    </row>
    <row r="21" spans="1:39" ht="12.95" customHeight="1">
      <c r="B21" s="1077" t="s">
        <v>1768</v>
      </c>
      <c r="C21" s="1078"/>
      <c r="D21" s="1078"/>
      <c r="E21" s="1078"/>
      <c r="F21" s="1078"/>
      <c r="G21" s="1078"/>
      <c r="H21" s="1078"/>
      <c r="I21" s="1078"/>
      <c r="J21" s="1078"/>
      <c r="K21" s="1078"/>
      <c r="L21" s="1078"/>
      <c r="M21" s="1078"/>
      <c r="N21" s="1078"/>
      <c r="O21" s="1078"/>
      <c r="P21" s="1078"/>
      <c r="Q21" s="1078"/>
      <c r="R21" s="1078"/>
      <c r="S21" s="1080"/>
      <c r="T21" s="1137">
        <f>'Basis &amp; Credits'!T21</f>
        <v>4773804</v>
      </c>
      <c r="U21" s="1151"/>
      <c r="V21" s="1151"/>
      <c r="W21" s="1151"/>
      <c r="X21" s="1151"/>
      <c r="Y21" s="1137">
        <f>'Basis &amp; Credits'!Y21</f>
        <v>0</v>
      </c>
      <c r="Z21" s="1151"/>
      <c r="AA21" s="1151"/>
      <c r="AB21" s="1151"/>
      <c r="AC21" s="1151"/>
      <c r="AD21" s="1151">
        <f>'Basis &amp; Credits'!AD21</f>
        <v>0</v>
      </c>
      <c r="AE21" s="1151"/>
      <c r="AF21" s="1151"/>
      <c r="AG21" s="1151"/>
      <c r="AH21" s="1151"/>
      <c r="AI21" s="1151">
        <f>'Basis &amp; Credits'!AI21</f>
        <v>0</v>
      </c>
      <c r="AJ21" s="1151"/>
      <c r="AK21" s="1151"/>
      <c r="AL21" s="1151"/>
      <c r="AM21" s="1151"/>
    </row>
    <row r="22" spans="1:39" ht="12.95" customHeight="1">
      <c r="B22" s="1077" t="s">
        <v>1769</v>
      </c>
      <c r="C22" s="1078"/>
      <c r="D22" s="1078"/>
      <c r="E22" s="1078"/>
      <c r="F22" s="1078"/>
      <c r="G22" s="1078"/>
      <c r="H22" s="1078"/>
      <c r="I22" s="1078"/>
      <c r="J22" s="1078"/>
      <c r="K22" s="1078"/>
      <c r="L22" s="1078"/>
      <c r="M22" s="1078"/>
      <c r="N22" s="1078"/>
      <c r="O22" s="1078"/>
      <c r="P22" s="1078"/>
      <c r="Q22" s="1078"/>
      <c r="R22" s="1078"/>
      <c r="S22" s="1080"/>
      <c r="T22" s="1545">
        <f>(T20+T21)*-1</f>
        <v>-4773804</v>
      </c>
      <c r="U22" s="1546"/>
      <c r="V22" s="1546"/>
      <c r="W22" s="1546"/>
      <c r="X22" s="1546"/>
      <c r="Y22" s="1545">
        <f>(Y20+Y21)*-1</f>
        <v>0</v>
      </c>
      <c r="Z22" s="1546"/>
      <c r="AA22" s="1546"/>
      <c r="AB22" s="1546"/>
      <c r="AC22" s="1546"/>
      <c r="AD22" s="1545">
        <f>(AD20+AD21)*-1</f>
        <v>0</v>
      </c>
      <c r="AE22" s="1546"/>
      <c r="AF22" s="1546"/>
      <c r="AG22" s="1546"/>
      <c r="AH22" s="1546"/>
      <c r="AI22" s="1545">
        <f>(AI20+AI21)*-1</f>
        <v>0</v>
      </c>
      <c r="AJ22" s="1546"/>
      <c r="AK22" s="1546"/>
      <c r="AL22" s="1546"/>
      <c r="AM22" s="1546"/>
    </row>
    <row r="23" spans="1:39" ht="12.95" customHeight="1">
      <c r="B23" s="1077" t="s">
        <v>2471</v>
      </c>
      <c r="C23" s="1078"/>
      <c r="D23" s="1078"/>
      <c r="E23" s="1078"/>
      <c r="F23" s="1078"/>
      <c r="G23" s="1078"/>
      <c r="H23" s="1078"/>
      <c r="I23" s="1078"/>
      <c r="J23" s="1078"/>
      <c r="K23" s="1078"/>
      <c r="L23" s="1078"/>
      <c r="M23" s="1078"/>
      <c r="N23" s="1078"/>
      <c r="O23" s="1078"/>
      <c r="P23" s="1078"/>
      <c r="Q23" s="1078"/>
      <c r="R23" s="1078"/>
      <c r="S23" s="1080"/>
      <c r="T23" s="1516">
        <f>T11+T22</f>
        <v>14499250</v>
      </c>
      <c r="U23" s="1181"/>
      <c r="V23" s="1181"/>
      <c r="W23" s="1181"/>
      <c r="X23" s="1181"/>
      <c r="Y23" s="1516">
        <f>Y11+Y22</f>
        <v>0</v>
      </c>
      <c r="Z23" s="1181"/>
      <c r="AA23" s="1181"/>
      <c r="AB23" s="1181"/>
      <c r="AC23" s="1181"/>
      <c r="AD23" s="1516">
        <f>AD11+AD22</f>
        <v>0</v>
      </c>
      <c r="AE23" s="1181"/>
      <c r="AF23" s="1181"/>
      <c r="AG23" s="1181"/>
      <c r="AH23" s="1181"/>
      <c r="AI23" s="1516">
        <f>AI11+AI22</f>
        <v>0</v>
      </c>
      <c r="AJ23" s="1181"/>
      <c r="AK23" s="1181"/>
      <c r="AL23" s="1181"/>
      <c r="AM23" s="1181"/>
    </row>
    <row r="24" spans="1:39" ht="12.95" customHeight="1">
      <c r="B24" s="1077" t="s">
        <v>1771</v>
      </c>
      <c r="C24" s="1078"/>
      <c r="D24" s="1078"/>
      <c r="E24" s="1078"/>
      <c r="F24" s="1078"/>
      <c r="G24" s="1078"/>
      <c r="H24" s="1078"/>
      <c r="I24" s="1078"/>
      <c r="J24" s="1078"/>
      <c r="K24" s="1078"/>
      <c r="L24" s="1078"/>
      <c r="M24" s="1078"/>
      <c r="N24" s="1078"/>
      <c r="O24" s="1078"/>
      <c r="P24" s="1078"/>
      <c r="Q24" s="1078"/>
      <c r="R24" s="1078"/>
      <c r="S24" s="1080"/>
      <c r="T24" s="1517">
        <f>Application!AD1020</f>
        <v>0</v>
      </c>
      <c r="U24" s="1518"/>
      <c r="V24" s="1518"/>
      <c r="W24" s="1518"/>
      <c r="X24" s="1518"/>
      <c r="Y24" s="1518"/>
      <c r="Z24" s="1518"/>
      <c r="AA24" s="1518"/>
      <c r="AB24" s="1518"/>
      <c r="AC24" s="1518"/>
      <c r="AD24" s="1518"/>
      <c r="AE24" s="1518"/>
      <c r="AF24" s="1518"/>
      <c r="AG24" s="1518"/>
      <c r="AH24" s="1518"/>
      <c r="AI24" s="1518"/>
      <c r="AJ24" s="1518"/>
      <c r="AK24" s="1518"/>
      <c r="AL24" s="1518"/>
      <c r="AM24" s="1516"/>
    </row>
    <row r="25" spans="1:39" ht="12.95" customHeight="1">
      <c r="B25" s="1552" t="s">
        <v>2472</v>
      </c>
      <c r="C25" s="1553"/>
      <c r="D25" s="1553"/>
      <c r="E25" s="1553"/>
      <c r="F25" s="1553"/>
      <c r="G25" s="1553"/>
      <c r="H25" s="1553"/>
      <c r="I25" s="1553"/>
      <c r="J25" s="1553"/>
      <c r="K25" s="1553"/>
      <c r="L25" s="1553"/>
      <c r="M25" s="1553"/>
      <c r="N25" s="1553"/>
      <c r="O25" s="1553"/>
      <c r="P25" s="1553"/>
      <c r="Q25" s="1553"/>
      <c r="R25" s="1553"/>
      <c r="S25" s="1554"/>
      <c r="T25" s="1547">
        <v>1</v>
      </c>
      <c r="U25" s="1548"/>
      <c r="V25" s="1548"/>
      <c r="W25" s="1548"/>
      <c r="X25" s="1548"/>
      <c r="Y25" s="1547">
        <v>1</v>
      </c>
      <c r="Z25" s="1548"/>
      <c r="AA25" s="1548"/>
      <c r="AB25" s="1548"/>
      <c r="AC25" s="1551"/>
      <c r="AD25" s="1547">
        <v>1</v>
      </c>
      <c r="AE25" s="1548"/>
      <c r="AF25" s="1548"/>
      <c r="AG25" s="1548"/>
      <c r="AH25" s="1551"/>
      <c r="AI25" s="1547">
        <v>1</v>
      </c>
      <c r="AJ25" s="1548"/>
      <c r="AK25" s="1548"/>
      <c r="AL25" s="1548"/>
      <c r="AM25" s="1551"/>
    </row>
    <row r="26" spans="1:39" ht="12.95" customHeight="1">
      <c r="B26" s="1077" t="s">
        <v>1773</v>
      </c>
      <c r="C26" s="1078"/>
      <c r="D26" s="1078"/>
      <c r="E26" s="1078"/>
      <c r="F26" s="1078"/>
      <c r="G26" s="1078"/>
      <c r="H26" s="1078"/>
      <c r="I26" s="1078"/>
      <c r="J26" s="1078"/>
      <c r="K26" s="1078"/>
      <c r="L26" s="1078"/>
      <c r="M26" s="1078"/>
      <c r="N26" s="1078"/>
      <c r="O26" s="1078"/>
      <c r="P26" s="1078"/>
      <c r="Q26" s="1078"/>
      <c r="R26" s="1078"/>
      <c r="S26" s="1080"/>
      <c r="T26" s="1054">
        <f>T23*T25</f>
        <v>14499250</v>
      </c>
      <c r="U26" s="1416"/>
      <c r="V26" s="1416"/>
      <c r="W26" s="1416"/>
      <c r="X26" s="1416"/>
      <c r="Y26" s="1054">
        <f>Y23*Y25</f>
        <v>0</v>
      </c>
      <c r="Z26" s="1416"/>
      <c r="AA26" s="1416"/>
      <c r="AB26" s="1416"/>
      <c r="AC26" s="1416"/>
      <c r="AD26" s="1054">
        <f>AD23*AD25</f>
        <v>0</v>
      </c>
      <c r="AE26" s="1416"/>
      <c r="AF26" s="1416"/>
      <c r="AG26" s="1416"/>
      <c r="AH26" s="1416"/>
      <c r="AI26" s="1054">
        <f>AI23*AI25</f>
        <v>0</v>
      </c>
      <c r="AJ26" s="1416"/>
      <c r="AK26" s="1416"/>
      <c r="AL26" s="1416"/>
      <c r="AM26" s="1416"/>
    </row>
    <row r="27" spans="1:39" ht="12.95" customHeight="1">
      <c r="A27" s="4"/>
      <c r="B27" s="1552" t="s">
        <v>1774</v>
      </c>
      <c r="C27" s="1553"/>
      <c r="D27" s="1553"/>
      <c r="E27" s="1553"/>
      <c r="F27" s="1553"/>
      <c r="G27" s="1553"/>
      <c r="H27" s="1553"/>
      <c r="I27" s="1553"/>
      <c r="J27" s="1553"/>
      <c r="K27" s="1553"/>
      <c r="L27" s="1553"/>
      <c r="M27" s="1553"/>
      <c r="N27" s="1553"/>
      <c r="O27" s="1553"/>
      <c r="P27" s="1553"/>
      <c r="Q27" s="1553"/>
      <c r="R27" s="1553"/>
      <c r="S27" s="1554"/>
      <c r="T27" s="1549">
        <f>Application!AG446</f>
        <v>1</v>
      </c>
      <c r="U27" s="1550"/>
      <c r="V27" s="1550"/>
      <c r="W27" s="1550"/>
      <c r="X27" s="1550"/>
      <c r="Y27" s="1549">
        <f>Application!AG446</f>
        <v>1</v>
      </c>
      <c r="Z27" s="1550"/>
      <c r="AA27" s="1550"/>
      <c r="AB27" s="1550"/>
      <c r="AC27" s="1550"/>
      <c r="AD27" s="1549">
        <f>Application!AG446</f>
        <v>1</v>
      </c>
      <c r="AE27" s="1550"/>
      <c r="AF27" s="1550"/>
      <c r="AG27" s="1550"/>
      <c r="AH27" s="1550"/>
      <c r="AI27" s="1549">
        <f>Application!AG446</f>
        <v>1</v>
      </c>
      <c r="AJ27" s="1550"/>
      <c r="AK27" s="1550"/>
      <c r="AL27" s="1550"/>
      <c r="AM27" s="1550"/>
    </row>
    <row r="28" spans="1:39" ht="12.95" customHeight="1">
      <c r="A28" s="3"/>
      <c r="B28" s="1077" t="s">
        <v>1775</v>
      </c>
      <c r="C28" s="1078"/>
      <c r="D28" s="1078"/>
      <c r="E28" s="1078"/>
      <c r="F28" s="1078"/>
      <c r="G28" s="1078"/>
      <c r="H28" s="1078"/>
      <c r="I28" s="1078"/>
      <c r="J28" s="1078"/>
      <c r="K28" s="1078"/>
      <c r="L28" s="1078"/>
      <c r="M28" s="1078"/>
      <c r="N28" s="1078"/>
      <c r="O28" s="1078"/>
      <c r="P28" s="1078"/>
      <c r="Q28" s="1078"/>
      <c r="R28" s="1078"/>
      <c r="S28" s="1080"/>
      <c r="T28" s="1054">
        <f>IF(ISERROR((T26*T27)),0,(T26*T27))</f>
        <v>14499250</v>
      </c>
      <c r="U28" s="1416"/>
      <c r="V28" s="1416"/>
      <c r="W28" s="1416"/>
      <c r="X28" s="1416"/>
      <c r="Y28" s="1054">
        <f>IF(ISERROR((Y26*Y27)),0,(Y26*Y27))</f>
        <v>0</v>
      </c>
      <c r="Z28" s="1416"/>
      <c r="AA28" s="1416"/>
      <c r="AB28" s="1416"/>
      <c r="AC28" s="1416"/>
      <c r="AD28" s="1054">
        <f>IF(ISERROR((AD26*AD27)),0,(AD26*AD27))</f>
        <v>0</v>
      </c>
      <c r="AE28" s="1416"/>
      <c r="AF28" s="1416"/>
      <c r="AG28" s="1416"/>
      <c r="AH28" s="1416"/>
      <c r="AI28" s="1054">
        <f>IF(ISERROR((AI26*AI27)),0,(AI26*AI27))</f>
        <v>0</v>
      </c>
      <c r="AJ28" s="1416"/>
      <c r="AK28" s="1416"/>
      <c r="AL28" s="1416"/>
      <c r="AM28" s="1416"/>
    </row>
    <row r="29" spans="1:39" ht="12.95" customHeight="1">
      <c r="B29" s="1077" t="s">
        <v>1776</v>
      </c>
      <c r="C29" s="1078"/>
      <c r="D29" s="1078"/>
      <c r="E29" s="1078"/>
      <c r="F29" s="1078"/>
      <c r="G29" s="1078"/>
      <c r="H29" s="1078"/>
      <c r="I29" s="1078"/>
      <c r="J29" s="1078"/>
      <c r="K29" s="1078"/>
      <c r="L29" s="1078"/>
      <c r="M29" s="1078"/>
      <c r="N29" s="1078"/>
      <c r="O29" s="1078"/>
      <c r="P29" s="1078"/>
      <c r="Q29" s="1078"/>
      <c r="R29" s="1078"/>
      <c r="S29" s="1080"/>
      <c r="T29" s="1517">
        <f>T28+Y28+AD28+AI28</f>
        <v>14499250</v>
      </c>
      <c r="U29" s="1518"/>
      <c r="V29" s="1518"/>
      <c r="W29" s="1518"/>
      <c r="X29" s="1518"/>
      <c r="Y29" s="1518"/>
      <c r="Z29" s="1518"/>
      <c r="AA29" s="1518"/>
      <c r="AB29" s="1518"/>
      <c r="AC29" s="1518"/>
      <c r="AD29" s="1518"/>
      <c r="AE29" s="1518"/>
      <c r="AF29" s="1518"/>
      <c r="AG29" s="1518"/>
      <c r="AH29" s="1518"/>
      <c r="AI29" s="1518"/>
      <c r="AJ29" s="1518"/>
      <c r="AK29" s="1518"/>
      <c r="AL29" s="1518"/>
      <c r="AM29" s="1516"/>
    </row>
    <row r="30" spans="1:39" ht="12.95" customHeight="1">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828</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19" t="s">
        <v>1779</v>
      </c>
      <c r="Z35" s="1519"/>
      <c r="AA35" s="1519"/>
      <c r="AB35" s="1519"/>
      <c r="AC35" s="1519"/>
      <c r="AD35" s="1171" t="s">
        <v>1780</v>
      </c>
      <c r="AE35" s="1171"/>
      <c r="AF35" s="1171"/>
      <c r="AG35" s="1171"/>
      <c r="AH35" s="1171"/>
    </row>
    <row r="36" spans="1:40" ht="12.95" customHeight="1">
      <c r="B36" s="173"/>
      <c r="X36" s="63"/>
      <c r="Y36" s="1519"/>
      <c r="Z36" s="1519"/>
      <c r="AA36" s="1519"/>
      <c r="AB36" s="1519"/>
      <c r="AC36" s="1519"/>
      <c r="AD36" s="1171"/>
      <c r="AE36" s="1171"/>
      <c r="AF36" s="1171"/>
      <c r="AG36" s="1171"/>
      <c r="AH36" s="117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9"/>
      <c r="Z37" s="1519"/>
      <c r="AA37" s="1519"/>
      <c r="AB37" s="1519"/>
      <c r="AC37" s="1519"/>
      <c r="AD37" s="1171"/>
      <c r="AE37" s="1171"/>
      <c r="AF37" s="1171"/>
      <c r="AG37" s="1171"/>
      <c r="AH37" s="1171"/>
    </row>
    <row r="38" spans="1:40" ht="12.95" customHeight="1">
      <c r="A38" s="3"/>
      <c r="B38" s="1077" t="s">
        <v>1775</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80"/>
      <c r="Y38" s="1181">
        <f>IF(T24&gt;=(T23+Y23+AD23+AI23),T28+Y28,0)</f>
        <v>0</v>
      </c>
      <c r="Z38" s="1181"/>
      <c r="AA38" s="1181"/>
      <c r="AB38" s="1181"/>
      <c r="AC38" s="1181"/>
      <c r="AD38" s="1181">
        <f>IF(T24&gt;=(T23+Y23+AD23+AI23),AD28+AI28,0)</f>
        <v>0</v>
      </c>
      <c r="AE38" s="1181"/>
      <c r="AF38" s="1181"/>
      <c r="AG38" s="1181"/>
      <c r="AH38" s="1181"/>
    </row>
    <row r="39" spans="1:40" ht="12.95" customHeight="1">
      <c r="B39" s="1077" t="s">
        <v>2473</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80"/>
      <c r="Y39" s="1866">
        <v>0.09</v>
      </c>
      <c r="Z39" s="1866"/>
      <c r="AA39" s="1866"/>
      <c r="AB39" s="1866"/>
      <c r="AC39" s="1866"/>
      <c r="AD39" s="1866">
        <f>'Basis &amp; Credits'!AD39:AH39</f>
        <v>0.04</v>
      </c>
      <c r="AE39" s="1866"/>
      <c r="AF39" s="1866"/>
      <c r="AG39" s="1866"/>
      <c r="AH39" s="1866"/>
    </row>
    <row r="40" spans="1:40" ht="12.95" customHeight="1">
      <c r="A40" s="3"/>
      <c r="B40" s="1077" t="s">
        <v>1782</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80"/>
      <c r="Y40" s="1181">
        <f>ROUND(Y38*Y39,0)</f>
        <v>0</v>
      </c>
      <c r="Z40" s="1181"/>
      <c r="AA40" s="1181"/>
      <c r="AB40" s="1181"/>
      <c r="AC40" s="1181"/>
      <c r="AD40" s="1516">
        <f>ROUND(AD38*AD39,0)</f>
        <v>0</v>
      </c>
      <c r="AE40" s="1181"/>
      <c r="AF40" s="1181"/>
      <c r="AG40" s="1181"/>
      <c r="AH40" s="1181"/>
    </row>
    <row r="41" spans="1:40" ht="12.95" customHeight="1">
      <c r="B41" s="1077" t="s">
        <v>1783</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80"/>
      <c r="Y41" s="1517">
        <f>IF((Y40+AD40)&gt;2500000,2500000,Y40+AD40)</f>
        <v>0</v>
      </c>
      <c r="Z41" s="1518"/>
      <c r="AA41" s="1518"/>
      <c r="AB41" s="1518"/>
      <c r="AC41" s="1518"/>
      <c r="AD41" s="1518"/>
      <c r="AE41" s="1518"/>
      <c r="AF41" s="1518"/>
      <c r="AG41" s="1518"/>
      <c r="AH41" s="1516"/>
    </row>
    <row r="42" spans="1:40" ht="12.95" customHeight="1">
      <c r="A42" s="3"/>
      <c r="B42" s="1527" t="s">
        <v>2474</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1785</v>
      </c>
      <c r="AB46" s="1172">
        <f>'Sources and Uses Budget'!B104-'Sources and Uses Budget'!$B$15</f>
        <v>31546077</v>
      </c>
      <c r="AC46" s="1173"/>
      <c r="AD46" s="1173"/>
      <c r="AE46" s="1173"/>
      <c r="AF46" s="1174"/>
    </row>
    <row r="47" spans="1:40" ht="12.95" customHeight="1">
      <c r="D47" s="3" t="s">
        <v>185</v>
      </c>
      <c r="AB47" s="1172">
        <f>Application!AG641-MIN('Sources and Uses Budget'!B15,Application!AG393)</f>
        <v>0</v>
      </c>
      <c r="AC47" s="1173"/>
      <c r="AD47" s="1173"/>
      <c r="AE47" s="1173"/>
      <c r="AF47" s="1174"/>
    </row>
    <row r="48" spans="1:40" ht="12.95" customHeight="1">
      <c r="D48" s="3" t="s">
        <v>1786</v>
      </c>
      <c r="AB48" s="1172">
        <f>AB46-AB47</f>
        <v>31546077</v>
      </c>
      <c r="AC48" s="1173"/>
      <c r="AD48" s="1173"/>
      <c r="AE48" s="1173"/>
      <c r="AF48" s="1174"/>
    </row>
    <row r="49" spans="1:40" ht="12.95" customHeight="1">
      <c r="D49" s="3" t="s">
        <v>1787</v>
      </c>
      <c r="AA49" s="31"/>
      <c r="AB49" s="1522"/>
      <c r="AC49" s="1523"/>
      <c r="AD49" s="1523"/>
      <c r="AE49" s="1523"/>
      <c r="AF49" s="1524"/>
    </row>
    <row r="50" spans="1:40" s="269" customFormat="1" ht="12.95" customHeight="1">
      <c r="A50"/>
      <c r="B50"/>
      <c r="C50"/>
      <c r="D50"/>
      <c r="E50" s="1528" t="s">
        <v>2475</v>
      </c>
      <c r="F50" s="1528"/>
      <c r="G50" s="1528"/>
      <c r="H50" s="1528"/>
      <c r="I50" s="1528"/>
      <c r="J50" s="1528"/>
      <c r="K50" s="1528"/>
      <c r="L50" s="1528"/>
      <c r="M50" s="1528"/>
      <c r="N50" s="1528"/>
      <c r="O50" s="1528"/>
      <c r="P50" s="1528"/>
      <c r="Q50" s="1528"/>
      <c r="R50" s="1528"/>
      <c r="S50" s="1528"/>
      <c r="T50" s="1528"/>
      <c r="U50" s="1528"/>
      <c r="V50" s="1528"/>
      <c r="W50" s="1528"/>
      <c r="X50" s="1528"/>
      <c r="Y50" s="1528"/>
      <c r="Z50" s="1528"/>
      <c r="AA50" s="705"/>
      <c r="AB50" s="705"/>
      <c r="AC50" s="705"/>
      <c r="AD50" s="705"/>
      <c r="AE50" s="705"/>
      <c r="AF50" s="705"/>
      <c r="AG50"/>
      <c r="AH50"/>
      <c r="AI50"/>
      <c r="AJ50"/>
      <c r="AK50"/>
      <c r="AL50"/>
      <c r="AM50"/>
      <c r="AN50"/>
    </row>
    <row r="51" spans="1:40" s="269" customFormat="1" ht="12.95" customHeight="1">
      <c r="A51"/>
      <c r="B51"/>
      <c r="C51"/>
      <c r="D51"/>
      <c r="E51" s="1528"/>
      <c r="F51" s="1528"/>
      <c r="G51" s="1528"/>
      <c r="H51" s="1528"/>
      <c r="I51" s="1528"/>
      <c r="J51" s="1528"/>
      <c r="K51" s="1528"/>
      <c r="L51" s="1528"/>
      <c r="M51" s="1528"/>
      <c r="N51" s="1528"/>
      <c r="O51" s="1528"/>
      <c r="P51" s="1528"/>
      <c r="Q51" s="1528"/>
      <c r="R51" s="1528"/>
      <c r="S51" s="1528"/>
      <c r="T51" s="1528"/>
      <c r="U51" s="1528"/>
      <c r="V51" s="1528"/>
      <c r="W51" s="1528"/>
      <c r="X51" s="1528"/>
      <c r="Y51" s="1528"/>
      <c r="Z51" s="152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1789</v>
      </c>
      <c r="AB53" s="1172">
        <f>ROUND(IF(ISERROR((AB48/AB49)),0,(AB48/AB49)),0)</f>
        <v>0</v>
      </c>
      <c r="AC53" s="1173"/>
      <c r="AD53" s="1173"/>
      <c r="AE53" s="1173"/>
      <c r="AF53" s="1174"/>
    </row>
    <row r="54" spans="1:40" ht="12.95" customHeight="1">
      <c r="D54" s="3" t="s">
        <v>1790</v>
      </c>
      <c r="AB54" s="1172">
        <f>(AB53/10)</f>
        <v>0</v>
      </c>
      <c r="AC54" s="1173"/>
      <c r="AD54" s="1173"/>
      <c r="AE54" s="1173"/>
      <c r="AF54" s="1174"/>
    </row>
    <row r="55" spans="1:40" ht="12.95" customHeight="1">
      <c r="D55" s="3" t="s">
        <v>1791</v>
      </c>
      <c r="AB55" s="1867">
        <f>(IF((Y41&lt;AB54),Y41,AB54))</f>
        <v>0</v>
      </c>
      <c r="AC55" s="1868"/>
      <c r="AD55" s="1868"/>
      <c r="AE55" s="1868"/>
      <c r="AF55" s="1869"/>
    </row>
    <row r="56" spans="1:40" ht="12.95" customHeight="1">
      <c r="D56" s="3" t="s">
        <v>1792</v>
      </c>
      <c r="AB56" s="1172">
        <f>ROUND((10*AB55*AB49),0)</f>
        <v>0</v>
      </c>
      <c r="AC56" s="1173"/>
      <c r="AD56" s="1173"/>
      <c r="AE56" s="1173"/>
      <c r="AF56" s="1174"/>
    </row>
    <row r="57" spans="1:40" ht="12.95" customHeight="1">
      <c r="D57" s="3"/>
      <c r="AB57" s="236"/>
      <c r="AC57" s="236"/>
      <c r="AD57" s="236"/>
      <c r="AE57" s="236"/>
      <c r="AF57" s="236"/>
    </row>
    <row r="58" spans="1:40" ht="12.95" customHeight="1">
      <c r="D58" s="3" t="s">
        <v>1793</v>
      </c>
      <c r="AB58" s="1185">
        <f>AB48-AB56</f>
        <v>31546077</v>
      </c>
      <c r="AC58" s="1185"/>
      <c r="AD58" s="1185"/>
      <c r="AE58" s="1185"/>
      <c r="AF58" s="118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13" t="s">
        <v>1794</v>
      </c>
      <c r="B60" s="1513"/>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513"/>
      <c r="AM60" s="1513"/>
      <c r="AN60" s="1513"/>
    </row>
    <row r="61" spans="1:40" ht="12.95" customHeight="1" thickTop="1">
      <c r="A61" s="1141"/>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row>
    <row r="62" spans="1:40" ht="12.95" customHeight="1">
      <c r="A62" s="3" t="s">
        <v>930</v>
      </c>
      <c r="C62" s="3" t="s">
        <v>286</v>
      </c>
      <c r="Y62" s="1475" t="s">
        <v>1795</v>
      </c>
      <c r="Z62" s="1475"/>
      <c r="AA62" s="1475"/>
      <c r="AB62" s="1475"/>
      <c r="AC62" s="1475"/>
      <c r="AD62" s="1475" t="s">
        <v>1780</v>
      </c>
      <c r="AE62" s="1475"/>
      <c r="AF62" s="1475"/>
      <c r="AG62" s="1475"/>
      <c r="AH62" s="1475"/>
    </row>
    <row r="63" spans="1:40" ht="12.95" customHeight="1">
      <c r="C63" s="3"/>
      <c r="D63" s="105" t="s">
        <v>1796</v>
      </c>
      <c r="E63" s="15"/>
      <c r="F63" s="15"/>
      <c r="G63" s="15"/>
      <c r="H63" s="15"/>
      <c r="I63" s="15"/>
      <c r="J63" s="15"/>
      <c r="K63" s="15"/>
      <c r="L63" s="15"/>
      <c r="M63" s="15"/>
      <c r="N63" s="15"/>
      <c r="O63" s="15"/>
      <c r="P63" s="15"/>
      <c r="Q63" s="15"/>
      <c r="R63" s="15"/>
      <c r="S63" s="15"/>
      <c r="T63" s="15"/>
      <c r="U63" s="15"/>
      <c r="V63" s="15"/>
      <c r="W63" s="15"/>
      <c r="X63" s="15"/>
      <c r="Y63" s="1181">
        <f>Y28</f>
        <v>0</v>
      </c>
      <c r="Z63" s="1525"/>
      <c r="AA63" s="1525"/>
      <c r="AB63" s="1525"/>
      <c r="AC63" s="1525"/>
      <c r="AD63" s="1181">
        <f>AI28</f>
        <v>0</v>
      </c>
      <c r="AE63" s="1525"/>
      <c r="AF63" s="1525"/>
      <c r="AG63" s="1525"/>
      <c r="AH63" s="1525"/>
    </row>
    <row r="64" spans="1:40" ht="12.95" customHeight="1">
      <c r="C64" s="3"/>
      <c r="E64" s="1514" t="s">
        <v>1797</v>
      </c>
      <c r="F64" s="1514"/>
      <c r="G64" s="1514"/>
      <c r="H64" s="1514"/>
      <c r="I64" s="1514"/>
      <c r="J64" s="1514"/>
      <c r="K64" s="1514"/>
      <c r="L64" s="1514"/>
      <c r="M64" s="1514"/>
      <c r="N64" s="1514"/>
      <c r="O64" s="1514"/>
      <c r="P64" s="1514"/>
      <c r="Q64" s="1514"/>
      <c r="R64" s="1514"/>
      <c r="S64" s="1514"/>
      <c r="T64" s="1514"/>
      <c r="U64" s="1514"/>
      <c r="V64" s="1514"/>
      <c r="W64" s="1514"/>
      <c r="X64" s="1514"/>
      <c r="Y64" s="1514"/>
      <c r="Z64" s="1514"/>
      <c r="AA64" s="1514"/>
      <c r="AB64" s="1514"/>
      <c r="AC64" s="1514"/>
      <c r="AD64" s="1514"/>
      <c r="AE64" s="1514"/>
      <c r="AF64" s="1514"/>
      <c r="AG64" s="1514"/>
      <c r="AH64" s="1514"/>
    </row>
    <row r="65" spans="1:34" ht="30.75" customHeight="1">
      <c r="C65" s="3"/>
      <c r="E65" s="1514"/>
      <c r="F65" s="1514"/>
      <c r="G65" s="1514"/>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row>
    <row r="66" spans="1:34" ht="12.95" customHeight="1">
      <c r="C66" s="3"/>
      <c r="D66" s="3" t="s">
        <v>1798</v>
      </c>
      <c r="E66" s="81"/>
      <c r="F66" s="81"/>
      <c r="G66" s="81"/>
      <c r="H66" s="81"/>
      <c r="I66" s="81"/>
      <c r="J66" s="81"/>
      <c r="K66" s="81"/>
      <c r="L66" s="81"/>
      <c r="M66" s="81"/>
      <c r="N66" s="81"/>
      <c r="O66" s="81"/>
      <c r="P66" s="81"/>
      <c r="Q66" s="81"/>
      <c r="R66" s="81"/>
      <c r="S66" s="81"/>
      <c r="T66" s="81"/>
      <c r="U66" s="81"/>
      <c r="V66" s="81"/>
      <c r="W66" s="81"/>
      <c r="X66" s="81"/>
      <c r="Y66" s="1521">
        <v>0.3</v>
      </c>
      <c r="Z66" s="1521"/>
      <c r="AA66" s="1521"/>
      <c r="AB66" s="1521"/>
      <c r="AC66" s="1521"/>
      <c r="AD66" s="1521">
        <v>0.13</v>
      </c>
      <c r="AE66" s="1521"/>
      <c r="AF66" s="1521"/>
      <c r="AG66" s="1521"/>
      <c r="AH66" s="1521"/>
    </row>
    <row r="67" spans="1:34" ht="12.95" customHeight="1">
      <c r="C67" s="3"/>
      <c r="D67" s="3" t="s">
        <v>1799</v>
      </c>
      <c r="Y67" s="1181">
        <f>ROUND(Y63*Y66,0)</f>
        <v>0</v>
      </c>
      <c r="Z67" s="1525"/>
      <c r="AA67" s="1525"/>
      <c r="AB67" s="1525"/>
      <c r="AC67" s="1525"/>
      <c r="AD67" s="1181" t="str">
        <f>IF(OR(Application!D211="At-Risk",Application!D211="At-Risk/Located in Rural Census Tract",Application!D214="At-Risk"),ROUND(AD63*AD66,0),"$0")</f>
        <v>$0</v>
      </c>
      <c r="AE67" s="1181"/>
      <c r="AF67" s="1181"/>
      <c r="AG67" s="1181"/>
      <c r="AH67" s="1181"/>
    </row>
    <row r="68" spans="1:34" ht="12.95" customHeight="1">
      <c r="C68" s="3"/>
      <c r="E68" s="3"/>
      <c r="AB68" s="2"/>
      <c r="AC68" s="2"/>
      <c r="AD68" s="2"/>
      <c r="AE68" s="2"/>
      <c r="AF68" s="2"/>
    </row>
    <row r="69" spans="1:34" ht="12.95" customHeight="1">
      <c r="A69" s="3" t="s">
        <v>942</v>
      </c>
      <c r="C69" s="3" t="s">
        <v>289</v>
      </c>
    </row>
    <row r="70" spans="1:34" ht="12.95" customHeight="1">
      <c r="A70" s="3"/>
      <c r="C70" s="3"/>
      <c r="D70" s="3" t="s">
        <v>1801</v>
      </c>
      <c r="AB70" s="1522"/>
      <c r="AC70" s="1523"/>
      <c r="AD70" s="1523"/>
      <c r="AE70" s="1523"/>
      <c r="AF70" s="1524"/>
    </row>
    <row r="71" spans="1:34" ht="12.95" customHeight="1">
      <c r="A71" s="3"/>
      <c r="C71" s="3"/>
      <c r="D71" s="3"/>
      <c r="E71" s="1526" t="s">
        <v>2476</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7"/>
      <c r="AB71" s="217"/>
      <c r="AC71" s="217"/>
    </row>
    <row r="72" spans="1:34" ht="12.95"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7"/>
      <c r="AB72" s="217"/>
      <c r="AC72" s="217"/>
    </row>
    <row r="73" spans="1:34" ht="12.95"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1803</v>
      </c>
      <c r="AB75" s="1894">
        <f>ROUND(IF(ISERROR((AB58/AB70)),0,(AB58/AB70)),0)</f>
        <v>0</v>
      </c>
      <c r="AC75" s="1894"/>
      <c r="AD75" s="1894"/>
      <c r="AE75" s="1894"/>
      <c r="AF75" s="1894"/>
    </row>
    <row r="76" spans="1:34" ht="12.95" customHeight="1">
      <c r="C76" s="3"/>
      <c r="D76" s="3" t="s">
        <v>1804</v>
      </c>
      <c r="AB76" s="1898">
        <f>IF((Y67+AD67&lt;AB75),Y67+AD67,AB75)</f>
        <v>0</v>
      </c>
      <c r="AC76" s="1899"/>
      <c r="AD76" s="1899"/>
      <c r="AE76" s="1899"/>
      <c r="AF76" s="1900"/>
    </row>
    <row r="77" spans="1:34" ht="12.95" customHeight="1">
      <c r="C77" s="3"/>
      <c r="D77" s="3" t="s">
        <v>1805</v>
      </c>
      <c r="AB77" s="1520">
        <f>AB76*AB70</f>
        <v>0</v>
      </c>
      <c r="AC77" s="1520"/>
      <c r="AD77" s="1520"/>
      <c r="AE77" s="1520"/>
      <c r="AF77" s="1520"/>
    </row>
    <row r="78" spans="1:34" ht="12.95" customHeight="1">
      <c r="C78" s="3"/>
      <c r="D78" s="3"/>
      <c r="AB78" s="506"/>
      <c r="AC78" s="506"/>
      <c r="AD78" s="506"/>
      <c r="AE78" s="506"/>
      <c r="AF78" s="506"/>
    </row>
    <row r="79" spans="1:34" ht="12.95" customHeight="1">
      <c r="D79" s="3" t="s">
        <v>1793</v>
      </c>
      <c r="AB79" s="1185">
        <f>AB48-(AB56+AB77)</f>
        <v>31546077</v>
      </c>
      <c r="AC79" s="1185"/>
      <c r="AD79" s="1185"/>
      <c r="AE79" s="1185"/>
      <c r="AF79" s="1185"/>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2478</v>
      </c>
      <c r="G1" s="475"/>
    </row>
    <row r="2" spans="1:7" ht="12.75">
      <c r="A2" s="224" t="s">
        <v>2479</v>
      </c>
      <c r="B2" s="191"/>
      <c r="C2" s="270"/>
      <c r="D2" s="270"/>
      <c r="E2" s="191"/>
      <c r="F2" s="271"/>
      <c r="G2" s="271"/>
    </row>
    <row r="3" spans="1:7" s="476" customFormat="1" ht="80.25" customHeight="1">
      <c r="A3" s="277"/>
      <c r="B3" s="272" t="s">
        <v>2480</v>
      </c>
      <c r="C3" s="272" t="s">
        <v>2481</v>
      </c>
      <c r="D3" s="272" t="s">
        <v>2482</v>
      </c>
      <c r="E3" s="272" t="s">
        <v>2483</v>
      </c>
      <c r="F3" s="268" t="s">
        <v>2484</v>
      </c>
      <c r="G3" s="272"/>
    </row>
    <row r="4" spans="1:7" s="477" customFormat="1" ht="12.75">
      <c r="A4" s="774" t="s">
        <v>1639</v>
      </c>
      <c r="B4" s="273"/>
      <c r="C4" s="273"/>
      <c r="D4" s="273"/>
      <c r="E4" s="273"/>
      <c r="F4" s="273"/>
      <c r="G4" s="273"/>
    </row>
    <row r="5" spans="1:7" s="477" customFormat="1" ht="12.75">
      <c r="A5" s="775" t="s">
        <v>2485</v>
      </c>
      <c r="B5" s="928">
        <f>'Sources and Uses Budget'!C4</f>
        <v>0</v>
      </c>
      <c r="C5" s="928">
        <f>'Sources and Uses Budget'!C4</f>
        <v>0</v>
      </c>
      <c r="D5" s="928">
        <f>'Sources and Uses Budget'!C4</f>
        <v>0</v>
      </c>
      <c r="E5" s="929">
        <f>C5-B5</f>
        <v>0</v>
      </c>
      <c r="F5" s="930"/>
      <c r="G5" s="930"/>
    </row>
    <row r="6" spans="1:7" s="477" customFormat="1" ht="12.75">
      <c r="A6" s="775" t="s">
        <v>2486</v>
      </c>
      <c r="B6" s="928">
        <f>'Sources and Uses Budget'!C5</f>
        <v>325000</v>
      </c>
      <c r="C6" s="928">
        <f>'Sources and Uses Budget'!C5</f>
        <v>325000</v>
      </c>
      <c r="D6" s="928">
        <f>'Sources and Uses Budget'!C5</f>
        <v>325000</v>
      </c>
      <c r="E6" s="929">
        <f t="shared" ref="E6:E73" si="0">C6-B6</f>
        <v>0</v>
      </c>
      <c r="F6" s="930"/>
      <c r="G6" s="930"/>
    </row>
    <row r="7" spans="1:7" s="477" customFormat="1" ht="12.75">
      <c r="A7" s="775" t="s">
        <v>1642</v>
      </c>
      <c r="B7" s="928">
        <f>'Sources and Uses Budget'!C6</f>
        <v>200</v>
      </c>
      <c r="C7" s="928">
        <f>'Sources and Uses Budget'!C6</f>
        <v>200</v>
      </c>
      <c r="D7" s="928">
        <f>'Sources and Uses Budget'!C6</f>
        <v>200</v>
      </c>
      <c r="E7" s="929">
        <f t="shared" si="0"/>
        <v>0</v>
      </c>
      <c r="F7" s="930"/>
      <c r="G7" s="930"/>
    </row>
    <row r="8" spans="1:7" s="477" customFormat="1" ht="12.75">
      <c r="A8" s="775" t="s">
        <v>1643</v>
      </c>
      <c r="B8" s="928">
        <f>'Sources and Uses Budget'!C7</f>
        <v>0</v>
      </c>
      <c r="C8" s="928">
        <f>'Sources and Uses Budget'!C7</f>
        <v>0</v>
      </c>
      <c r="D8" s="928">
        <f>'Sources and Uses Budget'!C7</f>
        <v>0</v>
      </c>
      <c r="E8" s="929">
        <f t="shared" si="0"/>
        <v>0</v>
      </c>
      <c r="F8" s="930"/>
      <c r="G8" s="930"/>
    </row>
    <row r="9" spans="1:7" s="477" customFormat="1" ht="12.75">
      <c r="A9" s="776" t="s">
        <v>2487</v>
      </c>
      <c r="B9" s="929">
        <f>SUM(B5:B8)</f>
        <v>325200</v>
      </c>
      <c r="C9" s="929">
        <f>SUM(C5:C8)</f>
        <v>325200</v>
      </c>
      <c r="D9" s="929">
        <f>SUM(D5:D8)</f>
        <v>325200</v>
      </c>
      <c r="E9" s="929">
        <f t="shared" si="0"/>
        <v>0</v>
      </c>
      <c r="F9" s="930"/>
      <c r="G9" s="930"/>
    </row>
    <row r="10" spans="1:7" s="477" customFormat="1" ht="12.75">
      <c r="A10" s="775" t="s">
        <v>2488</v>
      </c>
      <c r="B10" s="928">
        <f>'Sources and Uses Budget'!C9</f>
        <v>10250000</v>
      </c>
      <c r="C10" s="928">
        <f>'Sources and Uses Budget'!C9</f>
        <v>10250000</v>
      </c>
      <c r="D10" s="928">
        <f>'Sources and Uses Budget'!C9</f>
        <v>10250000</v>
      </c>
      <c r="E10" s="929">
        <f t="shared" si="0"/>
        <v>0</v>
      </c>
      <c r="F10" s="930"/>
      <c r="G10" s="930"/>
    </row>
    <row r="11" spans="1:7" s="477" customFormat="1" ht="12.75">
      <c r="A11" s="775" t="s">
        <v>2489</v>
      </c>
      <c r="B11" s="928">
        <f>'Sources and Uses Budget'!C10</f>
        <v>0</v>
      </c>
      <c r="C11" s="928">
        <f>'Sources and Uses Budget'!C10</f>
        <v>0</v>
      </c>
      <c r="D11" s="928">
        <f>'Sources and Uses Budget'!C10</f>
        <v>0</v>
      </c>
      <c r="E11" s="929">
        <f t="shared" si="0"/>
        <v>0</v>
      </c>
      <c r="F11" s="930"/>
      <c r="G11" s="930"/>
    </row>
    <row r="12" spans="1:7" s="477" customFormat="1" ht="12.75">
      <c r="A12" s="776" t="s">
        <v>1647</v>
      </c>
      <c r="B12" s="929">
        <f>SUM(B10:B11)</f>
        <v>10250000</v>
      </c>
      <c r="C12" s="929">
        <f>SUM(C10:C11)</f>
        <v>10250000</v>
      </c>
      <c r="D12" s="929">
        <f>SUM(D10:D11)</f>
        <v>10250000</v>
      </c>
      <c r="E12" s="929">
        <f t="shared" si="0"/>
        <v>0</v>
      </c>
      <c r="F12" s="930"/>
      <c r="G12" s="930"/>
    </row>
    <row r="13" spans="1:7" s="477" customFormat="1" ht="12.75">
      <c r="A13" s="776" t="s">
        <v>1648</v>
      </c>
      <c r="B13" s="929">
        <f>SUM(B9+B12)</f>
        <v>10575200</v>
      </c>
      <c r="C13" s="929">
        <f>SUM(C9+C12)</f>
        <v>10575200</v>
      </c>
      <c r="D13" s="929">
        <f>SUM(D9+D12)</f>
        <v>10575200</v>
      </c>
      <c r="E13" s="929">
        <f t="shared" si="0"/>
        <v>0</v>
      </c>
      <c r="F13" s="930"/>
      <c r="G13" s="930"/>
    </row>
    <row r="14" spans="1:7" s="477" customFormat="1" ht="12.75">
      <c r="A14" s="777" t="s">
        <v>1649</v>
      </c>
      <c r="B14" s="928">
        <f>'Sources and Uses Budget'!C13</f>
        <v>25000</v>
      </c>
      <c r="C14" s="928">
        <f>'Sources and Uses Budget'!C13</f>
        <v>25000</v>
      </c>
      <c r="D14" s="928">
        <f>'Sources and Uses Budget'!C13</f>
        <v>25000</v>
      </c>
      <c r="E14" s="929">
        <f t="shared" si="0"/>
        <v>0</v>
      </c>
      <c r="F14" s="930"/>
      <c r="G14" s="930"/>
    </row>
    <row r="15" spans="1:7" s="477" customFormat="1" ht="24">
      <c r="A15" s="775" t="s">
        <v>1650</v>
      </c>
      <c r="B15" s="928">
        <f>'Sources and Uses Budget'!C14</f>
        <v>0</v>
      </c>
      <c r="C15" s="928">
        <f>'Sources and Uses Budget'!C14</f>
        <v>0</v>
      </c>
      <c r="D15" s="928">
        <f>'Sources and Uses Budget'!C14</f>
        <v>0</v>
      </c>
      <c r="E15" s="929">
        <f t="shared" si="0"/>
        <v>0</v>
      </c>
      <c r="F15" s="930"/>
      <c r="G15" s="930"/>
    </row>
    <row r="16" spans="1:7" s="477" customFormat="1" ht="12.75">
      <c r="A16" s="775" t="s">
        <v>1651</v>
      </c>
      <c r="B16" s="928">
        <f>'Sources and Uses Budget'!C15</f>
        <v>0</v>
      </c>
      <c r="C16" s="928">
        <f>'Sources and Uses Budget'!C15</f>
        <v>0</v>
      </c>
      <c r="D16" s="928">
        <f>'Sources and Uses Budget'!C15</f>
        <v>0</v>
      </c>
      <c r="E16" s="929">
        <f t="shared" si="0"/>
        <v>0</v>
      </c>
      <c r="F16" s="930"/>
      <c r="G16" s="930"/>
    </row>
    <row r="17" spans="1:7" s="477" customFormat="1" ht="12.75">
      <c r="A17" s="774" t="s">
        <v>1652</v>
      </c>
      <c r="B17" s="273"/>
      <c r="C17" s="273"/>
      <c r="D17" s="273"/>
      <c r="E17" s="273"/>
      <c r="F17" s="273"/>
      <c r="G17" s="273"/>
    </row>
    <row r="18" spans="1:7" s="477" customFormat="1" ht="12.75">
      <c r="A18" s="203" t="s">
        <v>1653</v>
      </c>
      <c r="B18" s="928">
        <f>'Sources and Uses Budget'!C17</f>
        <v>0</v>
      </c>
      <c r="C18" s="928">
        <f>'Sources and Uses Budget'!C17</f>
        <v>0</v>
      </c>
      <c r="D18" s="928">
        <f>'Sources and Uses Budget'!C17</f>
        <v>0</v>
      </c>
      <c r="E18" s="929">
        <f t="shared" si="0"/>
        <v>0</v>
      </c>
      <c r="F18" s="930"/>
      <c r="G18" s="930"/>
    </row>
    <row r="19" spans="1:7" s="477" customFormat="1" ht="12.75">
      <c r="A19" s="203" t="s">
        <v>1654</v>
      </c>
      <c r="B19" s="928">
        <f>'Sources and Uses Budget'!C18</f>
        <v>9597144</v>
      </c>
      <c r="C19" s="928">
        <f>'Sources and Uses Budget'!C18</f>
        <v>9597144</v>
      </c>
      <c r="D19" s="928">
        <f>'Sources and Uses Budget'!C18</f>
        <v>9597144</v>
      </c>
      <c r="E19" s="929">
        <f t="shared" ref="E19:E26" si="1">C19-B19</f>
        <v>0</v>
      </c>
      <c r="F19" s="930"/>
      <c r="G19" s="930"/>
    </row>
    <row r="20" spans="1:7" s="477" customFormat="1" ht="12.75">
      <c r="A20" s="203" t="s">
        <v>1655</v>
      </c>
      <c r="B20" s="928">
        <f>'Sources and Uses Budget'!C19</f>
        <v>316855</v>
      </c>
      <c r="C20" s="928">
        <f>'Sources and Uses Budget'!C19</f>
        <v>316855</v>
      </c>
      <c r="D20" s="928">
        <f>'Sources and Uses Budget'!C19</f>
        <v>316855</v>
      </c>
      <c r="E20" s="929">
        <f t="shared" si="1"/>
        <v>0</v>
      </c>
      <c r="F20" s="930"/>
      <c r="G20" s="930"/>
    </row>
    <row r="21" spans="1:7" s="477" customFormat="1" ht="12.75">
      <c r="A21" s="203" t="s">
        <v>1656</v>
      </c>
      <c r="B21" s="928">
        <f>'Sources and Uses Budget'!C20</f>
        <v>119386</v>
      </c>
      <c r="C21" s="928">
        <f>'Sources and Uses Budget'!C20</f>
        <v>119386</v>
      </c>
      <c r="D21" s="928">
        <f>'Sources and Uses Budget'!C20</f>
        <v>119386</v>
      </c>
      <c r="E21" s="929">
        <f t="shared" si="1"/>
        <v>0</v>
      </c>
      <c r="F21" s="930"/>
      <c r="G21" s="930"/>
    </row>
    <row r="22" spans="1:7" s="477" customFormat="1" ht="12.75">
      <c r="A22" s="203" t="s">
        <v>1657</v>
      </c>
      <c r="B22" s="928">
        <f>'Sources and Uses Budget'!C21</f>
        <v>358159</v>
      </c>
      <c r="C22" s="928">
        <f>'Sources and Uses Budget'!C21</f>
        <v>358159</v>
      </c>
      <c r="D22" s="928">
        <f>'Sources and Uses Budget'!C21</f>
        <v>358159</v>
      </c>
      <c r="E22" s="929">
        <f t="shared" si="1"/>
        <v>0</v>
      </c>
      <c r="F22" s="930"/>
      <c r="G22" s="930"/>
    </row>
    <row r="23" spans="1:7" s="477" customFormat="1" ht="12.75">
      <c r="A23" s="203" t="s">
        <v>1658</v>
      </c>
      <c r="B23" s="928">
        <f>'Sources and Uses Budget'!C22</f>
        <v>0</v>
      </c>
      <c r="C23" s="928">
        <f>'Sources and Uses Budget'!C22</f>
        <v>0</v>
      </c>
      <c r="D23" s="928">
        <f>'Sources and Uses Budget'!C22</f>
        <v>0</v>
      </c>
      <c r="E23" s="929">
        <f t="shared" si="1"/>
        <v>0</v>
      </c>
      <c r="F23" s="930"/>
      <c r="G23" s="930"/>
    </row>
    <row r="24" spans="1:7" s="477" customFormat="1" ht="12.75">
      <c r="A24" s="203" t="s">
        <v>1659</v>
      </c>
      <c r="B24" s="928">
        <f>'Sources and Uses Budget'!C23</f>
        <v>191018</v>
      </c>
      <c r="C24" s="928">
        <f>'Sources and Uses Budget'!C23</f>
        <v>191018</v>
      </c>
      <c r="D24" s="928">
        <f>'Sources and Uses Budget'!C23</f>
        <v>191018</v>
      </c>
      <c r="E24" s="929">
        <f t="shared" si="1"/>
        <v>0</v>
      </c>
      <c r="F24" s="930"/>
      <c r="G24" s="930"/>
    </row>
    <row r="25" spans="1:7" s="477" customFormat="1" ht="12.75">
      <c r="A25" s="214" t="s">
        <v>1660</v>
      </c>
      <c r="B25" s="928">
        <f>'Sources and Uses Budget'!C24</f>
        <v>250000</v>
      </c>
      <c r="C25" s="928">
        <f>'Sources and Uses Budget'!C24</f>
        <v>250000</v>
      </c>
      <c r="D25" s="928">
        <f>'Sources and Uses Budget'!C24</f>
        <v>250000</v>
      </c>
      <c r="E25" s="929">
        <f t="shared" si="1"/>
        <v>0</v>
      </c>
      <c r="F25" s="930"/>
      <c r="G25" s="930"/>
    </row>
    <row r="26" spans="1:7" s="477" customFormat="1" ht="12.75">
      <c r="A26" s="214" t="s">
        <v>1661</v>
      </c>
      <c r="B26" s="928">
        <f>'Sources and Uses Budget'!C25</f>
        <v>0</v>
      </c>
      <c r="C26" s="928">
        <f>'Sources and Uses Budget'!C25</f>
        <v>0</v>
      </c>
      <c r="D26" s="928">
        <f>'Sources and Uses Budget'!C25</f>
        <v>0</v>
      </c>
      <c r="E26" s="929">
        <f t="shared" si="1"/>
        <v>0</v>
      </c>
      <c r="F26" s="930"/>
      <c r="G26" s="930"/>
    </row>
    <row r="27" spans="1:7" s="477" customFormat="1" ht="12.75">
      <c r="A27" s="274" t="s">
        <v>1662</v>
      </c>
      <c r="B27" s="931">
        <f>'Sources and Uses Budget'!C26</f>
        <v>10832562</v>
      </c>
      <c r="C27" s="931">
        <f>'Sources and Uses Budget'!C26</f>
        <v>10832562</v>
      </c>
      <c r="D27" s="931">
        <f>'Sources and Uses Budget'!C26</f>
        <v>10832562</v>
      </c>
      <c r="E27" s="929">
        <f>C27-B27</f>
        <v>0</v>
      </c>
      <c r="F27" s="930"/>
      <c r="G27" s="930"/>
    </row>
    <row r="28" spans="1:7" s="477" customFormat="1" ht="12.75">
      <c r="A28" s="778" t="s">
        <v>1663</v>
      </c>
      <c r="B28" s="928">
        <f>'Sources and Uses Budget'!C27</f>
        <v>0</v>
      </c>
      <c r="C28" s="928">
        <f>'Sources and Uses Budget'!C27</f>
        <v>0</v>
      </c>
      <c r="D28" s="928">
        <f>'Sources and Uses Budget'!C27</f>
        <v>0</v>
      </c>
      <c r="E28" s="929">
        <f>C28-B28</f>
        <v>0</v>
      </c>
      <c r="F28" s="930"/>
      <c r="G28" s="930"/>
    </row>
    <row r="29" spans="1:7" s="477" customFormat="1" ht="12.75">
      <c r="A29" s="774" t="s">
        <v>1664</v>
      </c>
      <c r="B29" s="273"/>
      <c r="C29" s="273"/>
      <c r="D29" s="273"/>
      <c r="E29" s="273"/>
      <c r="F29" s="273"/>
      <c r="G29" s="273"/>
    </row>
    <row r="30" spans="1:7" s="477" customFormat="1" ht="12.75">
      <c r="A30" s="203" t="s">
        <v>1653</v>
      </c>
      <c r="B30" s="928">
        <f>'Sources and Uses Budget'!C29</f>
        <v>0</v>
      </c>
      <c r="C30" s="928">
        <f>'Sources and Uses Budget'!C29</f>
        <v>0</v>
      </c>
      <c r="D30" s="928">
        <f>'Sources and Uses Budget'!C29</f>
        <v>0</v>
      </c>
      <c r="E30" s="929">
        <f t="shared" si="0"/>
        <v>0</v>
      </c>
      <c r="F30" s="930"/>
      <c r="G30" s="930"/>
    </row>
    <row r="31" spans="1:7" s="477" customFormat="1" ht="12.75">
      <c r="A31" s="203" t="s">
        <v>1654</v>
      </c>
      <c r="B31" s="928">
        <f>'Sources and Uses Budget'!C30</f>
        <v>0</v>
      </c>
      <c r="C31" s="928">
        <f>'Sources and Uses Budget'!C30</f>
        <v>0</v>
      </c>
      <c r="D31" s="928">
        <f>'Sources and Uses Budget'!C30</f>
        <v>0</v>
      </c>
      <c r="E31" s="929">
        <f t="shared" si="0"/>
        <v>0</v>
      </c>
      <c r="F31" s="930"/>
      <c r="G31" s="930"/>
    </row>
    <row r="32" spans="1:7" s="477" customFormat="1" ht="12.75">
      <c r="A32" s="203" t="s">
        <v>1655</v>
      </c>
      <c r="B32" s="928">
        <f>'Sources and Uses Budget'!C31</f>
        <v>0</v>
      </c>
      <c r="C32" s="928">
        <f>'Sources and Uses Budget'!C31</f>
        <v>0</v>
      </c>
      <c r="D32" s="928">
        <f>'Sources and Uses Budget'!C31</f>
        <v>0</v>
      </c>
      <c r="E32" s="929">
        <f t="shared" si="0"/>
        <v>0</v>
      </c>
      <c r="F32" s="930"/>
      <c r="G32" s="930"/>
    </row>
    <row r="33" spans="1:7" s="477" customFormat="1" ht="12.75">
      <c r="A33" s="203" t="s">
        <v>1656</v>
      </c>
      <c r="B33" s="928">
        <f>'Sources and Uses Budget'!C32</f>
        <v>0</v>
      </c>
      <c r="C33" s="928">
        <f>'Sources and Uses Budget'!C32</f>
        <v>0</v>
      </c>
      <c r="D33" s="928">
        <f>'Sources and Uses Budget'!C32</f>
        <v>0</v>
      </c>
      <c r="E33" s="929">
        <f t="shared" si="0"/>
        <v>0</v>
      </c>
      <c r="F33" s="930"/>
      <c r="G33" s="930"/>
    </row>
    <row r="34" spans="1:7" s="477" customFormat="1" ht="12.75">
      <c r="A34" s="203" t="s">
        <v>1657</v>
      </c>
      <c r="B34" s="928">
        <f>'Sources and Uses Budget'!C33</f>
        <v>0</v>
      </c>
      <c r="C34" s="928">
        <f>'Sources and Uses Budget'!C33</f>
        <v>0</v>
      </c>
      <c r="D34" s="928">
        <f>'Sources and Uses Budget'!C33</f>
        <v>0</v>
      </c>
      <c r="E34" s="929">
        <f t="shared" si="0"/>
        <v>0</v>
      </c>
      <c r="F34" s="930"/>
      <c r="G34" s="930"/>
    </row>
    <row r="35" spans="1:7" s="477" customFormat="1" ht="12.75">
      <c r="A35" s="203" t="s">
        <v>1658</v>
      </c>
      <c r="B35" s="928">
        <f>'Sources and Uses Budget'!C34</f>
        <v>0</v>
      </c>
      <c r="C35" s="928">
        <f>'Sources and Uses Budget'!C34</f>
        <v>0</v>
      </c>
      <c r="D35" s="928">
        <f>'Sources and Uses Budget'!C34</f>
        <v>0</v>
      </c>
      <c r="E35" s="929">
        <f t="shared" si="0"/>
        <v>0</v>
      </c>
      <c r="F35" s="930"/>
      <c r="G35" s="930"/>
    </row>
    <row r="36" spans="1:7" s="477" customFormat="1" ht="12.75">
      <c r="A36" s="203" t="s">
        <v>1659</v>
      </c>
      <c r="B36" s="928">
        <f>'Sources and Uses Budget'!C35</f>
        <v>0</v>
      </c>
      <c r="C36" s="928">
        <f>'Sources and Uses Budget'!C35</f>
        <v>0</v>
      </c>
      <c r="D36" s="928">
        <f>'Sources and Uses Budget'!C35</f>
        <v>0</v>
      </c>
      <c r="E36" s="929">
        <f t="shared" si="0"/>
        <v>0</v>
      </c>
      <c r="F36" s="930"/>
      <c r="G36" s="930"/>
    </row>
    <row r="37" spans="1:7" s="477" customFormat="1" ht="12.75">
      <c r="A37" s="203" t="s">
        <v>1660</v>
      </c>
      <c r="B37" s="928">
        <f>'Sources and Uses Budget'!C36</f>
        <v>0</v>
      </c>
      <c r="C37" s="928">
        <f>'Sources and Uses Budget'!C36</f>
        <v>0</v>
      </c>
      <c r="D37" s="928">
        <f>'Sources and Uses Budget'!C36</f>
        <v>0</v>
      </c>
      <c r="E37" s="929">
        <f t="shared" si="0"/>
        <v>0</v>
      </c>
      <c r="F37" s="930"/>
      <c r="G37" s="930"/>
    </row>
    <row r="38" spans="1:7" s="477" customFormat="1" ht="12.75">
      <c r="A38" s="214" t="s">
        <v>1661</v>
      </c>
      <c r="B38" s="928">
        <f>'Sources and Uses Budget'!C37</f>
        <v>0</v>
      </c>
      <c r="C38" s="928">
        <f>'Sources and Uses Budget'!C37</f>
        <v>0</v>
      </c>
      <c r="D38" s="928">
        <f>'Sources and Uses Budget'!C37</f>
        <v>0</v>
      </c>
      <c r="E38" s="929">
        <f>C38-B38</f>
        <v>0</v>
      </c>
      <c r="F38" s="930"/>
      <c r="G38" s="930"/>
    </row>
    <row r="39" spans="1:7" s="477" customFormat="1" ht="12.75">
      <c r="A39" s="778" t="s">
        <v>1665</v>
      </c>
      <c r="B39" s="931">
        <f>'Sources and Uses Budget'!C38</f>
        <v>0</v>
      </c>
      <c r="C39" s="931">
        <f>'Sources and Uses Budget'!C38</f>
        <v>0</v>
      </c>
      <c r="D39" s="931">
        <f>'Sources and Uses Budget'!C38</f>
        <v>0</v>
      </c>
      <c r="E39" s="929">
        <f>C39-B39</f>
        <v>0</v>
      </c>
      <c r="F39" s="930"/>
      <c r="G39" s="930"/>
    </row>
    <row r="40" spans="1:7" s="477" customFormat="1" ht="12.75">
      <c r="A40" s="774" t="s">
        <v>1666</v>
      </c>
      <c r="B40" s="273"/>
      <c r="C40" s="273"/>
      <c r="D40" s="273"/>
      <c r="E40" s="273"/>
      <c r="F40" s="273"/>
      <c r="G40" s="273"/>
    </row>
    <row r="41" spans="1:7" s="477" customFormat="1" ht="12.75">
      <c r="A41" s="779" t="s">
        <v>1667</v>
      </c>
      <c r="B41" s="928">
        <f>'Sources and Uses Budget'!C40</f>
        <v>689361</v>
      </c>
      <c r="C41" s="928">
        <f>'Sources and Uses Budget'!C40</f>
        <v>689361</v>
      </c>
      <c r="D41" s="928">
        <f>'Sources and Uses Budget'!C40</f>
        <v>689361</v>
      </c>
      <c r="E41" s="929">
        <f>C41-B41</f>
        <v>0</v>
      </c>
      <c r="F41" s="930"/>
      <c r="G41" s="930"/>
    </row>
    <row r="42" spans="1:7" s="477" customFormat="1" ht="12.75">
      <c r="A42" s="779" t="s">
        <v>1668</v>
      </c>
      <c r="B42" s="928">
        <f>'Sources and Uses Budget'!C41</f>
        <v>188008</v>
      </c>
      <c r="C42" s="928">
        <f>'Sources and Uses Budget'!C41</f>
        <v>188008</v>
      </c>
      <c r="D42" s="928">
        <f>'Sources and Uses Budget'!C41</f>
        <v>188008</v>
      </c>
      <c r="E42" s="929">
        <f>C42-B42</f>
        <v>0</v>
      </c>
      <c r="F42" s="930"/>
      <c r="G42" s="930"/>
    </row>
    <row r="43" spans="1:7" s="477" customFormat="1" ht="12" customHeight="1">
      <c r="A43" s="778" t="s">
        <v>1669</v>
      </c>
      <c r="B43" s="931">
        <f>'Sources and Uses Budget'!C42</f>
        <v>877369</v>
      </c>
      <c r="C43" s="931">
        <f>'Sources and Uses Budget'!C42</f>
        <v>877369</v>
      </c>
      <c r="D43" s="931">
        <f>'Sources and Uses Budget'!C42</f>
        <v>877369</v>
      </c>
      <c r="E43" s="929">
        <f>C43-B43</f>
        <v>0</v>
      </c>
      <c r="F43" s="930"/>
      <c r="G43" s="930"/>
    </row>
    <row r="44" spans="1:7" s="477" customFormat="1" ht="12.75">
      <c r="A44" s="778" t="s">
        <v>1670</v>
      </c>
      <c r="B44" s="928">
        <f>'Sources and Uses Budget'!C43</f>
        <v>235000</v>
      </c>
      <c r="C44" s="928">
        <f>'Sources and Uses Budget'!C43</f>
        <v>235000</v>
      </c>
      <c r="D44" s="928">
        <f>'Sources and Uses Budget'!C43</f>
        <v>235000</v>
      </c>
      <c r="E44" s="929">
        <f>C44-B44</f>
        <v>0</v>
      </c>
      <c r="F44" s="930"/>
      <c r="G44" s="930"/>
    </row>
    <row r="45" spans="1:7" s="477" customFormat="1" ht="12.75">
      <c r="A45" s="199" t="s">
        <v>1671</v>
      </c>
      <c r="B45" s="273"/>
      <c r="C45" s="273"/>
      <c r="D45" s="273"/>
      <c r="E45" s="273"/>
      <c r="F45" s="273"/>
      <c r="G45" s="273"/>
    </row>
    <row r="46" spans="1:7" s="477" customFormat="1" ht="12" customHeight="1">
      <c r="A46" s="203" t="s">
        <v>1672</v>
      </c>
      <c r="B46" s="928">
        <f>'Sources and Uses Budget'!C45</f>
        <v>940146</v>
      </c>
      <c r="C46" s="928">
        <f>'Sources and Uses Budget'!C45</f>
        <v>940146</v>
      </c>
      <c r="D46" s="928">
        <f>'Sources and Uses Budget'!C45</f>
        <v>940146</v>
      </c>
      <c r="E46" s="929">
        <f t="shared" si="0"/>
        <v>0</v>
      </c>
      <c r="F46" s="930"/>
      <c r="G46" s="930"/>
    </row>
    <row r="47" spans="1:7" s="477" customFormat="1" ht="12.75">
      <c r="A47" s="203" t="s">
        <v>1673</v>
      </c>
      <c r="B47" s="928">
        <f>'Sources and Uses Budget'!C46</f>
        <v>123942</v>
      </c>
      <c r="C47" s="928">
        <f>'Sources and Uses Budget'!C46</f>
        <v>123942</v>
      </c>
      <c r="D47" s="928">
        <f>'Sources and Uses Budget'!C46</f>
        <v>123942</v>
      </c>
      <c r="E47" s="929">
        <f t="shared" si="0"/>
        <v>0</v>
      </c>
      <c r="F47" s="930"/>
      <c r="G47" s="930"/>
    </row>
    <row r="48" spans="1:7" s="477" customFormat="1" ht="12.75">
      <c r="A48" s="203" t="s">
        <v>1674</v>
      </c>
      <c r="B48" s="928">
        <f>'Sources and Uses Budget'!C47</f>
        <v>0</v>
      </c>
      <c r="C48" s="928">
        <f>'Sources and Uses Budget'!C47</f>
        <v>0</v>
      </c>
      <c r="D48" s="928">
        <f>'Sources and Uses Budget'!C47</f>
        <v>0</v>
      </c>
      <c r="E48" s="929">
        <f t="shared" si="0"/>
        <v>0</v>
      </c>
      <c r="F48" s="930"/>
      <c r="G48" s="930"/>
    </row>
    <row r="49" spans="1:7" s="477" customFormat="1" ht="12.75">
      <c r="A49" s="203" t="s">
        <v>1675</v>
      </c>
      <c r="B49" s="928">
        <f>'Sources and Uses Budget'!C48</f>
        <v>81183</v>
      </c>
      <c r="C49" s="928">
        <f>'Sources and Uses Budget'!C48</f>
        <v>81183</v>
      </c>
      <c r="D49" s="928">
        <f>'Sources and Uses Budget'!C48</f>
        <v>81183</v>
      </c>
      <c r="E49" s="929">
        <f t="shared" si="0"/>
        <v>0</v>
      </c>
      <c r="F49" s="930"/>
      <c r="G49" s="930"/>
    </row>
    <row r="50" spans="1:7" s="477" customFormat="1" ht="12.75">
      <c r="A50" s="203" t="s">
        <v>1676</v>
      </c>
      <c r="B50" s="928">
        <f>'Sources and Uses Budget'!C49</f>
        <v>35000</v>
      </c>
      <c r="C50" s="928">
        <f>'Sources and Uses Budget'!C49</f>
        <v>35000</v>
      </c>
      <c r="D50" s="928">
        <f>'Sources and Uses Budget'!C49</f>
        <v>35000</v>
      </c>
      <c r="E50" s="929">
        <f t="shared" si="0"/>
        <v>0</v>
      </c>
      <c r="F50" s="930"/>
      <c r="G50" s="930"/>
    </row>
    <row r="51" spans="1:7" s="477" customFormat="1" ht="12.75">
      <c r="A51" s="203" t="s">
        <v>1677</v>
      </c>
      <c r="B51" s="928">
        <f>'Sources and Uses Budget'!C50</f>
        <v>0</v>
      </c>
      <c r="C51" s="928">
        <f>'Sources and Uses Budget'!C50</f>
        <v>0</v>
      </c>
      <c r="D51" s="928">
        <f>'Sources and Uses Budget'!C50</f>
        <v>0</v>
      </c>
      <c r="E51" s="929">
        <f t="shared" si="0"/>
        <v>0</v>
      </c>
      <c r="F51" s="930"/>
      <c r="G51" s="930"/>
    </row>
    <row r="52" spans="1:7" s="478" customFormat="1" ht="12.75">
      <c r="A52" s="203" t="s">
        <v>1469</v>
      </c>
      <c r="B52" s="928">
        <f>'Sources and Uses Budget'!C51</f>
        <v>600000</v>
      </c>
      <c r="C52" s="928">
        <f>'Sources and Uses Budget'!C51</f>
        <v>600000</v>
      </c>
      <c r="D52" s="928">
        <f>'Sources and Uses Budget'!C51</f>
        <v>600000</v>
      </c>
      <c r="E52" s="929">
        <f t="shared" si="0"/>
        <v>0</v>
      </c>
      <c r="F52" s="930"/>
      <c r="G52" s="930"/>
    </row>
    <row r="53" spans="1:7" s="477" customFormat="1" ht="12.75">
      <c r="A53" s="210" t="s">
        <v>1661</v>
      </c>
      <c r="B53" s="928">
        <f>'Sources and Uses Budget'!C52</f>
        <v>80000</v>
      </c>
      <c r="C53" s="928">
        <f>'Sources and Uses Budget'!C52</f>
        <v>80000</v>
      </c>
      <c r="D53" s="928">
        <f>'Sources and Uses Budget'!C52</f>
        <v>80000</v>
      </c>
      <c r="E53" s="929">
        <f t="shared" si="0"/>
        <v>0</v>
      </c>
      <c r="F53" s="930"/>
      <c r="G53" s="930"/>
    </row>
    <row r="54" spans="1:7" s="477" customFormat="1" ht="12.75">
      <c r="A54" s="207" t="s">
        <v>1679</v>
      </c>
      <c r="B54" s="931">
        <f>'Sources and Uses Budget'!C53</f>
        <v>1860271</v>
      </c>
      <c r="C54" s="931">
        <f>'Sources and Uses Budget'!C53</f>
        <v>1860271</v>
      </c>
      <c r="D54" s="931">
        <f>'Sources and Uses Budget'!C53</f>
        <v>1860271</v>
      </c>
      <c r="E54" s="929">
        <f t="shared" si="0"/>
        <v>0</v>
      </c>
      <c r="F54" s="930"/>
      <c r="G54" s="930"/>
    </row>
    <row r="55" spans="1:7" s="477" customFormat="1" ht="12" customHeight="1">
      <c r="A55" s="774" t="s">
        <v>1263</v>
      </c>
      <c r="B55" s="273"/>
      <c r="C55" s="273"/>
      <c r="D55" s="273"/>
      <c r="E55" s="273"/>
      <c r="F55" s="273"/>
      <c r="G55" s="273"/>
    </row>
    <row r="56" spans="1:7" s="477" customFormat="1" ht="12.75">
      <c r="A56" s="779" t="s">
        <v>1680</v>
      </c>
      <c r="B56" s="928">
        <f>'Sources and Uses Budget'!C55</f>
        <v>11220</v>
      </c>
      <c r="C56" s="928">
        <f>'Sources and Uses Budget'!C55</f>
        <v>11220</v>
      </c>
      <c r="D56" s="928">
        <f>'Sources and Uses Budget'!C55</f>
        <v>11220</v>
      </c>
      <c r="E56" s="929">
        <f t="shared" si="0"/>
        <v>0</v>
      </c>
      <c r="F56" s="930"/>
      <c r="G56" s="930"/>
    </row>
    <row r="57" spans="1:7" s="477" customFormat="1" ht="12.75">
      <c r="A57" s="779" t="s">
        <v>1674</v>
      </c>
      <c r="B57" s="928">
        <f>'Sources and Uses Budget'!C56</f>
        <v>0</v>
      </c>
      <c r="C57" s="928">
        <f>'Sources and Uses Budget'!C56</f>
        <v>0</v>
      </c>
      <c r="D57" s="928">
        <f>'Sources and Uses Budget'!C56</f>
        <v>0</v>
      </c>
      <c r="E57" s="929">
        <f t="shared" si="0"/>
        <v>0</v>
      </c>
      <c r="F57" s="930"/>
      <c r="G57" s="930"/>
    </row>
    <row r="58" spans="1:7" s="477" customFormat="1" ht="12.75">
      <c r="A58" s="779" t="s">
        <v>1676</v>
      </c>
      <c r="B58" s="928">
        <f>'Sources and Uses Budget'!C57</f>
        <v>0</v>
      </c>
      <c r="C58" s="928">
        <f>'Sources and Uses Budget'!C57</f>
        <v>0</v>
      </c>
      <c r="D58" s="928">
        <f>'Sources and Uses Budget'!C57</f>
        <v>0</v>
      </c>
      <c r="E58" s="929">
        <f t="shared" si="0"/>
        <v>0</v>
      </c>
      <c r="F58" s="930"/>
      <c r="G58" s="930"/>
    </row>
    <row r="59" spans="1:7" s="477" customFormat="1" ht="12.75">
      <c r="A59" s="779" t="s">
        <v>1677</v>
      </c>
      <c r="B59" s="928">
        <f>'Sources and Uses Budget'!C58</f>
        <v>0</v>
      </c>
      <c r="C59" s="928">
        <f>'Sources and Uses Budget'!C58</f>
        <v>0</v>
      </c>
      <c r="D59" s="928">
        <f>'Sources and Uses Budget'!C58</f>
        <v>0</v>
      </c>
      <c r="E59" s="929">
        <f t="shared" si="0"/>
        <v>0</v>
      </c>
      <c r="F59" s="930"/>
      <c r="G59" s="930"/>
    </row>
    <row r="60" spans="1:7" s="477" customFormat="1" ht="12.75">
      <c r="A60" s="779" t="s">
        <v>1469</v>
      </c>
      <c r="B60" s="928">
        <f>'Sources and Uses Budget'!C59</f>
        <v>0</v>
      </c>
      <c r="C60" s="928">
        <f>'Sources and Uses Budget'!C59</f>
        <v>0</v>
      </c>
      <c r="D60" s="928">
        <f>'Sources and Uses Budget'!C59</f>
        <v>0</v>
      </c>
      <c r="E60" s="929">
        <f t="shared" si="0"/>
        <v>0</v>
      </c>
      <c r="F60" s="930"/>
      <c r="G60" s="930"/>
    </row>
    <row r="61" spans="1:7" s="477" customFormat="1" ht="14.1" customHeight="1">
      <c r="A61" s="780" t="s">
        <v>1661</v>
      </c>
      <c r="B61" s="928">
        <f>'Sources and Uses Budget'!C60</f>
        <v>20000</v>
      </c>
      <c r="C61" s="928">
        <f>'Sources and Uses Budget'!C60</f>
        <v>20000</v>
      </c>
      <c r="D61" s="928">
        <f>'Sources and Uses Budget'!C60</f>
        <v>20000</v>
      </c>
      <c r="E61" s="929">
        <f t="shared" si="0"/>
        <v>0</v>
      </c>
      <c r="F61" s="930"/>
      <c r="G61" s="930"/>
    </row>
    <row r="62" spans="1:7" s="477" customFormat="1" ht="12.75">
      <c r="A62" s="778" t="s">
        <v>1682</v>
      </c>
      <c r="B62" s="931">
        <f>'Sources and Uses Budget'!C61</f>
        <v>31220</v>
      </c>
      <c r="C62" s="931">
        <f>'Sources and Uses Budget'!C61</f>
        <v>31220</v>
      </c>
      <c r="D62" s="931">
        <f>'Sources and Uses Budget'!C61</f>
        <v>31220</v>
      </c>
      <c r="E62" s="929">
        <f t="shared" si="0"/>
        <v>0</v>
      </c>
      <c r="F62" s="930"/>
      <c r="G62" s="930"/>
    </row>
    <row r="63" spans="1:7" s="477" customFormat="1" ht="12.75">
      <c r="A63" s="781" t="s">
        <v>1683</v>
      </c>
      <c r="B63" s="931">
        <f>'Sources and Uses Budget'!C62</f>
        <v>24436622</v>
      </c>
      <c r="C63" s="931">
        <f>'Sources and Uses Budget'!C62</f>
        <v>24436622</v>
      </c>
      <c r="D63" s="931">
        <f>'Sources and Uses Budget'!C62</f>
        <v>24436622</v>
      </c>
      <c r="E63" s="929">
        <f t="shared" si="0"/>
        <v>0</v>
      </c>
      <c r="F63" s="930"/>
      <c r="G63" s="930"/>
    </row>
    <row r="64" spans="1:7" s="477" customFormat="1" ht="24">
      <c r="A64" s="199" t="s">
        <v>1684</v>
      </c>
      <c r="B64" s="273"/>
      <c r="C64" s="273"/>
      <c r="D64" s="273"/>
      <c r="E64" s="273"/>
      <c r="F64" s="273"/>
      <c r="G64" s="273"/>
    </row>
    <row r="65" spans="1:7" s="477" customFormat="1" ht="12.75">
      <c r="A65" s="203" t="s">
        <v>1685</v>
      </c>
      <c r="B65" s="928">
        <f>'Sources and Uses Budget'!C64</f>
        <v>105000</v>
      </c>
      <c r="C65" s="928">
        <f>'Sources and Uses Budget'!C64</f>
        <v>105000</v>
      </c>
      <c r="D65" s="928">
        <f>'Sources and Uses Budget'!C64</f>
        <v>105000</v>
      </c>
      <c r="E65" s="929">
        <f t="shared" si="0"/>
        <v>0</v>
      </c>
      <c r="F65" s="930"/>
      <c r="G65" s="930"/>
    </row>
    <row r="66" spans="1:7" s="477" customFormat="1" ht="24">
      <c r="A66" s="203" t="s">
        <v>1686</v>
      </c>
      <c r="B66" s="928">
        <f>'Sources and Uses Budget'!C65</f>
        <v>0</v>
      </c>
      <c r="C66" s="928">
        <f>'Sources and Uses Budget'!C65</f>
        <v>0</v>
      </c>
      <c r="D66" s="928">
        <f>'Sources and Uses Budget'!C65</f>
        <v>0</v>
      </c>
      <c r="E66" s="929">
        <f t="shared" si="0"/>
        <v>0</v>
      </c>
      <c r="F66" s="930"/>
      <c r="G66" s="930"/>
    </row>
    <row r="67" spans="1:7" s="477" customFormat="1" ht="24">
      <c r="A67" s="203" t="s">
        <v>1687</v>
      </c>
      <c r="B67" s="928">
        <f>'Sources and Uses Budget'!C66</f>
        <v>0</v>
      </c>
      <c r="C67" s="928">
        <f>'Sources and Uses Budget'!C66</f>
        <v>0</v>
      </c>
      <c r="D67" s="928">
        <f>'Sources and Uses Budget'!C66</f>
        <v>0</v>
      </c>
      <c r="E67" s="929">
        <f t="shared" si="0"/>
        <v>0</v>
      </c>
      <c r="F67" s="930"/>
      <c r="G67" s="930"/>
    </row>
    <row r="68" spans="1:7" s="477" customFormat="1" ht="12.75">
      <c r="A68" s="203" t="s">
        <v>1688</v>
      </c>
      <c r="B68" s="928">
        <f>'Sources and Uses Budget'!C67</f>
        <v>0</v>
      </c>
      <c r="C68" s="928">
        <f>'Sources and Uses Budget'!C67</f>
        <v>0</v>
      </c>
      <c r="D68" s="928">
        <f>'Sources and Uses Budget'!C67</f>
        <v>0</v>
      </c>
      <c r="E68" s="929">
        <f t="shared" si="0"/>
        <v>0</v>
      </c>
      <c r="F68" s="930"/>
      <c r="G68" s="930"/>
    </row>
    <row r="69" spans="1:7" s="477" customFormat="1" ht="12.75">
      <c r="A69" s="214" t="s">
        <v>2490</v>
      </c>
      <c r="B69" s="928">
        <f>'Sources and Uses Budget'!C68</f>
        <v>145000</v>
      </c>
      <c r="C69" s="928">
        <f>'Sources and Uses Budget'!C68</f>
        <v>145000</v>
      </c>
      <c r="D69" s="928">
        <f>'Sources and Uses Budget'!C68</f>
        <v>145000</v>
      </c>
      <c r="E69" s="929">
        <f t="shared" si="0"/>
        <v>0</v>
      </c>
      <c r="F69" s="930"/>
      <c r="G69" s="930"/>
    </row>
    <row r="70" spans="1:7" s="477" customFormat="1" ht="12.75">
      <c r="A70" s="207" t="s">
        <v>1690</v>
      </c>
      <c r="B70" s="931">
        <f>'Sources and Uses Budget'!C69</f>
        <v>250000</v>
      </c>
      <c r="C70" s="931">
        <f>'Sources and Uses Budget'!C69</f>
        <v>250000</v>
      </c>
      <c r="D70" s="931">
        <f>'Sources and Uses Budget'!C69</f>
        <v>250000</v>
      </c>
      <c r="E70" s="929">
        <f t="shared" si="0"/>
        <v>0</v>
      </c>
      <c r="F70" s="930"/>
      <c r="G70" s="930"/>
    </row>
    <row r="71" spans="1:7" s="477" customFormat="1" ht="12.75">
      <c r="A71" s="774" t="s">
        <v>1691</v>
      </c>
      <c r="B71" s="273"/>
      <c r="C71" s="273"/>
      <c r="D71" s="273"/>
      <c r="E71" s="273"/>
      <c r="F71" s="273"/>
      <c r="G71" s="273"/>
    </row>
    <row r="72" spans="1:7" s="477" customFormat="1" ht="12.75">
      <c r="A72" s="779" t="s">
        <v>1692</v>
      </c>
      <c r="B72" s="928">
        <f>'Sources and Uses Budget'!C71</f>
        <v>0</v>
      </c>
      <c r="C72" s="928">
        <f>'Sources and Uses Budget'!C71</f>
        <v>0</v>
      </c>
      <c r="D72" s="928">
        <f>'Sources and Uses Budget'!C71</f>
        <v>0</v>
      </c>
      <c r="E72" s="929">
        <f t="shared" si="0"/>
        <v>0</v>
      </c>
      <c r="F72" s="930"/>
      <c r="G72" s="930"/>
    </row>
    <row r="73" spans="1:7" s="477" customFormat="1" ht="12.75">
      <c r="A73" s="779" t="s">
        <v>1693</v>
      </c>
      <c r="B73" s="928">
        <f>'Sources and Uses Budget'!C72</f>
        <v>0</v>
      </c>
      <c r="C73" s="928">
        <f>'Sources and Uses Budget'!C72</f>
        <v>0</v>
      </c>
      <c r="D73" s="928">
        <f>'Sources and Uses Budget'!C72</f>
        <v>0</v>
      </c>
      <c r="E73" s="929">
        <f t="shared" si="0"/>
        <v>0</v>
      </c>
      <c r="F73" s="930"/>
      <c r="G73" s="930"/>
    </row>
    <row r="74" spans="1:7" s="477" customFormat="1" ht="12.75">
      <c r="A74" s="782" t="s">
        <v>1694</v>
      </c>
      <c r="B74" s="928">
        <f>'Sources and Uses Budget'!C73</f>
        <v>200000</v>
      </c>
      <c r="C74" s="928">
        <f>'Sources and Uses Budget'!C73</f>
        <v>200000</v>
      </c>
      <c r="D74" s="928">
        <f>'Sources and Uses Budget'!C73</f>
        <v>200000</v>
      </c>
      <c r="E74" s="929">
        <f>C74-B74</f>
        <v>0</v>
      </c>
      <c r="F74" s="930"/>
      <c r="G74" s="930"/>
    </row>
    <row r="75" spans="1:7" s="477" customFormat="1" ht="12.75">
      <c r="A75" s="779" t="s">
        <v>1695</v>
      </c>
      <c r="B75" s="928">
        <f>'Sources and Uses Budget'!C74</f>
        <v>386070</v>
      </c>
      <c r="C75" s="928">
        <f>'Sources and Uses Budget'!C74</f>
        <v>386070</v>
      </c>
      <c r="D75" s="928">
        <f>'Sources and Uses Budget'!C74</f>
        <v>386070</v>
      </c>
      <c r="E75" s="929">
        <f>C75-B75</f>
        <v>0</v>
      </c>
      <c r="F75" s="930"/>
      <c r="G75" s="930"/>
    </row>
    <row r="76" spans="1:7" s="477" customFormat="1" ht="12.75">
      <c r="A76" s="783" t="s">
        <v>1661</v>
      </c>
      <c r="B76" s="928">
        <f>'Sources and Uses Budget'!C75</f>
        <v>0</v>
      </c>
      <c r="C76" s="928">
        <f>'Sources and Uses Budget'!C75</f>
        <v>0</v>
      </c>
      <c r="D76" s="928">
        <f>'Sources and Uses Budget'!C75</f>
        <v>0</v>
      </c>
      <c r="E76" s="929">
        <f>C76-B76</f>
        <v>0</v>
      </c>
      <c r="F76" s="930"/>
      <c r="G76" s="930"/>
    </row>
    <row r="77" spans="1:7" s="477" customFormat="1" ht="12.75">
      <c r="A77" s="778" t="s">
        <v>1696</v>
      </c>
      <c r="B77" s="931">
        <f>'Sources and Uses Budget'!C76</f>
        <v>586070</v>
      </c>
      <c r="C77" s="931">
        <f>'Sources and Uses Budget'!C76</f>
        <v>586070</v>
      </c>
      <c r="D77" s="931">
        <f>'Sources and Uses Budget'!C76</f>
        <v>586070</v>
      </c>
      <c r="E77" s="929">
        <f>C77-B77</f>
        <v>0</v>
      </c>
      <c r="F77" s="930"/>
      <c r="G77" s="930"/>
    </row>
    <row r="78" spans="1:7" s="477" customFormat="1" ht="12.75">
      <c r="A78" s="774" t="s">
        <v>1697</v>
      </c>
      <c r="B78" s="273"/>
      <c r="C78" s="273"/>
      <c r="D78" s="273"/>
      <c r="E78" s="273"/>
      <c r="F78" s="273"/>
      <c r="G78" s="273"/>
    </row>
    <row r="79" spans="1:7" s="477" customFormat="1" ht="14.1" customHeight="1">
      <c r="A79" s="779" t="s">
        <v>1698</v>
      </c>
      <c r="B79" s="928">
        <f>'Sources and Uses Budget'!C78</f>
        <v>1545099</v>
      </c>
      <c r="C79" s="928">
        <f>'Sources and Uses Budget'!C78</f>
        <v>1545099</v>
      </c>
      <c r="D79" s="928">
        <f>'Sources and Uses Budget'!C78</f>
        <v>1545099</v>
      </c>
      <c r="E79" s="929">
        <f t="shared" ref="E79:E105" si="2">C79-B79</f>
        <v>0</v>
      </c>
      <c r="F79" s="930"/>
      <c r="G79" s="930"/>
    </row>
    <row r="80" spans="1:7" s="477" customFormat="1" ht="12.75">
      <c r="A80" s="779" t="s">
        <v>1699</v>
      </c>
      <c r="B80" s="928">
        <f>'Sources and Uses Budget'!C79</f>
        <v>256993</v>
      </c>
      <c r="C80" s="928">
        <f>'Sources and Uses Budget'!C79</f>
        <v>256993</v>
      </c>
      <c r="D80" s="928">
        <f>'Sources and Uses Budget'!C79</f>
        <v>256993</v>
      </c>
      <c r="E80" s="929">
        <f t="shared" si="2"/>
        <v>0</v>
      </c>
      <c r="F80" s="930"/>
      <c r="G80" s="930"/>
    </row>
    <row r="81" spans="1:7" s="477" customFormat="1" ht="12.75">
      <c r="A81" s="778" t="s">
        <v>1700</v>
      </c>
      <c r="B81" s="931">
        <f>'Sources and Uses Budget'!C80</f>
        <v>1802092</v>
      </c>
      <c r="C81" s="931">
        <f>'Sources and Uses Budget'!C80</f>
        <v>1802092</v>
      </c>
      <c r="D81" s="931">
        <f>'Sources and Uses Budget'!C80</f>
        <v>1802092</v>
      </c>
      <c r="E81" s="929">
        <f t="shared" si="2"/>
        <v>0</v>
      </c>
      <c r="F81" s="930"/>
      <c r="G81" s="930"/>
    </row>
    <row r="82" spans="1:7" s="477" customFormat="1" ht="12.75">
      <c r="A82" s="774" t="s">
        <v>1701</v>
      </c>
      <c r="B82" s="273"/>
      <c r="C82" s="273"/>
      <c r="D82" s="273"/>
      <c r="E82" s="273"/>
      <c r="F82" s="273"/>
      <c r="G82" s="273"/>
    </row>
    <row r="83" spans="1:7" s="477" customFormat="1" ht="12.75">
      <c r="A83" s="203" t="s">
        <v>1702</v>
      </c>
      <c r="B83" s="928">
        <f>'Sources and Uses Budget'!C82</f>
        <v>110256</v>
      </c>
      <c r="C83" s="928">
        <f>'Sources and Uses Budget'!C82</f>
        <v>110256</v>
      </c>
      <c r="D83" s="928">
        <f>'Sources and Uses Budget'!C82</f>
        <v>110256</v>
      </c>
      <c r="E83" s="929">
        <f t="shared" si="2"/>
        <v>0</v>
      </c>
      <c r="F83" s="930"/>
      <c r="G83" s="930"/>
    </row>
    <row r="84" spans="1:7" s="477" customFormat="1" ht="12.75">
      <c r="A84" s="203" t="s">
        <v>1703</v>
      </c>
      <c r="B84" s="928">
        <f>'Sources and Uses Budget'!C83</f>
        <v>100000</v>
      </c>
      <c r="C84" s="928">
        <f>'Sources and Uses Budget'!C83</f>
        <v>100000</v>
      </c>
      <c r="D84" s="928">
        <f>'Sources and Uses Budget'!C83</f>
        <v>100000</v>
      </c>
      <c r="E84" s="929">
        <f t="shared" si="2"/>
        <v>0</v>
      </c>
      <c r="F84" s="930"/>
      <c r="G84" s="930"/>
    </row>
    <row r="85" spans="1:7" s="477" customFormat="1" ht="12.75">
      <c r="A85" s="203" t="s">
        <v>1704</v>
      </c>
      <c r="B85" s="928">
        <f>'Sources and Uses Budget'!C84</f>
        <v>287925</v>
      </c>
      <c r="C85" s="928">
        <f>'Sources and Uses Budget'!C84</f>
        <v>287925</v>
      </c>
      <c r="D85" s="928">
        <f>'Sources and Uses Budget'!C84</f>
        <v>287925</v>
      </c>
      <c r="E85" s="929">
        <f t="shared" si="2"/>
        <v>0</v>
      </c>
      <c r="F85" s="930"/>
      <c r="G85" s="930"/>
    </row>
    <row r="86" spans="1:7" s="477" customFormat="1" ht="12.75">
      <c r="A86" s="203" t="s">
        <v>1705</v>
      </c>
      <c r="B86" s="928">
        <f>'Sources and Uses Budget'!C85</f>
        <v>312075</v>
      </c>
      <c r="C86" s="928">
        <f>'Sources and Uses Budget'!C85</f>
        <v>312075</v>
      </c>
      <c r="D86" s="928">
        <f>'Sources and Uses Budget'!C85</f>
        <v>312075</v>
      </c>
      <c r="E86" s="929">
        <f t="shared" si="2"/>
        <v>0</v>
      </c>
      <c r="F86" s="930"/>
      <c r="G86" s="930"/>
    </row>
    <row r="87" spans="1:7" s="477" customFormat="1" ht="12.75">
      <c r="A87" s="203" t="s">
        <v>1706</v>
      </c>
      <c r="B87" s="928">
        <f>'Sources and Uses Budget'!C86</f>
        <v>50000</v>
      </c>
      <c r="C87" s="928">
        <f>'Sources and Uses Budget'!C86</f>
        <v>50000</v>
      </c>
      <c r="D87" s="928">
        <f>'Sources and Uses Budget'!C86</f>
        <v>50000</v>
      </c>
      <c r="E87" s="929">
        <f t="shared" si="2"/>
        <v>0</v>
      </c>
      <c r="F87" s="930"/>
      <c r="G87" s="930"/>
    </row>
    <row r="88" spans="1:7" s="477" customFormat="1" ht="12.75">
      <c r="A88" s="203" t="s">
        <v>1707</v>
      </c>
      <c r="B88" s="928">
        <f>'Sources and Uses Budget'!C87</f>
        <v>133000</v>
      </c>
      <c r="C88" s="928">
        <f>'Sources and Uses Budget'!C87</f>
        <v>133000</v>
      </c>
      <c r="D88" s="928">
        <f>'Sources and Uses Budget'!C87</f>
        <v>133000</v>
      </c>
      <c r="E88" s="929">
        <f t="shared" si="2"/>
        <v>0</v>
      </c>
      <c r="F88" s="930"/>
      <c r="G88" s="930"/>
    </row>
    <row r="89" spans="1:7" s="477" customFormat="1" ht="12.75">
      <c r="A89" s="203" t="s">
        <v>1708</v>
      </c>
      <c r="B89" s="928">
        <f>'Sources and Uses Budget'!C88</f>
        <v>400000</v>
      </c>
      <c r="C89" s="928">
        <f>'Sources and Uses Budget'!C88</f>
        <v>400000</v>
      </c>
      <c r="D89" s="928">
        <f>'Sources and Uses Budget'!C88</f>
        <v>400000</v>
      </c>
      <c r="E89" s="929">
        <f t="shared" si="2"/>
        <v>0</v>
      </c>
      <c r="F89" s="930"/>
      <c r="G89" s="930"/>
    </row>
    <row r="90" spans="1:7" s="477" customFormat="1" ht="12.75">
      <c r="A90" s="203" t="s">
        <v>1709</v>
      </c>
      <c r="B90" s="928">
        <f>'Sources and Uses Budget'!C89</f>
        <v>10000</v>
      </c>
      <c r="C90" s="928">
        <f>'Sources and Uses Budget'!C89</f>
        <v>10000</v>
      </c>
      <c r="D90" s="928">
        <f>'Sources and Uses Budget'!C89</f>
        <v>10000</v>
      </c>
      <c r="E90" s="929">
        <f t="shared" si="2"/>
        <v>0</v>
      </c>
      <c r="F90" s="930"/>
      <c r="G90" s="930"/>
    </row>
    <row r="91" spans="1:7" s="477" customFormat="1" ht="12.75">
      <c r="A91" s="214" t="s">
        <v>1710</v>
      </c>
      <c r="B91" s="928">
        <f>'Sources and Uses Budget'!C90</f>
        <v>0</v>
      </c>
      <c r="C91" s="928">
        <f>'Sources and Uses Budget'!C90</f>
        <v>0</v>
      </c>
      <c r="D91" s="928">
        <f>'Sources and Uses Budget'!C90</f>
        <v>0</v>
      </c>
      <c r="E91" s="929">
        <f t="shared" si="2"/>
        <v>0</v>
      </c>
      <c r="F91" s="930"/>
      <c r="G91" s="930"/>
    </row>
    <row r="92" spans="1:7" s="477" customFormat="1" ht="12.75">
      <c r="A92" s="214" t="s">
        <v>1711</v>
      </c>
      <c r="B92" s="928">
        <f>'Sources and Uses Budget'!C91</f>
        <v>10000</v>
      </c>
      <c r="C92" s="928">
        <f>'Sources and Uses Budget'!C91</f>
        <v>10000</v>
      </c>
      <c r="D92" s="928">
        <f>'Sources and Uses Budget'!C91</f>
        <v>10000</v>
      </c>
      <c r="E92" s="929">
        <f t="shared" si="2"/>
        <v>0</v>
      </c>
      <c r="F92" s="930"/>
      <c r="G92" s="930"/>
    </row>
    <row r="93" spans="1:7" s="477" customFormat="1" ht="12.75">
      <c r="A93" s="210" t="s">
        <v>1661</v>
      </c>
      <c r="B93" s="928">
        <f>'Sources and Uses Budget'!C92</f>
        <v>50000</v>
      </c>
      <c r="C93" s="928">
        <f>'Sources and Uses Budget'!C92</f>
        <v>50000</v>
      </c>
      <c r="D93" s="928">
        <f>'Sources and Uses Budget'!C92</f>
        <v>50000</v>
      </c>
      <c r="E93" s="929">
        <f t="shared" si="2"/>
        <v>0</v>
      </c>
      <c r="F93" s="930"/>
      <c r="G93" s="930"/>
    </row>
    <row r="94" spans="1:7" s="477" customFormat="1" ht="12.75">
      <c r="A94" s="210" t="s">
        <v>1661</v>
      </c>
      <c r="B94" s="928">
        <f>'Sources and Uses Budget'!C93</f>
        <v>494161</v>
      </c>
      <c r="C94" s="928">
        <f>'Sources and Uses Budget'!C93</f>
        <v>494161</v>
      </c>
      <c r="D94" s="928">
        <f>'Sources and Uses Budget'!C93</f>
        <v>494161</v>
      </c>
      <c r="E94" s="929">
        <f t="shared" si="2"/>
        <v>0</v>
      </c>
      <c r="F94" s="930"/>
      <c r="G94" s="930"/>
    </row>
    <row r="95" spans="1:7" s="477" customFormat="1" ht="12.75">
      <c r="A95" s="210" t="s">
        <v>1661</v>
      </c>
      <c r="B95" s="928">
        <f>'Sources and Uses Budget'!C94</f>
        <v>0</v>
      </c>
      <c r="C95" s="928">
        <f>'Sources and Uses Budget'!C94</f>
        <v>0</v>
      </c>
      <c r="D95" s="928">
        <f>'Sources and Uses Budget'!C94</f>
        <v>0</v>
      </c>
      <c r="E95" s="929">
        <f t="shared" si="2"/>
        <v>0</v>
      </c>
      <c r="F95" s="930"/>
      <c r="G95" s="930"/>
    </row>
    <row r="96" spans="1:7" s="477" customFormat="1" ht="12.75">
      <c r="A96" s="207" t="s">
        <v>1714</v>
      </c>
      <c r="B96" s="931">
        <f>'Sources and Uses Budget'!C95</f>
        <v>1957417</v>
      </c>
      <c r="C96" s="931">
        <f>'Sources and Uses Budget'!C95</f>
        <v>1957417</v>
      </c>
      <c r="D96" s="931">
        <f>'Sources and Uses Budget'!C95</f>
        <v>1957417</v>
      </c>
      <c r="E96" s="929">
        <f t="shared" si="2"/>
        <v>0</v>
      </c>
      <c r="F96" s="930"/>
      <c r="G96" s="930"/>
    </row>
    <row r="97" spans="1:7" s="477" customFormat="1" ht="12.75">
      <c r="A97" s="207" t="s">
        <v>1715</v>
      </c>
      <c r="B97" s="931">
        <f>'Sources and Uses Budget'!C96</f>
        <v>29032201</v>
      </c>
      <c r="C97" s="931">
        <f>'Sources and Uses Budget'!C96</f>
        <v>29032201</v>
      </c>
      <c r="D97" s="931">
        <f>'Sources and Uses Budget'!C96</f>
        <v>29032201</v>
      </c>
      <c r="E97" s="929">
        <f t="shared" si="2"/>
        <v>0</v>
      </c>
      <c r="F97" s="930"/>
      <c r="G97" s="930"/>
    </row>
    <row r="98" spans="1:7" s="477" customFormat="1" ht="12.75">
      <c r="A98" s="774" t="s">
        <v>1716</v>
      </c>
      <c r="B98" s="273"/>
      <c r="C98" s="273"/>
      <c r="D98" s="273"/>
      <c r="E98" s="273"/>
      <c r="F98" s="273"/>
      <c r="G98" s="273"/>
    </row>
    <row r="99" spans="1:7" s="477" customFormat="1" ht="12.75">
      <c r="A99" s="203" t="s">
        <v>1717</v>
      </c>
      <c r="B99" s="928">
        <f>'Sources and Uses Budget'!C98</f>
        <v>2513876</v>
      </c>
      <c r="C99" s="928">
        <f>'Sources and Uses Budget'!C98</f>
        <v>2513876</v>
      </c>
      <c r="D99" s="928">
        <f>'Sources and Uses Budget'!C98</f>
        <v>2513876</v>
      </c>
      <c r="E99" s="929">
        <f t="shared" si="2"/>
        <v>0</v>
      </c>
      <c r="F99" s="930"/>
      <c r="G99" s="930"/>
    </row>
    <row r="100" spans="1:7" s="477" customFormat="1" ht="12" customHeight="1">
      <c r="A100" s="203" t="s">
        <v>2491</v>
      </c>
      <c r="B100" s="928">
        <f>'Sources and Uses Budget'!C99</f>
        <v>0</v>
      </c>
      <c r="C100" s="928">
        <f>'Sources and Uses Budget'!C99</f>
        <v>0</v>
      </c>
      <c r="D100" s="928">
        <f>'Sources and Uses Budget'!C99</f>
        <v>0</v>
      </c>
      <c r="E100" s="929">
        <f t="shared" si="2"/>
        <v>0</v>
      </c>
      <c r="F100" s="930"/>
      <c r="G100" s="930"/>
    </row>
    <row r="101" spans="1:7" s="477" customFormat="1" ht="12.75">
      <c r="A101" s="203" t="s">
        <v>1719</v>
      </c>
      <c r="B101" s="928">
        <f>'Sources and Uses Budget'!C100</f>
        <v>0</v>
      </c>
      <c r="C101" s="928">
        <f>'Sources and Uses Budget'!C100</f>
        <v>0</v>
      </c>
      <c r="D101" s="928">
        <f>'Sources and Uses Budget'!C100</f>
        <v>0</v>
      </c>
      <c r="E101" s="929">
        <f t="shared" si="2"/>
        <v>0</v>
      </c>
      <c r="F101" s="930"/>
      <c r="G101" s="930"/>
    </row>
    <row r="102" spans="1:7" s="477" customFormat="1" ht="12.75">
      <c r="A102" s="203" t="s">
        <v>2492</v>
      </c>
      <c r="B102" s="928">
        <f>'Sources and Uses Budget'!C101</f>
        <v>0</v>
      </c>
      <c r="C102" s="928">
        <f>'Sources and Uses Budget'!C101</f>
        <v>0</v>
      </c>
      <c r="D102" s="928">
        <f>'Sources and Uses Budget'!C101</f>
        <v>0</v>
      </c>
      <c r="E102" s="929">
        <f t="shared" si="2"/>
        <v>0</v>
      </c>
      <c r="F102" s="930"/>
      <c r="G102" s="930"/>
    </row>
    <row r="103" spans="1:7" s="477" customFormat="1" ht="12.75">
      <c r="A103" s="780" t="s">
        <v>1661</v>
      </c>
      <c r="B103" s="928">
        <f>'Sources and Uses Budget'!C102</f>
        <v>0</v>
      </c>
      <c r="C103" s="928">
        <f>'Sources and Uses Budget'!C102</f>
        <v>0</v>
      </c>
      <c r="D103" s="928">
        <f>'Sources and Uses Budget'!C102</f>
        <v>0</v>
      </c>
      <c r="E103" s="929">
        <f t="shared" si="2"/>
        <v>0</v>
      </c>
      <c r="F103" s="930"/>
      <c r="G103" s="930"/>
    </row>
    <row r="104" spans="1:7" s="477" customFormat="1" ht="12.75">
      <c r="A104" s="778" t="s">
        <v>1721</v>
      </c>
      <c r="B104" s="931">
        <f>'Sources and Uses Budget'!C103</f>
        <v>2513876</v>
      </c>
      <c r="C104" s="931">
        <f>'Sources and Uses Budget'!C103</f>
        <v>2513876</v>
      </c>
      <c r="D104" s="931">
        <f>'Sources and Uses Budget'!C103</f>
        <v>2513876</v>
      </c>
      <c r="E104" s="929">
        <f t="shared" si="2"/>
        <v>0</v>
      </c>
      <c r="F104" s="930"/>
      <c r="G104" s="930"/>
    </row>
    <row r="105" spans="1:7" s="477" customFormat="1" ht="12.75">
      <c r="A105" s="778" t="s">
        <v>2493</v>
      </c>
      <c r="B105" s="931">
        <f>'Sources and Uses Budget'!C104</f>
        <v>31546077</v>
      </c>
      <c r="C105" s="931">
        <f>'Sources and Uses Budget'!C104</f>
        <v>31546077</v>
      </c>
      <c r="D105" s="931">
        <f>'Sources and Uses Budget'!C104</f>
        <v>31546077</v>
      </c>
      <c r="E105" s="929">
        <f t="shared" si="2"/>
        <v>0</v>
      </c>
      <c r="F105" s="930"/>
      <c r="G105" s="932"/>
    </row>
    <row r="106" spans="1:7" s="477" customFormat="1" ht="12.75">
      <c r="A106" s="277" t="s">
        <v>2494</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4" sqref="A24"/>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55" t="s">
        <v>308</v>
      </c>
      <c r="B2" s="1870"/>
      <c r="C2" s="1870"/>
      <c r="D2" s="1870"/>
      <c r="E2" s="1870"/>
      <c r="F2" s="1870"/>
      <c r="G2" s="1870"/>
      <c r="H2" s="1870"/>
      <c r="I2" s="1870"/>
      <c r="J2" s="1870"/>
    </row>
    <row r="3" spans="1:10" ht="15">
      <c r="A3" s="956" t="s">
        <v>309</v>
      </c>
      <c r="B3" s="1870"/>
      <c r="C3" s="1870"/>
      <c r="D3" s="1870"/>
      <c r="E3" s="1870"/>
      <c r="F3" s="1870"/>
      <c r="G3" s="1870"/>
      <c r="H3" s="1870"/>
      <c r="I3" s="1870"/>
      <c r="J3" s="1870"/>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57" t="s">
        <v>312</v>
      </c>
      <c r="B10" s="957"/>
      <c r="C10" s="957"/>
      <c r="D10" s="957"/>
      <c r="E10" s="957"/>
      <c r="F10" s="957"/>
      <c r="G10" s="957"/>
      <c r="H10" s="957"/>
      <c r="I10" s="957"/>
      <c r="J10" s="957"/>
    </row>
    <row r="11" spans="1:10" s="705" customFormat="1" ht="12.75" customHeight="1">
      <c r="A11" s="957"/>
      <c r="B11" s="957"/>
      <c r="C11" s="957"/>
      <c r="D11" s="957"/>
      <c r="E11" s="957"/>
      <c r="F11" s="957"/>
      <c r="G11" s="957"/>
      <c r="H11" s="957"/>
      <c r="I11" s="957"/>
      <c r="J11" s="957"/>
    </row>
    <row r="12" spans="1:10" s="705" customFormat="1" ht="12.75" customHeight="1">
      <c r="A12" s="957"/>
      <c r="B12" s="957"/>
      <c r="C12" s="957"/>
      <c r="D12" s="957"/>
      <c r="E12" s="957"/>
      <c r="F12" s="957"/>
      <c r="G12" s="957"/>
      <c r="H12" s="957"/>
      <c r="I12" s="957"/>
      <c r="J12" s="957"/>
    </row>
    <row r="13" spans="1:10" s="705" customFormat="1" ht="12.75" customHeight="1">
      <c r="A13" s="957"/>
      <c r="B13" s="957"/>
      <c r="C13" s="957"/>
      <c r="D13" s="957"/>
      <c r="E13" s="957"/>
      <c r="F13" s="957"/>
      <c r="G13" s="957"/>
      <c r="H13" s="957"/>
      <c r="I13" s="957"/>
      <c r="J13" s="957"/>
    </row>
    <row r="14" spans="1:10" s="705" customFormat="1" ht="12.75" customHeight="1">
      <c r="A14" s="957"/>
      <c r="B14" s="957"/>
      <c r="C14" s="957"/>
      <c r="D14" s="957"/>
      <c r="E14" s="957"/>
      <c r="F14" s="957"/>
      <c r="G14" s="957"/>
      <c r="H14" s="957"/>
      <c r="I14" s="957"/>
      <c r="J14" s="957"/>
    </row>
    <row r="15" spans="1:10"/>
    <row r="16" spans="1:10" ht="12.75" customHeight="1">
      <c r="A16" s="957" t="s">
        <v>313</v>
      </c>
      <c r="B16" s="957"/>
      <c r="C16" s="957"/>
      <c r="D16" s="957"/>
      <c r="E16" s="957"/>
      <c r="F16" s="957"/>
      <c r="G16" s="957"/>
      <c r="H16" s="957"/>
      <c r="I16" s="957"/>
      <c r="J16" s="957"/>
    </row>
    <row r="17" spans="1:10" ht="12.75" customHeight="1">
      <c r="A17" s="957"/>
      <c r="B17" s="957"/>
      <c r="C17" s="957"/>
      <c r="D17" s="957"/>
      <c r="E17" s="957"/>
      <c r="F17" s="957"/>
      <c r="G17" s="957"/>
      <c r="H17" s="957"/>
      <c r="I17" s="957"/>
      <c r="J17" s="957"/>
    </row>
    <row r="18" spans="1:10">
      <c r="A18" s="957"/>
      <c r="B18" s="957"/>
      <c r="C18" s="957"/>
      <c r="D18" s="957"/>
      <c r="E18" s="957"/>
      <c r="F18" s="957"/>
      <c r="G18" s="957"/>
      <c r="H18" s="957"/>
      <c r="I18" s="957"/>
      <c r="J18" s="957"/>
    </row>
    <row r="19" spans="1:10">
      <c r="A19" s="958"/>
      <c r="B19" s="958"/>
      <c r="C19" s="958"/>
      <c r="D19" s="958"/>
      <c r="E19" s="958"/>
      <c r="F19" s="958"/>
      <c r="G19" s="958"/>
      <c r="H19" s="958"/>
      <c r="I19" s="958"/>
      <c r="J19" s="958"/>
    </row>
    <row r="20" spans="1:10">
      <c r="A20" s="958"/>
      <c r="B20" s="958"/>
      <c r="C20" s="958"/>
      <c r="D20" s="958"/>
      <c r="E20" s="958"/>
      <c r="F20" s="958"/>
      <c r="G20" s="958"/>
      <c r="H20" s="958"/>
      <c r="I20" s="958"/>
      <c r="J20" s="958"/>
    </row>
    <row r="21" spans="1:10">
      <c r="A21" s="958"/>
      <c r="B21" s="958"/>
      <c r="C21" s="958"/>
      <c r="D21" s="958"/>
      <c r="E21" s="958"/>
      <c r="F21" s="958"/>
      <c r="G21" s="958"/>
      <c r="H21" s="958"/>
      <c r="I21" s="958"/>
      <c r="J21" s="958"/>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2"/>
    </row>
    <row r="25" spans="1:10">
      <c r="A25" s="1871" t="s">
        <v>315</v>
      </c>
      <c r="B25" s="1870"/>
      <c r="C25" s="1870"/>
      <c r="D25" s="1870"/>
      <c r="E25" s="187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57" t="s">
        <v>316</v>
      </c>
      <c r="B81" s="958"/>
      <c r="C81" s="958"/>
      <c r="D81" s="958"/>
      <c r="E81" s="958"/>
      <c r="F81" s="958"/>
      <c r="G81" s="958"/>
      <c r="H81" s="958"/>
      <c r="I81" s="958"/>
      <c r="J81" s="958"/>
    </row>
    <row r="82" spans="1:10">
      <c r="A82" s="958"/>
      <c r="B82" s="958"/>
      <c r="C82" s="958"/>
      <c r="D82" s="958"/>
      <c r="E82" s="958"/>
      <c r="F82" s="958"/>
      <c r="G82" s="958"/>
      <c r="H82" s="958"/>
      <c r="I82" s="958"/>
      <c r="J82" s="958"/>
    </row>
    <row r="83" spans="1:10">
      <c r="A83" s="958"/>
      <c r="B83" s="958"/>
      <c r="C83" s="958"/>
      <c r="D83" s="958"/>
      <c r="E83" s="958"/>
      <c r="F83" s="958"/>
      <c r="G83" s="958"/>
      <c r="H83" s="958"/>
      <c r="I83" s="958"/>
      <c r="J83" s="958"/>
    </row>
    <row r="84" spans="1:10"/>
    <row r="85" spans="1:10">
      <c r="A85" s="37" t="s">
        <v>315</v>
      </c>
    </row>
    <row r="86" spans="1:10"/>
    <row r="87" spans="1:10"/>
    <row r="88" spans="1:10"/>
    <row r="89" spans="1:10"/>
    <row r="90" spans="1:10"/>
    <row r="91" spans="1:10"/>
    <row r="92" spans="1:10"/>
    <row r="93" spans="1:10"/>
    <row r="94" spans="1:10"/>
    <row r="95" spans="1:10">
      <c r="A95" s="954" t="s">
        <v>317</v>
      </c>
      <c r="B95" s="954"/>
      <c r="C95" s="954"/>
      <c r="D95" s="954"/>
      <c r="E95" s="954"/>
      <c r="F95" s="954"/>
      <c r="G95" s="954"/>
      <c r="H95" s="954"/>
      <c r="I95" s="954"/>
    </row>
    <row r="96" spans="1:10">
      <c r="A96" s="953" t="s">
        <v>318</v>
      </c>
      <c r="B96" s="953"/>
      <c r="C96" s="953"/>
      <c r="D96" s="953"/>
      <c r="E96" s="953"/>
      <c r="F96" s="570"/>
    </row>
    <row r="97" spans="1:6">
      <c r="A97" s="953" t="s">
        <v>319</v>
      </c>
      <c r="B97" s="953"/>
      <c r="C97" s="953"/>
      <c r="D97" s="953"/>
      <c r="E97" s="953"/>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503" workbookViewId="0">
      <selection activeCell="D1158" sqref="D1158:F1171"/>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82" t="s">
        <v>320</v>
      </c>
      <c r="B2" s="982"/>
      <c r="C2" s="1870"/>
      <c r="D2" s="1870"/>
      <c r="E2" s="1870"/>
      <c r="F2" s="1870"/>
      <c r="G2" s="1870"/>
      <c r="I2" t="s">
        <v>321</v>
      </c>
    </row>
    <row r="3" spans="1:9" ht="12.75">
      <c r="A3" s="165"/>
      <c r="B3" s="165"/>
      <c r="C3"/>
      <c r="D3"/>
      <c r="E3"/>
      <c r="F3"/>
      <c r="G3"/>
      <c r="I3" s="37" t="s">
        <v>322</v>
      </c>
    </row>
    <row r="4" spans="1:9" ht="12.75">
      <c r="A4" s="983" t="s">
        <v>323</v>
      </c>
      <c r="B4" s="983"/>
      <c r="C4" s="1872"/>
      <c r="D4" s="1872"/>
      <c r="E4" s="1872"/>
      <c r="F4" s="1872"/>
      <c r="G4" s="1872"/>
      <c r="I4" s="37" t="s">
        <v>324</v>
      </c>
    </row>
    <row r="5" spans="1:9" ht="12.75">
      <c r="A5" s="983" t="s">
        <v>325</v>
      </c>
      <c r="B5" s="983"/>
      <c r="C5" s="1872"/>
      <c r="D5" s="1872"/>
      <c r="E5" s="1872"/>
      <c r="F5" s="1872"/>
      <c r="G5" s="1872"/>
      <c r="I5" t="s">
        <v>326</v>
      </c>
    </row>
    <row r="6" spans="1:9" ht="13.7" customHeight="1">
      <c r="A6" s="403"/>
      <c r="B6" s="403"/>
      <c r="C6" s="403"/>
      <c r="D6" s="37"/>
      <c r="E6" s="37"/>
      <c r="F6" s="37"/>
      <c r="G6" s="37"/>
    </row>
    <row r="7" spans="1:9" ht="12.75">
      <c r="A7" s="985" t="s">
        <v>327</v>
      </c>
      <c r="B7" s="985"/>
      <c r="C7" s="985"/>
      <c r="D7" s="985"/>
      <c r="E7" s="985"/>
      <c r="F7" s="985"/>
      <c r="G7" s="985"/>
    </row>
    <row r="8" spans="1:9" ht="12.75">
      <c r="A8" s="985"/>
      <c r="B8" s="985"/>
      <c r="C8" s="985"/>
      <c r="D8" s="985"/>
      <c r="E8" s="985"/>
      <c r="F8" s="985"/>
      <c r="G8" s="985"/>
    </row>
    <row r="9" spans="1:9" ht="12.75">
      <c r="A9" s="167"/>
      <c r="B9" s="167"/>
      <c r="C9" s="165"/>
      <c r="D9" s="165"/>
      <c r="E9" s="165"/>
      <c r="F9" s="165"/>
      <c r="G9" s="165"/>
    </row>
    <row r="10" spans="1:9" ht="12.75">
      <c r="A10" s="967" t="s">
        <v>328</v>
      </c>
      <c r="B10" s="967"/>
      <c r="C10" s="967"/>
      <c r="D10" s="967"/>
      <c r="E10" s="967"/>
      <c r="F10" s="967"/>
      <c r="G10" s="967"/>
    </row>
    <row r="11" spans="1:9" ht="12.75">
      <c r="A11" s="165"/>
      <c r="B11" s="165"/>
      <c r="C11" s="403"/>
      <c r="D11" s="37"/>
      <c r="E11" s="37"/>
      <c r="F11" s="37"/>
      <c r="G11" s="37"/>
    </row>
    <row r="12" spans="1:9" ht="13.7" customHeight="1">
      <c r="A12" s="403"/>
      <c r="B12" s="403"/>
      <c r="C12" s="165"/>
      <c r="D12" s="984" t="s">
        <v>329</v>
      </c>
      <c r="E12" s="984"/>
      <c r="F12" s="984"/>
      <c r="G12" s="518"/>
    </row>
    <row r="13" spans="1:9" ht="12.75">
      <c r="A13" s="403"/>
      <c r="B13" s="403"/>
      <c r="C13" s="165"/>
      <c r="D13" s="984"/>
      <c r="E13" s="984"/>
      <c r="F13" s="984"/>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324</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324</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324</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324</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326</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326</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6"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326</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326</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7" t="s">
        <v>348</v>
      </c>
      <c r="B87" s="967"/>
      <c r="C87" s="967"/>
      <c r="D87" s="967"/>
      <c r="E87" s="967"/>
      <c r="F87" s="967"/>
      <c r="G87" s="967"/>
    </row>
    <row r="88" spans="1:7" ht="12.75">
      <c r="A88" s="403"/>
      <c r="B88" s="403"/>
      <c r="C88" s="403"/>
      <c r="D88" s="37"/>
      <c r="E88"/>
      <c r="F88"/>
      <c r="G88"/>
    </row>
    <row r="89" spans="1:7" ht="13.7" customHeight="1">
      <c r="A89" s="403"/>
      <c r="B89" s="403"/>
      <c r="C89" s="499"/>
      <c r="D89" s="969" t="s">
        <v>349</v>
      </c>
      <c r="E89" s="969"/>
      <c r="F89" s="969"/>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4" t="s">
        <v>352</v>
      </c>
      <c r="E101" s="964"/>
      <c r="F101" s="964"/>
      <c r="G101"/>
    </row>
    <row r="102" spans="1:7" ht="14.25">
      <c r="A102" s="231"/>
      <c r="B102" s="231"/>
      <c r="C102" s="403"/>
      <c r="D102" s="964"/>
      <c r="E102" s="964"/>
      <c r="F102" s="964"/>
      <c r="G102"/>
    </row>
    <row r="103" spans="1:7" ht="14.25">
      <c r="A103" s="231"/>
      <c r="B103" s="231"/>
      <c r="C103" s="403"/>
      <c r="D103" s="964"/>
      <c r="E103" s="964"/>
      <c r="F103" s="964"/>
      <c r="G103"/>
    </row>
    <row r="104" spans="1:7" ht="14.25">
      <c r="A104" s="231"/>
      <c r="B104" s="231"/>
      <c r="C104" s="403"/>
      <c r="D104" s="964"/>
      <c r="E104" s="964"/>
      <c r="F104" s="964"/>
      <c r="G104"/>
    </row>
    <row r="105" spans="1:7" ht="14.25">
      <c r="A105" s="231"/>
      <c r="B105" s="231"/>
      <c r="C105" s="403"/>
      <c r="D105" s="964"/>
      <c r="E105" s="964"/>
      <c r="F105" s="964"/>
      <c r="G105"/>
    </row>
    <row r="106" spans="1:7" ht="14.25">
      <c r="A106" s="231"/>
      <c r="B106" s="231"/>
      <c r="C106" s="403"/>
      <c r="D106" s="964"/>
      <c r="E106" s="964"/>
      <c r="F106" s="964"/>
      <c r="G106"/>
    </row>
    <row r="107" spans="1:7" ht="14.25">
      <c r="A107" s="231"/>
      <c r="B107" s="231"/>
      <c r="C107" s="403"/>
      <c r="D107" s="964"/>
      <c r="E107" s="964"/>
      <c r="F107" s="964"/>
      <c r="G107"/>
    </row>
    <row r="108" spans="1:7" ht="14.25">
      <c r="A108" s="231"/>
      <c r="B108" s="231"/>
      <c r="C108" s="403"/>
      <c r="D108" s="964"/>
      <c r="E108" s="964"/>
      <c r="F108" s="964"/>
      <c r="G108"/>
    </row>
    <row r="109" spans="1:7" ht="14.25">
      <c r="A109" s="231"/>
      <c r="B109" s="231"/>
      <c r="C109" s="403"/>
      <c r="D109" s="964"/>
      <c r="E109" s="964"/>
      <c r="F109" s="964"/>
      <c r="G109"/>
    </row>
    <row r="110" spans="1:7" ht="14.25">
      <c r="A110" s="231"/>
      <c r="B110" s="231"/>
      <c r="C110" s="403"/>
      <c r="D110" s="964"/>
      <c r="E110" s="964"/>
      <c r="F110" s="964"/>
      <c r="G110"/>
    </row>
    <row r="111" spans="1:7" ht="14.25">
      <c r="A111" s="231"/>
      <c r="B111" s="231"/>
      <c r="C111" s="403"/>
      <c r="D111" s="964"/>
      <c r="E111" s="964"/>
      <c r="F111" s="964"/>
      <c r="G111"/>
    </row>
    <row r="112" spans="1:7" ht="14.25">
      <c r="A112" s="231"/>
      <c r="B112" s="231"/>
      <c r="C112" s="403"/>
      <c r="D112" s="964"/>
      <c r="E112" s="964"/>
      <c r="F112" s="964"/>
      <c r="G112"/>
    </row>
    <row r="113" spans="1:7" ht="14.25">
      <c r="A113" s="231"/>
      <c r="B113" s="231"/>
      <c r="C113" s="403"/>
      <c r="D113" s="964"/>
      <c r="E113" s="964"/>
      <c r="F113" s="964"/>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6.85"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324</v>
      </c>
      <c r="C136" s="403"/>
      <c r="D136" s="942" t="s">
        <v>356</v>
      </c>
      <c r="E136" s="942"/>
      <c r="F136" s="942"/>
      <c r="G136" s="37"/>
    </row>
    <row r="137" spans="1:7" s="269" customFormat="1" ht="14.1" customHeight="1">
      <c r="A137" s="869"/>
      <c r="B137" s="869"/>
      <c r="C137" s="869"/>
      <c r="D137" s="942"/>
      <c r="E137" s="942"/>
      <c r="F137" s="942"/>
      <c r="G137" s="870"/>
    </row>
    <row r="138" spans="1:7" ht="14.1" customHeight="1">
      <c r="A138" s="403"/>
      <c r="B138" s="403"/>
      <c r="C138" s="403"/>
      <c r="D138" s="942"/>
      <c r="E138" s="942"/>
      <c r="F138" s="942"/>
      <c r="G138" s="37"/>
    </row>
    <row r="139" spans="1:7" ht="14.1" customHeight="1">
      <c r="A139" s="403"/>
      <c r="B139" s="403"/>
      <c r="C139" s="403"/>
      <c r="D139" s="942"/>
      <c r="E139" s="942"/>
      <c r="F139" s="942"/>
      <c r="G139" s="37"/>
    </row>
    <row r="140" spans="1:7" ht="14.1" customHeight="1">
      <c r="A140" s="403"/>
      <c r="B140" s="403"/>
      <c r="C140" s="403"/>
      <c r="D140" s="942"/>
      <c r="E140" s="942"/>
      <c r="F140" s="942"/>
      <c r="G140" s="37"/>
    </row>
    <row r="141" spans="1:7" ht="14.1" customHeight="1">
      <c r="A141" s="403"/>
      <c r="B141" s="403"/>
      <c r="C141" s="403"/>
      <c r="D141" s="942"/>
      <c r="E141" s="942"/>
      <c r="F141" s="942"/>
      <c r="G141" s="37"/>
    </row>
    <row r="142" spans="1:7" ht="14.1" customHeight="1">
      <c r="A142" s="403"/>
      <c r="B142" s="403"/>
      <c r="C142" s="403"/>
      <c r="D142" s="942"/>
      <c r="E142" s="942"/>
      <c r="F142" s="942"/>
      <c r="G142"/>
    </row>
    <row r="143" spans="1:7" ht="14.1" customHeight="1">
      <c r="A143" s="403"/>
      <c r="B143" s="403"/>
      <c r="C143" s="403"/>
      <c r="D143" s="942"/>
      <c r="E143" s="942"/>
      <c r="F143" s="942"/>
      <c r="G143"/>
    </row>
    <row r="144" spans="1:7" ht="14.1" customHeight="1">
      <c r="A144" s="403"/>
      <c r="B144" s="403"/>
      <c r="C144" s="403"/>
      <c r="D144" s="942"/>
      <c r="E144" s="942"/>
      <c r="F144" s="942"/>
      <c r="G144"/>
    </row>
    <row r="145" spans="1:7" ht="14.1"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1" customHeight="1">
      <c r="A148" s="403"/>
      <c r="B148" s="403"/>
      <c r="C148" s="403"/>
      <c r="D148" s="37"/>
      <c r="E148" s="37"/>
      <c r="F148" s="37"/>
      <c r="G148"/>
    </row>
    <row r="149" spans="1:7" ht="14.1" customHeight="1">
      <c r="A149" s="403"/>
      <c r="B149" s="517" t="s">
        <v>326</v>
      </c>
      <c r="C149" s="403"/>
      <c r="D149" s="942" t="s">
        <v>357</v>
      </c>
      <c r="E149" s="942"/>
      <c r="F149" s="942"/>
      <c r="G149"/>
    </row>
    <row r="150" spans="1:7" ht="14.1" customHeight="1">
      <c r="A150" s="403"/>
      <c r="B150" s="403"/>
      <c r="C150" s="403"/>
      <c r="D150" s="942"/>
      <c r="E150" s="942"/>
      <c r="F150" s="942"/>
      <c r="G150"/>
    </row>
    <row r="151" spans="1:7" ht="14.1" customHeight="1">
      <c r="A151" s="403"/>
      <c r="B151" s="403"/>
      <c r="C151" s="403"/>
      <c r="D151" s="942"/>
      <c r="E151" s="942"/>
      <c r="F151" s="942"/>
      <c r="G151"/>
    </row>
    <row r="152" spans="1:7" ht="14.1" customHeight="1">
      <c r="A152" s="403"/>
      <c r="B152" s="403"/>
      <c r="C152" s="403"/>
      <c r="D152" s="942"/>
      <c r="E152" s="942"/>
      <c r="F152" s="942"/>
      <c r="G152"/>
    </row>
    <row r="153" spans="1:7" ht="14.1" customHeight="1">
      <c r="A153" s="403"/>
      <c r="B153" s="403"/>
      <c r="C153" s="403"/>
      <c r="D153" s="942"/>
      <c r="E153" s="942"/>
      <c r="F153" s="942"/>
      <c r="G153"/>
    </row>
    <row r="154" spans="1:7" ht="14.1" hidden="1" customHeight="1">
      <c r="A154" s="403"/>
      <c r="B154" s="403"/>
      <c r="C154" s="403"/>
      <c r="D154" s="942"/>
      <c r="E154" s="942"/>
      <c r="F154" s="942"/>
      <c r="G154"/>
    </row>
    <row r="155" spans="1:7" ht="14.1" hidden="1" customHeight="1">
      <c r="A155" s="403"/>
      <c r="B155" s="403"/>
      <c r="C155" s="403"/>
      <c r="D155" s="942"/>
      <c r="E155" s="942"/>
      <c r="F155" s="942"/>
      <c r="G155"/>
    </row>
    <row r="156" spans="1:7" ht="14.1" customHeight="1">
      <c r="A156" s="18"/>
      <c r="B156" s="18"/>
      <c r="C156" s="403"/>
      <c r="D156" s="942"/>
      <c r="E156" s="942"/>
      <c r="F156" s="942"/>
      <c r="G156"/>
    </row>
    <row r="157" spans="1:7" ht="14.1" customHeight="1">
      <c r="A157" s="18"/>
      <c r="B157" s="18"/>
      <c r="C157" s="403"/>
      <c r="D157" s="942"/>
      <c r="E157" s="942"/>
      <c r="F157" s="942"/>
      <c r="G157"/>
    </row>
    <row r="158" spans="1:7" ht="14.1" customHeight="1">
      <c r="A158" s="18"/>
      <c r="B158" s="18"/>
      <c r="C158" s="403"/>
      <c r="D158" s="942"/>
      <c r="E158" s="942"/>
      <c r="F158" s="942"/>
      <c r="G158"/>
    </row>
    <row r="159" spans="1:7" ht="14.1" customHeight="1">
      <c r="A159" s="18"/>
      <c r="B159" s="18"/>
      <c r="C159" s="403"/>
      <c r="D159" s="942"/>
      <c r="E159" s="942"/>
      <c r="F159" s="942"/>
      <c r="G159"/>
    </row>
    <row r="160" spans="1:7" ht="14.1" customHeight="1">
      <c r="A160" s="18"/>
      <c r="B160" s="18"/>
      <c r="C160" s="403"/>
      <c r="D160" s="942"/>
      <c r="E160" s="942"/>
      <c r="F160" s="942"/>
      <c r="G160"/>
    </row>
    <row r="161" spans="1:7" ht="14.1" customHeight="1">
      <c r="A161" s="18"/>
      <c r="B161" s="18"/>
      <c r="C161" s="403"/>
      <c r="D161" s="942"/>
      <c r="E161" s="942"/>
      <c r="F161" s="942"/>
      <c r="G161"/>
    </row>
    <row r="162" spans="1:7" ht="14.1" customHeight="1">
      <c r="A162" s="18"/>
      <c r="B162" s="18"/>
      <c r="C162" s="403"/>
      <c r="D162" s="942"/>
      <c r="E162" s="942"/>
      <c r="F162" s="942"/>
      <c r="G162"/>
    </row>
    <row r="163" spans="1:7" ht="14.1" customHeight="1">
      <c r="A163" s="18"/>
      <c r="B163" s="18"/>
      <c r="C163" s="403"/>
      <c r="D163" s="942"/>
      <c r="E163" s="942"/>
      <c r="F163" s="942"/>
      <c r="G163"/>
    </row>
    <row r="164" spans="1:7" ht="14.1" customHeight="1">
      <c r="A164" s="18"/>
      <c r="B164" s="18"/>
      <c r="C164" s="403"/>
      <c r="D164" s="1001" t="s">
        <v>358</v>
      </c>
      <c r="E164" s="1001"/>
      <c r="F164" s="1001"/>
      <c r="G164"/>
    </row>
    <row r="165" spans="1:7" ht="14.1" customHeight="1">
      <c r="A165" s="18"/>
      <c r="B165" s="18"/>
      <c r="C165" s="403"/>
      <c r="D165" s="230"/>
      <c r="E165" s="37"/>
      <c r="F165" s="37"/>
      <c r="G165"/>
    </row>
    <row r="166" spans="1:7" ht="14.1" customHeight="1">
      <c r="A166" s="231"/>
      <c r="B166" s="517" t="s">
        <v>326</v>
      </c>
      <c r="C166" s="403"/>
      <c r="D166" s="964" t="s">
        <v>359</v>
      </c>
      <c r="E166" s="1000"/>
      <c r="F166" s="1000"/>
      <c r="G166"/>
    </row>
    <row r="167" spans="1:7" ht="14.1" customHeight="1">
      <c r="A167" s="231"/>
      <c r="B167" s="18"/>
      <c r="C167" s="403"/>
      <c r="D167" s="964"/>
      <c r="E167" s="1000"/>
      <c r="F167" s="1000"/>
      <c r="G167"/>
    </row>
    <row r="168" spans="1:7" ht="14.1" customHeight="1">
      <c r="A168" s="231"/>
      <c r="B168" s="18"/>
      <c r="C168" s="403"/>
      <c r="D168" s="1000"/>
      <c r="E168" s="1000"/>
      <c r="F168" s="1000"/>
      <c r="G168"/>
    </row>
    <row r="169" spans="1:7" ht="14.1" customHeight="1">
      <c r="A169" s="231"/>
      <c r="B169" s="18"/>
      <c r="C169" s="403"/>
      <c r="D169" s="1000"/>
      <c r="E169" s="1000"/>
      <c r="F169" s="1000"/>
      <c r="G169"/>
    </row>
    <row r="170" spans="1:7" ht="14.1" customHeight="1">
      <c r="A170" s="18"/>
      <c r="B170" s="18"/>
      <c r="C170" s="403"/>
      <c r="D170" s="1000"/>
      <c r="E170" s="1000"/>
      <c r="F170" s="1000"/>
      <c r="G170"/>
    </row>
    <row r="171" spans="1:7" ht="14.1" customHeight="1">
      <c r="A171" s="18"/>
      <c r="B171" s="18"/>
      <c r="C171" s="403"/>
      <c r="D171" s="230"/>
      <c r="E171" s="37"/>
      <c r="F171" s="37"/>
      <c r="G171"/>
    </row>
    <row r="172" spans="1:7" ht="14.1" customHeight="1">
      <c r="A172" s="231"/>
      <c r="B172" s="517" t="s">
        <v>324</v>
      </c>
      <c r="C172" s="403"/>
      <c r="D172" s="1000" t="s">
        <v>360</v>
      </c>
      <c r="E172" s="1000"/>
      <c r="F172" s="1000"/>
      <c r="G172"/>
    </row>
    <row r="173" spans="1:7" ht="14.1" customHeight="1">
      <c r="A173" s="18"/>
      <c r="B173" s="18"/>
      <c r="C173" s="403"/>
      <c r="D173" s="1000"/>
      <c r="E173" s="1000"/>
      <c r="F173" s="1000"/>
      <c r="G173" s="37"/>
    </row>
    <row r="174" spans="1:7" ht="14.1" customHeight="1">
      <c r="A174" s="18"/>
      <c r="B174" s="18"/>
      <c r="C174" s="403"/>
      <c r="D174" s="1000"/>
      <c r="E174" s="1000"/>
      <c r="F174" s="1000"/>
      <c r="G174" s="37"/>
    </row>
    <row r="175" spans="1:7" ht="14.1" customHeight="1">
      <c r="A175" s="18"/>
      <c r="B175" s="18"/>
      <c r="C175" s="403"/>
      <c r="D175" s="1000"/>
      <c r="E175" s="1000"/>
      <c r="F175" s="1000"/>
      <c r="G175" s="37"/>
    </row>
    <row r="176" spans="1:7" ht="14.1" customHeight="1">
      <c r="A176" s="18"/>
      <c r="B176" s="18"/>
      <c r="C176" s="403"/>
      <c r="D176" s="230"/>
      <c r="E176" s="37"/>
      <c r="F176" s="37"/>
      <c r="G176" s="37"/>
    </row>
    <row r="177" spans="1:7" ht="14.1" customHeight="1">
      <c r="A177" s="297"/>
      <c r="B177" s="517" t="s">
        <v>326</v>
      </c>
      <c r="C177" s="297"/>
      <c r="D177" s="989" t="s">
        <v>361</v>
      </c>
      <c r="E177" s="990"/>
      <c r="F177" s="990"/>
      <c r="G177" s="293"/>
    </row>
    <row r="178" spans="1:7" ht="14.1" customHeight="1">
      <c r="A178" s="297"/>
      <c r="B178" s="297"/>
      <c r="C178" s="297"/>
      <c r="D178" s="990"/>
      <c r="E178" s="990"/>
      <c r="F178" s="990"/>
      <c r="G178" s="293"/>
    </row>
    <row r="179" spans="1:7" ht="14.1" customHeight="1">
      <c r="A179" s="297"/>
      <c r="B179" s="297"/>
      <c r="C179" s="297"/>
      <c r="D179" s="990"/>
      <c r="E179" s="990"/>
      <c r="F179" s="990"/>
      <c r="G179" s="293"/>
    </row>
    <row r="180" spans="1:7" ht="12.75">
      <c r="A180" s="297"/>
      <c r="B180" s="297"/>
      <c r="C180" s="297"/>
      <c r="D180" s="299"/>
      <c r="E180" s="293"/>
      <c r="F180" s="293"/>
      <c r="G180" s="293"/>
    </row>
    <row r="181" spans="1:7" ht="12.75">
      <c r="A181" s="967" t="s">
        <v>362</v>
      </c>
      <c r="B181" s="967"/>
      <c r="C181" s="967"/>
      <c r="D181" s="967"/>
      <c r="E181" s="967"/>
      <c r="F181" s="967"/>
      <c r="G181" s="967"/>
    </row>
    <row r="182" spans="1:7" ht="12.75">
      <c r="A182" s="403"/>
      <c r="B182" s="403"/>
      <c r="C182" s="403"/>
      <c r="D182" s="230"/>
      <c r="E182" s="37"/>
      <c r="F182" s="37"/>
      <c r="G182" s="37"/>
    </row>
    <row r="183" spans="1:7" ht="12.75">
      <c r="A183" s="403"/>
      <c r="B183" s="403"/>
      <c r="C183" s="499"/>
      <c r="D183" s="975" t="s">
        <v>363</v>
      </c>
      <c r="E183" s="975"/>
      <c r="F183" s="975"/>
      <c r="G183" s="37"/>
    </row>
    <row r="184" spans="1:7" ht="12.75">
      <c r="A184" s="165"/>
      <c r="B184" s="165"/>
      <c r="C184" s="165"/>
      <c r="D184" s="997" t="s">
        <v>364</v>
      </c>
      <c r="E184" s="997"/>
      <c r="F184" s="997"/>
      <c r="G184" s="37"/>
    </row>
    <row r="185" spans="1:7" ht="12.75">
      <c r="A185" s="166"/>
      <c r="B185" s="166"/>
      <c r="C185" s="166"/>
      <c r="D185" s="37"/>
      <c r="E185" s="37"/>
      <c r="F185" s="37"/>
      <c r="G185" s="37"/>
    </row>
    <row r="186" spans="1:7" ht="14.25">
      <c r="A186" s="231"/>
      <c r="B186" s="517" t="s">
        <v>324</v>
      </c>
      <c r="C186" s="403"/>
      <c r="D186" s="966" t="s">
        <v>365</v>
      </c>
      <c r="E186" s="966"/>
      <c r="F186" s="966"/>
      <c r="G186" s="37"/>
    </row>
    <row r="187" spans="1:7" ht="14.25">
      <c r="A187" s="231"/>
      <c r="B187" s="403"/>
      <c r="C187" s="403"/>
      <c r="D187" s="264"/>
      <c r="E187" s="264"/>
      <c r="F187" s="264"/>
      <c r="G187" s="37"/>
    </row>
    <row r="188" spans="1:7" ht="14.25">
      <c r="A188" s="231"/>
      <c r="B188" s="517" t="s">
        <v>324</v>
      </c>
      <c r="C188" s="403"/>
      <c r="D188" s="966" t="s">
        <v>366</v>
      </c>
      <c r="E188" s="966"/>
      <c r="F188" s="966"/>
      <c r="G188" s="37"/>
    </row>
    <row r="189" spans="1:7" ht="14.25">
      <c r="A189" s="231"/>
      <c r="B189" s="403"/>
      <c r="C189" s="403"/>
      <c r="D189" s="264"/>
      <c r="E189" s="264"/>
      <c r="F189" s="264"/>
      <c r="G189" s="37"/>
    </row>
    <row r="190" spans="1:7" ht="14.25">
      <c r="A190" s="231"/>
      <c r="B190" s="517" t="s">
        <v>324</v>
      </c>
      <c r="C190" s="403"/>
      <c r="D190" s="999" t="s">
        <v>367</v>
      </c>
      <c r="E190" s="999"/>
      <c r="F190" s="999"/>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7" ht="14.25">
      <c r="A193" s="231"/>
      <c r="B193" s="403"/>
      <c r="C193" s="403"/>
      <c r="D193" s="670"/>
      <c r="E193" s="942"/>
      <c r="F193" s="942"/>
      <c r="G193" s="37"/>
    </row>
    <row r="194" spans="1:7" ht="12.75">
      <c r="A194" s="403"/>
      <c r="B194" s="403"/>
      <c r="C194" s="403"/>
      <c r="D194" s="37"/>
      <c r="E194" s="37"/>
      <c r="F194" s="37"/>
      <c r="G194" s="37"/>
    </row>
    <row r="195" spans="1:7" ht="14.25">
      <c r="A195" s="231"/>
      <c r="B195" s="517" t="s">
        <v>326</v>
      </c>
      <c r="C195" s="403"/>
      <c r="D195" s="942" t="s">
        <v>369</v>
      </c>
      <c r="E195" s="942"/>
      <c r="F195" s="942"/>
      <c r="G195" s="37"/>
    </row>
    <row r="196" spans="1:7" ht="14.25">
      <c r="A196" s="231"/>
      <c r="B196" s="231"/>
      <c r="C196" s="403"/>
      <c r="D196" s="942"/>
      <c r="E196" s="942"/>
      <c r="F196" s="942"/>
      <c r="G196" s="37"/>
    </row>
    <row r="197" spans="1:7" ht="14.25">
      <c r="A197" s="231"/>
      <c r="B197" s="231"/>
      <c r="C197" s="403"/>
      <c r="D197" s="942"/>
      <c r="E197" s="942"/>
      <c r="F197" s="942"/>
      <c r="G197" s="37"/>
    </row>
    <row r="198" spans="1:7" ht="14.25">
      <c r="A198" s="231"/>
      <c r="B198" s="231"/>
      <c r="C198" s="403"/>
      <c r="D198" s="942"/>
      <c r="E198" s="942"/>
      <c r="F198" s="942"/>
      <c r="G198" s="37"/>
    </row>
    <row r="199" spans="1:7" ht="12.75">
      <c r="A199" s="403"/>
      <c r="B199" s="403"/>
      <c r="C199" s="403"/>
      <c r="D199" s="998" t="s">
        <v>370</v>
      </c>
      <c r="E199" s="1870"/>
      <c r="F199" s="1870"/>
      <c r="G199" s="37"/>
    </row>
    <row r="200" spans="1:7" ht="12.75">
      <c r="A200" s="403"/>
      <c r="B200" s="403"/>
      <c r="C200" s="403"/>
      <c r="D200" s="532"/>
      <c r="E200" s="532"/>
      <c r="F200" s="532"/>
      <c r="G200" s="37"/>
    </row>
    <row r="201" spans="1:7" ht="14.25">
      <c r="A201" s="231"/>
      <c r="B201" s="517" t="s">
        <v>326</v>
      </c>
      <c r="C201" s="403"/>
      <c r="D201" s="963" t="s">
        <v>371</v>
      </c>
      <c r="E201" s="963"/>
      <c r="F201" s="963"/>
      <c r="G201" s="37"/>
    </row>
    <row r="202" spans="1:7" ht="12.75">
      <c r="A202" s="403"/>
      <c r="B202" s="403"/>
      <c r="C202" s="403"/>
      <c r="D202" s="37"/>
      <c r="E202" s="37"/>
      <c r="F202" s="37"/>
      <c r="G202" s="37"/>
    </row>
    <row r="203" spans="1:7" ht="12.75">
      <c r="A203" s="967" t="s">
        <v>372</v>
      </c>
      <c r="B203" s="967"/>
      <c r="C203" s="967"/>
      <c r="D203" s="967"/>
      <c r="E203" s="967"/>
      <c r="F203" s="967"/>
      <c r="G203" s="967"/>
    </row>
    <row r="204" spans="1:7" ht="12.75">
      <c r="A204" s="403"/>
      <c r="B204" s="403"/>
      <c r="C204" s="403"/>
      <c r="D204" s="37"/>
      <c r="E204" s="37"/>
      <c r="F204" s="37"/>
      <c r="G204" s="37"/>
    </row>
    <row r="205" spans="1:7" ht="12.75">
      <c r="A205" s="403"/>
      <c r="B205" s="403"/>
      <c r="C205" s="500"/>
      <c r="D205" s="975" t="s">
        <v>373</v>
      </c>
      <c r="E205" s="975"/>
      <c r="F205" s="975"/>
      <c r="G205" s="37"/>
    </row>
    <row r="206" spans="1:7" ht="12.75">
      <c r="A206" s="501"/>
      <c r="B206" s="501"/>
      <c r="C206" s="500"/>
      <c r="D206" s="975" t="s">
        <v>374</v>
      </c>
      <c r="E206" s="975"/>
      <c r="F206" s="975"/>
      <c r="G206" s="37"/>
    </row>
    <row r="207" spans="1:7" ht="12.75">
      <c r="A207" s="165"/>
      <c r="B207" s="165"/>
      <c r="C207" s="165"/>
      <c r="D207" s="966" t="s">
        <v>375</v>
      </c>
      <c r="E207" s="966"/>
      <c r="F207" s="966"/>
      <c r="G207" s="37"/>
    </row>
    <row r="208" spans="1:7" ht="12.75">
      <c r="A208" s="165"/>
      <c r="B208" s="165"/>
      <c r="C208" s="165"/>
      <c r="D208" s="37"/>
      <c r="E208" s="37"/>
      <c r="F208" s="37"/>
      <c r="G208" s="37"/>
    </row>
    <row r="209" spans="1:6" ht="12.75">
      <c r="A209" s="165"/>
      <c r="B209" s="165"/>
      <c r="C209" s="165"/>
      <c r="D209" s="942" t="s">
        <v>376</v>
      </c>
      <c r="E209" s="942"/>
      <c r="F209" s="942"/>
    </row>
    <row r="210" spans="1:6" ht="12.75">
      <c r="A210" s="165"/>
      <c r="B210" s="165"/>
      <c r="C210" s="165"/>
      <c r="D210" s="942"/>
      <c r="E210" s="942"/>
      <c r="F210" s="942"/>
    </row>
    <row r="211" spans="1:6" ht="12.75">
      <c r="A211" s="165"/>
      <c r="B211" s="165"/>
      <c r="C211" s="165"/>
      <c r="D211" s="942"/>
      <c r="E211" s="942"/>
      <c r="F211" s="942"/>
    </row>
    <row r="212" spans="1:6" ht="12.75">
      <c r="A212" s="165"/>
      <c r="B212" s="165"/>
      <c r="C212" s="165"/>
      <c r="D212" s="942"/>
      <c r="E212" s="942"/>
      <c r="F212" s="942"/>
    </row>
    <row r="213" spans="1:6" ht="12.75">
      <c r="A213" s="165"/>
      <c r="B213" s="165"/>
      <c r="C213" s="165"/>
      <c r="D213" s="942"/>
      <c r="E213" s="942"/>
      <c r="F213" s="942"/>
    </row>
    <row r="214" spans="1:6" ht="12.75">
      <c r="A214" s="165"/>
      <c r="B214" s="165"/>
      <c r="C214" s="165"/>
      <c r="D214" s="942"/>
      <c r="E214" s="942"/>
      <c r="F214" s="942"/>
    </row>
    <row r="215" spans="1:6" ht="12.75">
      <c r="A215" s="165"/>
      <c r="B215" s="165"/>
      <c r="C215" s="165"/>
      <c r="D215" s="942"/>
      <c r="E215" s="942"/>
      <c r="F215" s="942"/>
    </row>
    <row r="216" spans="1:6" ht="12.75">
      <c r="A216" s="165"/>
      <c r="B216" s="165"/>
      <c r="C216" s="165"/>
      <c r="D216" s="942"/>
      <c r="E216" s="942"/>
      <c r="F216" s="942"/>
    </row>
    <row r="217" spans="1:6" ht="12.75">
      <c r="A217" s="165"/>
      <c r="B217" s="165"/>
      <c r="C217" s="165"/>
      <c r="D217" s="942"/>
      <c r="E217" s="942"/>
      <c r="F217" s="942"/>
    </row>
    <row r="218" spans="1:6" ht="12.75">
      <c r="A218" s="165"/>
      <c r="B218" s="165"/>
      <c r="C218" s="165"/>
      <c r="D218" s="942"/>
      <c r="E218" s="942"/>
      <c r="F218" s="942"/>
    </row>
    <row r="219" spans="1:6" ht="12.75">
      <c r="A219" s="165"/>
      <c r="B219" s="165"/>
      <c r="C219" s="165"/>
      <c r="D219" s="942"/>
      <c r="E219" s="942"/>
      <c r="F219" s="942"/>
    </row>
    <row r="220" spans="1:6" ht="12.75">
      <c r="A220" s="165"/>
      <c r="B220" s="165"/>
      <c r="C220" s="165"/>
      <c r="D220" s="942"/>
      <c r="E220" s="942"/>
      <c r="F220" s="942"/>
    </row>
    <row r="221" spans="1:6" ht="12.75">
      <c r="A221" s="165"/>
      <c r="B221" s="165"/>
      <c r="C221" s="165"/>
      <c r="D221" s="942"/>
      <c r="E221" s="942"/>
      <c r="F221" s="942"/>
    </row>
    <row r="222" spans="1:6" ht="12.75">
      <c r="A222" s="165"/>
      <c r="B222" s="165"/>
      <c r="C222" s="165"/>
      <c r="D222" s="942"/>
      <c r="E222" s="942"/>
      <c r="F222" s="942"/>
    </row>
    <row r="223" spans="1:6" ht="12.75">
      <c r="A223" s="165"/>
      <c r="B223" s="165"/>
      <c r="C223" s="165"/>
      <c r="D223" s="942"/>
      <c r="E223" s="942"/>
      <c r="F223" s="942"/>
    </row>
    <row r="224" spans="1:6" ht="12.75">
      <c r="A224" s="165"/>
      <c r="B224" s="165"/>
      <c r="C224" s="165"/>
      <c r="D224" s="942"/>
      <c r="E224" s="942"/>
      <c r="F224" s="942"/>
    </row>
    <row r="225" spans="1:6" ht="12.75">
      <c r="A225" s="165"/>
      <c r="B225" s="165"/>
      <c r="C225" s="165"/>
      <c r="D225" s="942"/>
      <c r="E225" s="942"/>
      <c r="F225" s="942"/>
    </row>
    <row r="226" spans="1:6" ht="3.75" customHeight="1">
      <c r="A226" s="165"/>
      <c r="B226" s="165"/>
      <c r="C226" s="165"/>
      <c r="D226" s="942"/>
      <c r="E226" s="942"/>
      <c r="F226" s="942"/>
    </row>
    <row r="227" spans="1:6" ht="12.75">
      <c r="A227" s="166"/>
      <c r="B227" s="166"/>
      <c r="C227" s="166"/>
      <c r="D227" s="37"/>
      <c r="E227" s="37"/>
      <c r="F227" s="37"/>
    </row>
    <row r="228" spans="1:6" ht="14.45" customHeight="1">
      <c r="A228" s="231"/>
      <c r="B228" s="517" t="s">
        <v>326</v>
      </c>
      <c r="C228" s="166"/>
      <c r="D228" s="963" t="s">
        <v>377</v>
      </c>
      <c r="E228" s="963"/>
      <c r="F228" s="963"/>
    </row>
    <row r="229" spans="1:6" ht="14.25">
      <c r="A229" s="231"/>
      <c r="B229" s="403"/>
      <c r="C229" s="166"/>
      <c r="D229" s="966" t="s">
        <v>378</v>
      </c>
      <c r="E229" s="966"/>
      <c r="F229" s="966"/>
    </row>
    <row r="230" spans="1:6" ht="14.25">
      <c r="A230" s="231"/>
      <c r="B230" s="231"/>
      <c r="C230" s="166"/>
      <c r="D230" s="82" t="s">
        <v>379</v>
      </c>
      <c r="E230" s="980" t="s">
        <v>380</v>
      </c>
      <c r="F230" s="980"/>
    </row>
    <row r="231" spans="1:6" ht="12.75">
      <c r="A231" s="403"/>
      <c r="B231" s="403"/>
      <c r="C231" s="403"/>
      <c r="D231" s="966" t="s">
        <v>381</v>
      </c>
      <c r="E231" s="966"/>
      <c r="F231" s="966"/>
    </row>
    <row r="232" spans="1:6" ht="12.75">
      <c r="A232" s="403"/>
      <c r="B232" s="403"/>
      <c r="C232" s="403"/>
      <c r="D232" s="37"/>
      <c r="E232" s="37"/>
      <c r="F232" s="37"/>
    </row>
    <row r="233" spans="1:6" ht="12.75">
      <c r="A233" s="403"/>
      <c r="B233" s="517" t="s">
        <v>326</v>
      </c>
      <c r="C233" s="403"/>
      <c r="D233" s="948" t="s">
        <v>382</v>
      </c>
      <c r="E233" s="948"/>
      <c r="F233" s="948"/>
    </row>
    <row r="234" spans="1:6" ht="12.75">
      <c r="A234" s="403"/>
      <c r="B234" s="403"/>
      <c r="C234" s="403"/>
      <c r="D234" s="948"/>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37"/>
      <c r="E237" s="37"/>
      <c r="F237" s="37"/>
    </row>
    <row r="238" spans="1:6" ht="14.25">
      <c r="A238" s="231"/>
      <c r="B238" s="517" t="s">
        <v>326</v>
      </c>
      <c r="C238" s="403"/>
      <c r="D238" s="966" t="s">
        <v>383</v>
      </c>
      <c r="E238" s="966"/>
      <c r="F238" s="966"/>
    </row>
    <row r="239" spans="1:6" ht="14.25">
      <c r="A239" s="231"/>
      <c r="B239" s="403"/>
      <c r="C239" s="403"/>
      <c r="D239" s="963" t="s">
        <v>378</v>
      </c>
      <c r="E239" s="963"/>
      <c r="F239" s="963"/>
    </row>
    <row r="240" spans="1:6" ht="14.25">
      <c r="A240" s="231"/>
      <c r="B240" s="231"/>
      <c r="C240" s="403"/>
      <c r="D240" s="56" t="s">
        <v>384</v>
      </c>
      <c r="E240" s="980" t="s">
        <v>385</v>
      </c>
      <c r="F240" s="980"/>
    </row>
    <row r="241" spans="1:6" ht="12.75">
      <c r="A241" s="403"/>
      <c r="B241" s="403"/>
      <c r="C241" s="403"/>
      <c r="D241" s="966" t="s">
        <v>386</v>
      </c>
      <c r="E241" s="966"/>
      <c r="F241" s="966"/>
    </row>
    <row r="242" spans="1:6" ht="12.75">
      <c r="A242" s="403"/>
      <c r="B242" s="403"/>
      <c r="C242" s="403"/>
      <c r="D242" s="37"/>
      <c r="E242" s="37"/>
      <c r="F242" s="37"/>
    </row>
    <row r="243" spans="1:6" ht="14.25">
      <c r="A243" s="231"/>
      <c r="B243" s="517" t="s">
        <v>324</v>
      </c>
      <c r="C243" s="403"/>
      <c r="D243" s="966" t="s">
        <v>387</v>
      </c>
      <c r="E243" s="966"/>
      <c r="F243" s="966"/>
    </row>
    <row r="244" spans="1:6" ht="14.25">
      <c r="A244" s="231"/>
      <c r="B244" s="403"/>
      <c r="C244" s="403"/>
      <c r="D244" s="230" t="s">
        <v>378</v>
      </c>
      <c r="E244" s="37"/>
      <c r="F244" s="37"/>
    </row>
    <row r="245" spans="1:6" ht="14.25">
      <c r="A245" s="231"/>
      <c r="B245" s="231"/>
      <c r="C245" s="403"/>
      <c r="D245" s="56" t="s">
        <v>379</v>
      </c>
      <c r="E245" s="980" t="s">
        <v>388</v>
      </c>
      <c r="F245" s="980"/>
    </row>
    <row r="246" spans="1:6" ht="14.25">
      <c r="A246" s="231"/>
      <c r="B246" s="231"/>
      <c r="C246" s="403"/>
      <c r="D246" s="942" t="s">
        <v>389</v>
      </c>
      <c r="E246" s="942"/>
      <c r="F246" s="942"/>
    </row>
    <row r="247" spans="1:6" ht="12.75">
      <c r="A247" s="403"/>
      <c r="B247" s="403"/>
      <c r="C247" s="403"/>
      <c r="D247" s="942"/>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t="s">
        <v>390</v>
      </c>
      <c r="E251" s="942"/>
      <c r="F251" s="942"/>
    </row>
    <row r="252" spans="1:6" ht="12.75">
      <c r="A252" s="403"/>
      <c r="B252" s="403"/>
      <c r="C252" s="403"/>
      <c r="D252" s="230"/>
      <c r="E252" s="37"/>
      <c r="F252" s="37"/>
    </row>
    <row r="253" spans="1:6" ht="14.25">
      <c r="A253" s="231"/>
      <c r="B253" s="517" t="s">
        <v>326</v>
      </c>
      <c r="C253" s="403"/>
      <c r="D253" s="966" t="s">
        <v>391</v>
      </c>
      <c r="E253" s="966"/>
      <c r="F253" s="966"/>
    </row>
    <row r="254" spans="1:6" ht="14.25">
      <c r="A254" s="231"/>
      <c r="B254" s="403"/>
      <c r="C254" s="403"/>
      <c r="D254" s="966" t="s">
        <v>378</v>
      </c>
      <c r="E254" s="966"/>
      <c r="F254" s="966"/>
    </row>
    <row r="255" spans="1:6" ht="14.25">
      <c r="A255" s="231"/>
      <c r="B255" s="231"/>
      <c r="C255" s="403"/>
      <c r="D255" s="56" t="s">
        <v>379</v>
      </c>
      <c r="E255" s="980" t="s">
        <v>392</v>
      </c>
      <c r="F255" s="980"/>
    </row>
    <row r="256" spans="1:6" ht="12.75">
      <c r="A256" s="403"/>
      <c r="B256" s="403"/>
      <c r="C256" s="403"/>
      <c r="D256" s="966" t="s">
        <v>393</v>
      </c>
      <c r="E256" s="966"/>
      <c r="F256" s="966"/>
    </row>
    <row r="257" spans="1:7" ht="12.75">
      <c r="A257" s="403"/>
      <c r="B257" s="403"/>
      <c r="C257" s="403"/>
      <c r="D257" s="264"/>
      <c r="E257" s="264"/>
      <c r="F257" s="264"/>
      <c r="G257" s="37"/>
    </row>
    <row r="258" spans="1:7" ht="14.25">
      <c r="A258" s="231"/>
      <c r="B258" s="517" t="s">
        <v>326</v>
      </c>
      <c r="C258" s="403"/>
      <c r="D258" s="966" t="s">
        <v>394</v>
      </c>
      <c r="E258" s="966"/>
      <c r="F258" s="966"/>
      <c r="G258" s="37"/>
    </row>
    <row r="259" spans="1:7" ht="14.25">
      <c r="A259" s="231"/>
      <c r="B259" s="403"/>
      <c r="C259" s="403"/>
      <c r="D259" s="966" t="s">
        <v>378</v>
      </c>
      <c r="E259" s="966"/>
      <c r="F259" s="966"/>
      <c r="G259" s="37"/>
    </row>
    <row r="260" spans="1:7" ht="14.25">
      <c r="A260" s="231"/>
      <c r="B260" s="231"/>
      <c r="C260" s="403"/>
      <c r="D260" s="56" t="s">
        <v>379</v>
      </c>
      <c r="E260" s="980" t="s">
        <v>395</v>
      </c>
      <c r="F260" s="980"/>
      <c r="G260" s="37"/>
    </row>
    <row r="261" spans="1:7" ht="12.75">
      <c r="A261" s="403"/>
      <c r="B261" s="403"/>
      <c r="C261" s="403"/>
      <c r="D261" s="966" t="s">
        <v>396</v>
      </c>
      <c r="E261" s="966"/>
      <c r="F261" s="966"/>
      <c r="G261" s="37"/>
    </row>
    <row r="262" spans="1:7" ht="12.75">
      <c r="A262" s="403"/>
      <c r="B262" s="403"/>
      <c r="C262" s="403"/>
      <c r="D262" s="230"/>
      <c r="E262" s="37"/>
      <c r="F262" s="37"/>
      <c r="G262" s="37"/>
    </row>
    <row r="263" spans="1:7" ht="14.25">
      <c r="A263" s="231"/>
      <c r="B263" s="517" t="s">
        <v>326</v>
      </c>
      <c r="C263" s="403"/>
      <c r="D263" s="264" t="s">
        <v>397</v>
      </c>
      <c r="E263" s="264"/>
      <c r="F263" s="264"/>
      <c r="G263" s="37"/>
    </row>
    <row r="264" spans="1:7" ht="14.25">
      <c r="A264" s="231"/>
      <c r="B264"/>
      <c r="C264" s="403"/>
      <c r="D264" s="942" t="s">
        <v>398</v>
      </c>
      <c r="E264" s="942"/>
      <c r="F264" s="942"/>
      <c r="G264" s="37"/>
    </row>
    <row r="265" spans="1:7" ht="14.25">
      <c r="A265" s="231"/>
      <c r="B265"/>
      <c r="C265" s="403"/>
      <c r="D265" s="942"/>
      <c r="E265" s="942"/>
      <c r="F265" s="942"/>
      <c r="G265" s="37"/>
    </row>
    <row r="266" spans="1:7" ht="14.25">
      <c r="A266" s="231"/>
      <c r="B266" s="403"/>
      <c r="C266" s="403"/>
      <c r="D266" s="942"/>
      <c r="E266" s="942"/>
      <c r="F266" s="942"/>
      <c r="G266" s="37"/>
    </row>
    <row r="267" spans="1:7" ht="9.75" customHeight="1">
      <c r="A267" s="231"/>
      <c r="B267" s="403"/>
      <c r="C267" s="403"/>
      <c r="D267" s="942"/>
      <c r="E267" s="942"/>
      <c r="F267" s="942"/>
      <c r="G267" s="37"/>
    </row>
    <row r="268" spans="1:7" ht="14.25">
      <c r="A268" s="231"/>
      <c r="B268" s="403"/>
      <c r="C268" s="403"/>
      <c r="D268" s="176"/>
      <c r="E268" s="176"/>
      <c r="F268" s="176"/>
      <c r="G268" s="37"/>
    </row>
    <row r="269" spans="1:7" ht="14.25">
      <c r="A269" s="231"/>
      <c r="B269" s="517" t="s">
        <v>326</v>
      </c>
      <c r="C269" s="403"/>
      <c r="D269" s="966" t="s">
        <v>399</v>
      </c>
      <c r="E269" s="966"/>
      <c r="F269" s="966"/>
      <c r="G269" s="37"/>
    </row>
    <row r="270" spans="1:7" ht="14.25">
      <c r="A270" s="231"/>
      <c r="B270" s="403"/>
      <c r="C270" s="403"/>
      <c r="D270" s="264"/>
      <c r="E270" s="264"/>
      <c r="F270" s="264"/>
      <c r="G270" s="37"/>
    </row>
    <row r="271" spans="1:7" ht="12.75">
      <c r="A271" s="967" t="s">
        <v>400</v>
      </c>
      <c r="B271" s="967"/>
      <c r="C271" s="967"/>
      <c r="D271" s="967"/>
      <c r="E271" s="967"/>
      <c r="F271" s="967"/>
      <c r="G271" s="967"/>
    </row>
    <row r="272" spans="1:7" ht="12.75">
      <c r="A272" s="403"/>
      <c r="B272" s="403"/>
      <c r="C272" s="403"/>
      <c r="D272" s="230"/>
      <c r="E272" s="37"/>
      <c r="F272" s="37"/>
      <c r="G272" s="37"/>
    </row>
    <row r="273" spans="1:7" ht="12.75">
      <c r="A273" s="403"/>
      <c r="B273" s="403"/>
      <c r="C273" s="499"/>
      <c r="D273" s="968" t="s">
        <v>401</v>
      </c>
      <c r="E273" s="968"/>
      <c r="F273" s="968"/>
      <c r="G273" s="37"/>
    </row>
    <row r="274" spans="1:7" ht="12.75">
      <c r="A274" s="165"/>
      <c r="B274" s="165"/>
      <c r="C274" s="165"/>
      <c r="D274" s="963" t="s">
        <v>402</v>
      </c>
      <c r="E274" s="963"/>
      <c r="F274" s="963"/>
      <c r="G274" s="37"/>
    </row>
    <row r="275" spans="1:7" ht="12.75">
      <c r="A275" s="18"/>
      <c r="B275" s="18"/>
      <c r="C275" s="18"/>
      <c r="D275" s="3"/>
      <c r="E275" s="37"/>
      <c r="F275" s="37"/>
      <c r="G275" s="37"/>
    </row>
    <row r="276" spans="1:7" ht="12.75">
      <c r="A276" s="18"/>
      <c r="B276" s="403"/>
      <c r="C276" s="18"/>
      <c r="D276" s="968" t="s">
        <v>403</v>
      </c>
      <c r="E276" s="968"/>
      <c r="F276" s="968"/>
      <c r="G276"/>
    </row>
    <row r="277" spans="1:7" ht="14.45" customHeight="1">
      <c r="A277" s="231"/>
      <c r="B277" s="517" t="s">
        <v>324</v>
      </c>
      <c r="C277" s="771"/>
      <c r="D277" s="976" t="s">
        <v>404</v>
      </c>
      <c r="E277" s="976"/>
      <c r="F277" s="976"/>
      <c r="G277"/>
    </row>
    <row r="278" spans="1:7" ht="14.25">
      <c r="A278" s="231"/>
      <c r="B278" s="772"/>
      <c r="C278" s="771"/>
      <c r="D278" s="976"/>
      <c r="E278" s="976"/>
      <c r="F278" s="976"/>
      <c r="G278"/>
    </row>
    <row r="279" spans="1:7" ht="14.25">
      <c r="A279" s="231"/>
      <c r="B279" s="772"/>
      <c r="C279" s="771"/>
      <c r="D279" s="976"/>
      <c r="E279" s="976"/>
      <c r="F279" s="976"/>
      <c r="G279"/>
    </row>
    <row r="280" spans="1:7" ht="14.45" customHeight="1">
      <c r="A280" s="231"/>
      <c r="B280" s="772"/>
      <c r="C280" s="771"/>
      <c r="D280" s="976"/>
      <c r="E280" s="976"/>
      <c r="F280" s="976"/>
      <c r="G280"/>
    </row>
    <row r="281" spans="1:7" ht="14.25">
      <c r="A281" s="231"/>
      <c r="B281" s="772"/>
      <c r="C281" s="771"/>
      <c r="D281" s="773"/>
      <c r="E281" s="773"/>
      <c r="F281" s="773"/>
      <c r="G281"/>
    </row>
    <row r="282" spans="1:7" ht="14.25">
      <c r="A282" s="231"/>
      <c r="B282" s="517" t="s">
        <v>324</v>
      </c>
      <c r="C282" s="771"/>
      <c r="D282" s="976" t="s">
        <v>405</v>
      </c>
      <c r="E282" s="976"/>
      <c r="F282" s="976"/>
      <c r="G282"/>
    </row>
    <row r="283" spans="1:7" ht="14.25">
      <c r="A283" s="231"/>
      <c r="B283" s="772"/>
      <c r="C283" s="771"/>
      <c r="D283" s="976"/>
      <c r="E283" s="976"/>
      <c r="F283" s="976"/>
      <c r="G283"/>
    </row>
    <row r="284" spans="1:7" ht="14.25">
      <c r="A284" s="231"/>
      <c r="B284" s="772"/>
      <c r="C284" s="771"/>
      <c r="D284" s="976"/>
      <c r="E284" s="976"/>
      <c r="F284" s="976"/>
      <c r="G284"/>
    </row>
    <row r="285" spans="1:7" ht="14.25">
      <c r="A285" s="231"/>
      <c r="B285" s="772"/>
      <c r="C285" s="771"/>
      <c r="D285" s="976"/>
      <c r="E285" s="976"/>
      <c r="F285" s="976"/>
      <c r="G285"/>
    </row>
    <row r="286" spans="1:7" ht="14.25">
      <c r="A286" s="231"/>
      <c r="B286" s="772"/>
      <c r="C286" s="771"/>
      <c r="D286" s="976"/>
      <c r="E286" s="976"/>
      <c r="F286" s="976"/>
      <c r="G286"/>
    </row>
    <row r="287" spans="1:7" ht="14.25">
      <c r="A287" s="231"/>
      <c r="B287" s="772"/>
      <c r="C287" s="771"/>
      <c r="D287" s="773"/>
      <c r="E287" s="773"/>
      <c r="F287" s="773"/>
      <c r="G287"/>
    </row>
    <row r="288" spans="1:7" ht="14.25">
      <c r="A288" s="231"/>
      <c r="B288" s="772"/>
      <c r="C288" s="771"/>
      <c r="D288" s="976" t="s">
        <v>406</v>
      </c>
      <c r="E288" s="976"/>
      <c r="F288" s="976"/>
      <c r="G288"/>
    </row>
    <row r="289" spans="1:7" ht="14.25">
      <c r="A289" s="231"/>
      <c r="B289" s="772"/>
      <c r="C289" s="771"/>
      <c r="D289" s="976"/>
      <c r="E289" s="976"/>
      <c r="F289" s="976"/>
      <c r="G289"/>
    </row>
    <row r="290" spans="1:7" ht="14.25">
      <c r="A290" s="231"/>
      <c r="B290" s="772"/>
      <c r="C290" s="771"/>
      <c r="D290" s="976"/>
      <c r="E290" s="976"/>
      <c r="F290" s="976"/>
      <c r="G290"/>
    </row>
    <row r="291" spans="1:7" ht="14.25">
      <c r="A291" s="231"/>
      <c r="B291" s="772"/>
      <c r="C291" s="771"/>
      <c r="D291" s="976"/>
      <c r="E291" s="976"/>
      <c r="F291" s="976"/>
      <c r="G291"/>
    </row>
    <row r="292" spans="1:7" ht="14.25">
      <c r="A292" s="231"/>
      <c r="B292" s="772"/>
      <c r="C292" s="771"/>
      <c r="D292" s="976"/>
      <c r="E292" s="976"/>
      <c r="F292" s="976"/>
      <c r="G292"/>
    </row>
    <row r="293" spans="1:7" ht="14.25">
      <c r="A293" s="231"/>
      <c r="B293" s="231"/>
      <c r="C293" s="403"/>
      <c r="D293" s="670"/>
      <c r="E293" s="670"/>
      <c r="F293" s="670"/>
      <c r="G293"/>
    </row>
    <row r="294" spans="1:7" s="367" customFormat="1" ht="14.45" customHeight="1">
      <c r="A294" s="247"/>
      <c r="B294" s="517" t="s">
        <v>326</v>
      </c>
      <c r="C294" s="690"/>
      <c r="D294" s="981" t="s">
        <v>407</v>
      </c>
      <c r="E294" s="981"/>
      <c r="F294" s="981"/>
      <c r="G294" s="691"/>
    </row>
    <row r="295" spans="1:7" s="367" customFormat="1" ht="14.25">
      <c r="A295" s="247"/>
      <c r="B295" s="690"/>
      <c r="C295" s="690"/>
      <c r="D295" s="981"/>
      <c r="E295" s="981"/>
      <c r="F295" s="981"/>
      <c r="G295" s="691"/>
    </row>
    <row r="296" spans="1:7" s="367" customFormat="1" ht="14.25">
      <c r="A296" s="247"/>
      <c r="B296" s="690"/>
      <c r="C296" s="690"/>
      <c r="D296" s="981"/>
      <c r="E296" s="981"/>
      <c r="F296" s="981"/>
      <c r="G296" s="691"/>
    </row>
    <row r="297" spans="1:7" s="367" customFormat="1" ht="12.75">
      <c r="A297" s="690"/>
      <c r="B297" s="690"/>
      <c r="C297" s="690"/>
      <c r="D297" s="814"/>
      <c r="E297" s="815" t="s">
        <v>408</v>
      </c>
      <c r="F297" s="814"/>
      <c r="G297" s="691"/>
    </row>
    <row r="298" spans="1:7" ht="14.25">
      <c r="A298" s="231"/>
      <c r="B298" s="231"/>
      <c r="C298" s="403"/>
      <c r="D298" s="230"/>
      <c r="E298"/>
      <c r="F298"/>
      <c r="G298"/>
    </row>
    <row r="299" spans="1:7" ht="14.25">
      <c r="A299" s="231"/>
      <c r="B299" s="517" t="s">
        <v>324</v>
      </c>
      <c r="C299" s="403"/>
      <c r="D299" s="963" t="s">
        <v>409</v>
      </c>
      <c r="E299" s="963"/>
      <c r="F299" s="963"/>
      <c r="G299"/>
    </row>
    <row r="300" spans="1:7" ht="14.25">
      <c r="A300" s="231"/>
      <c r="B300" s="231"/>
      <c r="C300" s="403"/>
      <c r="D300" s="963" t="s">
        <v>410</v>
      </c>
      <c r="E300" s="963"/>
      <c r="F300" s="963"/>
      <c r="G300"/>
    </row>
    <row r="301" spans="1:7" ht="14.25">
      <c r="A301" s="231"/>
      <c r="B301" s="231"/>
      <c r="C301" s="403"/>
      <c r="D301" s="3" t="s">
        <v>411</v>
      </c>
      <c r="E301" s="815" t="s">
        <v>412</v>
      </c>
      <c r="F301" s="3"/>
      <c r="G301" s="37"/>
    </row>
    <row r="302" spans="1:7" ht="12.75">
      <c r="A302" s="403"/>
      <c r="B302" s="403"/>
      <c r="C302" s="403"/>
      <c r="D302" s="871"/>
      <c r="E302" s="37"/>
      <c r="F302" s="37"/>
      <c r="G302" s="37"/>
    </row>
    <row r="303" spans="1:7" ht="14.25">
      <c r="A303" s="231"/>
      <c r="B303" s="517" t="s">
        <v>324</v>
      </c>
      <c r="C303" s="403"/>
      <c r="D303" s="942" t="s">
        <v>413</v>
      </c>
      <c r="E303" s="942"/>
      <c r="F303" s="942"/>
      <c r="G303" s="37"/>
    </row>
    <row r="304" spans="1:7" ht="14.25">
      <c r="A304" s="231"/>
      <c r="B304" s="231"/>
      <c r="C304" s="403"/>
      <c r="D304" s="942"/>
      <c r="E304" s="942"/>
      <c r="F304" s="942"/>
      <c r="G304" s="37"/>
    </row>
    <row r="305" spans="1:7" ht="12.75">
      <c r="A305" s="403"/>
      <c r="B305" s="403"/>
      <c r="C305" s="403"/>
      <c r="D305" s="871"/>
      <c r="E305" s="37"/>
      <c r="F305" s="37"/>
      <c r="G305" s="37"/>
    </row>
    <row r="306" spans="1:7" ht="12.75">
      <c r="A306" s="967" t="s">
        <v>414</v>
      </c>
      <c r="B306" s="967"/>
      <c r="C306" s="967"/>
      <c r="D306" s="967"/>
      <c r="E306" s="967"/>
      <c r="F306" s="967"/>
      <c r="G306" s="967"/>
    </row>
    <row r="307" spans="1:7" ht="12.75">
      <c r="A307" s="403"/>
      <c r="B307" s="403"/>
      <c r="C307" s="403"/>
      <c r="D307" s="871"/>
      <c r="E307" s="37"/>
      <c r="F307" s="37"/>
      <c r="G307" s="37"/>
    </row>
    <row r="308" spans="1:7" ht="12.75">
      <c r="A308" s="403"/>
      <c r="B308" s="403"/>
      <c r="C308" s="499"/>
      <c r="D308" s="968" t="s">
        <v>415</v>
      </c>
      <c r="E308" s="968"/>
      <c r="F308" s="968"/>
      <c r="G308" s="37"/>
    </row>
    <row r="309" spans="1:7" ht="12.75">
      <c r="A309" s="165"/>
      <c r="B309" s="165"/>
      <c r="C309" s="165"/>
      <c r="D309" s="230"/>
      <c r="E309" s="37"/>
      <c r="F309" s="37"/>
      <c r="G309" s="37"/>
    </row>
    <row r="310" spans="1:7" ht="12.75">
      <c r="A310" s="166"/>
      <c r="B310" s="166"/>
      <c r="C310" s="166"/>
      <c r="D310" s="968" t="s">
        <v>416</v>
      </c>
      <c r="E310" s="968"/>
      <c r="F310" s="968"/>
      <c r="G310" s="37"/>
    </row>
    <row r="311" spans="1:7" ht="14.45" customHeight="1">
      <c r="A311" s="231"/>
      <c r="B311" s="517" t="s">
        <v>326</v>
      </c>
      <c r="C311" s="403"/>
      <c r="D311" s="942" t="s">
        <v>417</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81" t="s">
        <v>418</v>
      </c>
      <c r="E315" s="981"/>
      <c r="F315" s="981"/>
      <c r="G315" s="691"/>
    </row>
    <row r="316" spans="1:7" s="367" customFormat="1" ht="12.75">
      <c r="A316" s="690"/>
      <c r="B316" s="690"/>
      <c r="C316" s="690"/>
      <c r="D316" s="981"/>
      <c r="E316" s="981"/>
      <c r="F316" s="981"/>
      <c r="G316" s="691"/>
    </row>
    <row r="317" spans="1:7" s="367" customFormat="1" ht="12.75">
      <c r="A317" s="690"/>
      <c r="B317" s="690"/>
      <c r="C317" s="690"/>
      <c r="D317" s="981"/>
      <c r="E317" s="981"/>
      <c r="F317" s="981"/>
      <c r="G317" s="691"/>
    </row>
    <row r="318" spans="1:7" s="367" customFormat="1" ht="12.75">
      <c r="A318" s="690"/>
      <c r="B318" s="690"/>
      <c r="C318" s="690"/>
      <c r="E318" s="300" t="s">
        <v>419</v>
      </c>
      <c r="F318" s="300"/>
      <c r="G318" s="691"/>
    </row>
    <row r="319" spans="1:7" ht="12.75">
      <c r="A319" s="403"/>
      <c r="B319" s="403"/>
      <c r="C319" s="403"/>
      <c r="D319" s="872"/>
      <c r="E319" s="37"/>
      <c r="F319" s="37"/>
      <c r="G319" s="37"/>
    </row>
    <row r="320" spans="1:7" ht="12.75">
      <c r="A320" s="967" t="s">
        <v>420</v>
      </c>
      <c r="B320" s="967"/>
      <c r="C320" s="967"/>
      <c r="D320" s="967"/>
      <c r="E320" s="967"/>
      <c r="F320" s="967"/>
      <c r="G320" s="967"/>
    </row>
    <row r="321" spans="1:7" ht="12.75">
      <c r="A321" s="403"/>
      <c r="B321" s="403"/>
      <c r="C321" s="403"/>
      <c r="D321" s="872"/>
      <c r="E321" s="37"/>
      <c r="F321" s="37"/>
      <c r="G321" s="37"/>
    </row>
    <row r="322" spans="1:7" ht="12.75">
      <c r="A322" s="403"/>
      <c r="B322" s="403"/>
      <c r="C322" s="165"/>
      <c r="D322" s="969" t="s">
        <v>421</v>
      </c>
      <c r="E322" s="969"/>
      <c r="F322" s="969"/>
      <c r="G322" s="37"/>
    </row>
    <row r="323" spans="1:7" ht="12.75">
      <c r="A323" s="403"/>
      <c r="B323" s="403"/>
      <c r="C323" s="165"/>
      <c r="D323" s="969"/>
      <c r="E323" s="969"/>
      <c r="F323" s="969"/>
      <c r="G323" s="37"/>
    </row>
    <row r="324" spans="1:7" ht="12.75">
      <c r="A324" s="166"/>
      <c r="B324" s="166"/>
      <c r="C324" s="166"/>
      <c r="D324" s="3"/>
      <c r="E324" s="37"/>
      <c r="F324" s="37"/>
      <c r="G324" s="37"/>
    </row>
    <row r="325" spans="1:7" ht="12.75">
      <c r="A325" s="403"/>
      <c r="B325" s="403"/>
      <c r="C325" s="166"/>
      <c r="D325" s="968" t="s">
        <v>422</v>
      </c>
      <c r="E325" s="968"/>
      <c r="F325" s="968"/>
      <c r="G325" s="37"/>
    </row>
    <row r="326" spans="1:7" ht="14.25">
      <c r="A326" s="231"/>
      <c r="B326" s="231"/>
      <c r="C326" s="403"/>
      <c r="D326" s="978" t="s">
        <v>423</v>
      </c>
      <c r="E326" s="978"/>
      <c r="F326" s="978"/>
      <c r="G326" s="37"/>
    </row>
    <row r="327" spans="1:7" ht="12" customHeight="1">
      <c r="A327" s="403"/>
      <c r="B327" s="403"/>
      <c r="C327" s="403"/>
      <c r="D327" s="37"/>
      <c r="E327" s="37"/>
      <c r="F327" s="37"/>
      <c r="G327" s="37"/>
    </row>
    <row r="328" spans="1:7" ht="14.45" customHeight="1">
      <c r="A328" s="231"/>
      <c r="B328" s="517" t="s">
        <v>326</v>
      </c>
      <c r="C328" s="403"/>
      <c r="D328" s="942" t="s">
        <v>424</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425</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426</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7" t="s">
        <v>427</v>
      </c>
      <c r="B338" s="967"/>
      <c r="C338" s="967"/>
      <c r="D338" s="967"/>
      <c r="E338" s="967"/>
      <c r="F338" s="967"/>
      <c r="G338" s="967"/>
    </row>
    <row r="339" spans="1:7" ht="12.75">
      <c r="A339" s="18"/>
      <c r="B339" s="18"/>
      <c r="C339" s="403"/>
      <c r="D339" s="230"/>
      <c r="E339" s="37"/>
      <c r="F339" s="37"/>
      <c r="G339"/>
    </row>
    <row r="340" spans="1:7" ht="12.75">
      <c r="A340" s="403"/>
      <c r="B340" s="403"/>
      <c r="C340" s="18"/>
      <c r="D340" s="968" t="s">
        <v>428</v>
      </c>
      <c r="E340" s="968"/>
      <c r="F340" s="968"/>
      <c r="G340"/>
    </row>
    <row r="341" spans="1:7" ht="12.75">
      <c r="A341" s="403"/>
      <c r="B341" s="403"/>
      <c r="C341" s="18"/>
      <c r="D341" s="963" t="s">
        <v>429</v>
      </c>
      <c r="E341" s="963"/>
      <c r="F341" s="963"/>
      <c r="G341"/>
    </row>
    <row r="342" spans="1:7" ht="12.75">
      <c r="A342" s="403"/>
      <c r="B342" s="403"/>
      <c r="C342" s="18"/>
      <c r="D342" s="158"/>
      <c r="E342" s="37"/>
      <c r="F342" s="37"/>
      <c r="G342"/>
    </row>
    <row r="343" spans="1:7" ht="12.75">
      <c r="A343" s="403"/>
      <c r="B343" s="517" t="s">
        <v>326</v>
      </c>
      <c r="C343" s="403"/>
      <c r="D343" s="963" t="s">
        <v>430</v>
      </c>
      <c r="E343" s="963"/>
      <c r="F343" s="963"/>
      <c r="G343"/>
    </row>
    <row r="344" spans="1:7" ht="14.25">
      <c r="A344" s="231"/>
      <c r="B344" s="231"/>
      <c r="C344" s="403"/>
      <c r="D344" s="342"/>
      <c r="E344" s="37"/>
      <c r="F344" s="37"/>
      <c r="G344"/>
    </row>
    <row r="345" spans="1:7" ht="14.25">
      <c r="A345" s="231"/>
      <c r="B345" s="517" t="s">
        <v>326</v>
      </c>
      <c r="C345" s="403"/>
      <c r="D345" s="963" t="s">
        <v>431</v>
      </c>
      <c r="E345" s="963"/>
      <c r="F345" s="963"/>
      <c r="G345"/>
    </row>
    <row r="346" spans="1:7" ht="12.75">
      <c r="A346" s="403"/>
      <c r="B346" s="403"/>
      <c r="C346" s="403"/>
      <c r="D346" s="37"/>
      <c r="E346" s="37"/>
      <c r="F346" s="37"/>
      <c r="G346"/>
    </row>
    <row r="347" spans="1:7" ht="14.45" customHeight="1">
      <c r="A347" s="231"/>
      <c r="B347" s="517" t="s">
        <v>326</v>
      </c>
      <c r="C347" s="403"/>
      <c r="D347" s="942" t="s">
        <v>432</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433</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326</v>
      </c>
      <c r="C373" s="403"/>
      <c r="D373" s="945" t="s">
        <v>434</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435</v>
      </c>
      <c r="F378" s="670"/>
    </row>
    <row r="379" spans="1:6" ht="13.5" thickBot="1">
      <c r="A379" s="403"/>
      <c r="B379" s="403"/>
      <c r="C379" s="403"/>
      <c r="D379" s="671"/>
      <c r="E379" s="873"/>
      <c r="F379" s="873"/>
    </row>
    <row r="380" spans="1:6" ht="14.25" thickTop="1" thickBot="1">
      <c r="A380" s="403"/>
      <c r="B380" s="403"/>
      <c r="C380" s="403"/>
      <c r="D380" s="977" t="s">
        <v>436</v>
      </c>
      <c r="E380" s="977"/>
      <c r="F380" s="977"/>
    </row>
    <row r="381" spans="1:6" ht="13.5" thickTop="1">
      <c r="A381" s="403"/>
      <c r="B381" s="403"/>
      <c r="C381" s="403"/>
      <c r="D381" s="979" t="s">
        <v>437</v>
      </c>
      <c r="E381" s="979"/>
      <c r="F381" s="979"/>
    </row>
    <row r="382" spans="1:6" ht="12.75">
      <c r="A382" s="403"/>
      <c r="B382" s="403"/>
      <c r="C382" s="403"/>
      <c r="D382" s="230"/>
      <c r="E382" s="37"/>
      <c r="F382" s="37"/>
    </row>
    <row r="383" spans="1:6" ht="14.25">
      <c r="A383" s="231"/>
      <c r="B383" s="517" t="s">
        <v>326</v>
      </c>
      <c r="C383" s="293"/>
      <c r="D383" s="972" t="s">
        <v>438</v>
      </c>
      <c r="E383" s="972"/>
      <c r="F383" s="972"/>
    </row>
    <row r="384" spans="1:6" ht="14.25">
      <c r="A384" s="231"/>
      <c r="B384" s="231"/>
      <c r="C384" s="293"/>
      <c r="D384" s="342"/>
      <c r="E384" s="37"/>
      <c r="F384" s="37"/>
    </row>
    <row r="385" spans="1:6" ht="14.25">
      <c r="A385" s="231"/>
      <c r="B385" s="517" t="s">
        <v>326</v>
      </c>
      <c r="C385" s="293"/>
      <c r="D385" s="943" t="s">
        <v>439</v>
      </c>
      <c r="E385" s="962"/>
      <c r="F385" s="962"/>
    </row>
    <row r="386" spans="1:6" ht="14.25">
      <c r="A386" s="231"/>
      <c r="B386" s="231"/>
      <c r="C386" s="293"/>
      <c r="D386" s="962"/>
      <c r="E386" s="962"/>
      <c r="F386" s="962"/>
    </row>
    <row r="387" spans="1:6" ht="14.25">
      <c r="A387" s="231"/>
      <c r="B387" s="231"/>
      <c r="C387" s="293"/>
      <c r="D387" s="962"/>
      <c r="E387" s="962"/>
      <c r="F387" s="962"/>
    </row>
    <row r="388" spans="1:6" ht="14.25">
      <c r="A388" s="231"/>
      <c r="B388" s="231"/>
      <c r="C388" s="293"/>
      <c r="D388" s="962"/>
      <c r="E388" s="962"/>
      <c r="F388" s="962"/>
    </row>
    <row r="389" spans="1:6" ht="14.25">
      <c r="A389" s="231"/>
      <c r="B389" s="231"/>
      <c r="C389" s="293"/>
      <c r="D389" s="962"/>
      <c r="E389" s="962"/>
      <c r="F389" s="962"/>
    </row>
    <row r="390" spans="1:6" ht="14.25">
      <c r="A390" s="231"/>
      <c r="B390" s="231"/>
      <c r="C390" s="293"/>
      <c r="D390" s="962"/>
      <c r="E390" s="962"/>
      <c r="F390" s="962"/>
    </row>
    <row r="391" spans="1:6" ht="14.25">
      <c r="A391" s="231"/>
      <c r="B391" s="231"/>
      <c r="C391" s="293"/>
      <c r="D391" s="962"/>
      <c r="E391" s="962"/>
      <c r="F391" s="962"/>
    </row>
    <row r="392" spans="1:6" ht="14.25">
      <c r="A392" s="231"/>
      <c r="B392" s="231"/>
      <c r="C392" s="293"/>
      <c r="D392" s="962"/>
      <c r="E392" s="962"/>
      <c r="F392" s="962"/>
    </row>
    <row r="393" spans="1:6" ht="14.25">
      <c r="A393" s="231"/>
      <c r="B393" s="231"/>
      <c r="C393" s="293"/>
      <c r="D393" s="962"/>
      <c r="E393" s="962"/>
      <c r="F393" s="962"/>
    </row>
    <row r="394" spans="1:6" ht="14.25">
      <c r="A394" s="231"/>
      <c r="B394" s="231"/>
      <c r="C394" s="293"/>
      <c r="D394" s="962"/>
      <c r="E394" s="962"/>
      <c r="F394" s="962"/>
    </row>
    <row r="395" spans="1:6" ht="14.25">
      <c r="A395" s="231"/>
      <c r="B395" s="231"/>
      <c r="C395" s="293"/>
      <c r="D395" s="534"/>
      <c r="E395" s="534"/>
      <c r="F395" s="534"/>
    </row>
    <row r="396" spans="1:6" ht="14.25">
      <c r="A396" s="231"/>
      <c r="B396" s="517" t="s">
        <v>326</v>
      </c>
      <c r="C396" s="293"/>
      <c r="D396" s="962" t="s">
        <v>440</v>
      </c>
      <c r="E396" s="962"/>
      <c r="F396" s="962"/>
    </row>
    <row r="397" spans="1:6" ht="12.75">
      <c r="A397" s="293"/>
      <c r="B397" s="293"/>
      <c r="C397" s="293"/>
      <c r="D397" s="962"/>
      <c r="E397" s="962"/>
      <c r="F397" s="962"/>
    </row>
    <row r="398" spans="1:6" ht="12.75">
      <c r="A398" s="293"/>
      <c r="B398" s="293"/>
      <c r="C398" s="293"/>
      <c r="D398" s="962"/>
      <c r="E398" s="962"/>
      <c r="F398" s="962"/>
    </row>
    <row r="399" spans="1:6" ht="12.75">
      <c r="A399" s="293"/>
      <c r="B399" s="293"/>
      <c r="C399" s="293"/>
      <c r="D399" s="962"/>
      <c r="E399" s="962"/>
      <c r="F399" s="962"/>
    </row>
    <row r="400" spans="1:6" ht="12.75">
      <c r="A400" s="293"/>
      <c r="B400" s="293"/>
      <c r="C400" s="293"/>
      <c r="D400" s="534"/>
      <c r="E400" s="534"/>
      <c r="F400" s="534"/>
    </row>
    <row r="401" spans="1:6" ht="12.75">
      <c r="A401" s="293"/>
      <c r="B401" s="293"/>
      <c r="C401" s="293"/>
      <c r="D401" s="962" t="s">
        <v>441</v>
      </c>
      <c r="E401" s="962"/>
      <c r="F401" s="962"/>
    </row>
    <row r="402" spans="1:6" ht="12.75">
      <c r="A402" s="293"/>
      <c r="B402" s="293"/>
      <c r="C402" s="293"/>
      <c r="D402" s="962"/>
      <c r="E402" s="962"/>
      <c r="F402" s="962"/>
    </row>
    <row r="403" spans="1:6" ht="12.75">
      <c r="A403" s="293"/>
      <c r="B403" s="293"/>
      <c r="C403" s="293"/>
      <c r="D403" s="962"/>
      <c r="E403" s="962"/>
      <c r="F403" s="962"/>
    </row>
    <row r="404" spans="1:6" ht="12.75">
      <c r="A404" s="293"/>
      <c r="B404" s="293"/>
      <c r="C404" s="293"/>
      <c r="D404" s="962"/>
      <c r="E404" s="962"/>
      <c r="F404" s="962"/>
    </row>
    <row r="405" spans="1:6" ht="12.75">
      <c r="A405" s="293"/>
      <c r="B405" s="293"/>
      <c r="C405" s="293"/>
      <c r="D405" s="962"/>
      <c r="E405" s="962"/>
      <c r="F405" s="962"/>
    </row>
    <row r="406" spans="1:6" ht="12.75">
      <c r="A406" s="293"/>
      <c r="B406" s="293"/>
      <c r="C406" s="293"/>
      <c r="D406" s="962"/>
      <c r="E406" s="962"/>
      <c r="F406" s="962"/>
    </row>
    <row r="407" spans="1:6" ht="12.75">
      <c r="A407" s="293"/>
      <c r="B407" s="293"/>
      <c r="C407" s="293"/>
      <c r="D407" s="962"/>
      <c r="E407" s="962"/>
      <c r="F407" s="962"/>
    </row>
    <row r="408" spans="1:6" ht="12.75">
      <c r="A408" s="293"/>
      <c r="B408" s="293"/>
      <c r="C408" s="293"/>
      <c r="D408" s="962"/>
      <c r="E408" s="962"/>
      <c r="F408" s="962"/>
    </row>
    <row r="409" spans="1:6" ht="12.75">
      <c r="A409" s="293"/>
      <c r="B409" s="293"/>
      <c r="C409" s="293"/>
      <c r="D409" s="962"/>
      <c r="E409" s="962"/>
      <c r="F409" s="962"/>
    </row>
    <row r="410" spans="1:6" ht="13.7" customHeight="1">
      <c r="A410" s="293"/>
      <c r="B410" s="293"/>
      <c r="C410" s="293"/>
      <c r="D410" s="962" t="s">
        <v>442</v>
      </c>
      <c r="E410" s="962"/>
      <c r="F410" s="962"/>
    </row>
    <row r="411" spans="1:6" ht="13.7" customHeight="1">
      <c r="A411" s="293"/>
      <c r="B411" s="293"/>
      <c r="C411" s="293"/>
      <c r="D411" s="962"/>
      <c r="E411" s="962"/>
      <c r="F411" s="962"/>
    </row>
    <row r="412" spans="1:6" ht="13.7" customHeight="1">
      <c r="A412" s="293"/>
      <c r="B412" s="293"/>
      <c r="C412" s="293"/>
      <c r="D412" s="962"/>
      <c r="E412" s="962"/>
      <c r="F412" s="962"/>
    </row>
    <row r="413" spans="1:6" ht="13.7" customHeight="1">
      <c r="A413" s="293"/>
      <c r="B413" s="293"/>
      <c r="C413" s="293"/>
      <c r="D413" s="962"/>
      <c r="E413" s="962"/>
      <c r="F413" s="962"/>
    </row>
    <row r="414" spans="1:6" ht="13.7" customHeight="1">
      <c r="A414" s="293"/>
      <c r="B414" s="293"/>
      <c r="C414" s="293"/>
      <c r="D414" s="962"/>
      <c r="E414" s="962"/>
      <c r="F414" s="962"/>
    </row>
    <row r="415" spans="1:6" ht="13.7" customHeight="1">
      <c r="A415" s="293"/>
      <c r="B415" s="293"/>
      <c r="C415" s="293"/>
      <c r="D415" s="962"/>
      <c r="E415" s="962"/>
      <c r="F415" s="962"/>
    </row>
    <row r="416" spans="1:6" ht="13.7" customHeight="1">
      <c r="A416" s="293"/>
      <c r="B416" s="293"/>
      <c r="C416" s="293"/>
      <c r="D416" s="962"/>
      <c r="E416" s="962"/>
      <c r="F416" s="962"/>
    </row>
    <row r="417" spans="1:6" ht="13.7" customHeight="1">
      <c r="A417" s="293"/>
      <c r="B417" s="293"/>
      <c r="C417" s="293"/>
      <c r="D417" s="962"/>
      <c r="E417" s="962"/>
      <c r="F417" s="962"/>
    </row>
    <row r="418" spans="1:6" ht="13.7" customHeight="1">
      <c r="A418" s="293"/>
      <c r="B418" s="293"/>
      <c r="C418" s="293"/>
      <c r="D418" s="962"/>
      <c r="E418" s="962"/>
      <c r="F418" s="962"/>
    </row>
    <row r="419" spans="1:6" ht="13.7" customHeight="1">
      <c r="A419" s="293"/>
      <c r="B419" s="293"/>
      <c r="C419" s="293"/>
      <c r="D419" s="962"/>
      <c r="E419" s="962"/>
      <c r="F419" s="962"/>
    </row>
    <row r="420" spans="1:6" ht="13.7" customHeight="1">
      <c r="A420" s="293"/>
      <c r="B420" s="293"/>
      <c r="C420" s="293"/>
      <c r="D420" s="962"/>
      <c r="E420" s="962"/>
      <c r="F420" s="962"/>
    </row>
    <row r="421" spans="1:6" ht="13.7" customHeight="1">
      <c r="A421" s="293"/>
      <c r="B421" s="293"/>
      <c r="C421" s="293"/>
      <c r="D421" s="962"/>
      <c r="E421" s="962"/>
      <c r="F421" s="962"/>
    </row>
    <row r="422" spans="1:6" ht="13.7" customHeight="1">
      <c r="A422" s="293"/>
      <c r="B422" s="293"/>
      <c r="C422" s="293"/>
      <c r="D422" s="962"/>
      <c r="E422" s="962"/>
      <c r="F422" s="962"/>
    </row>
    <row r="423" spans="1:6" ht="13.7" customHeight="1">
      <c r="A423" s="293"/>
      <c r="B423" s="293"/>
      <c r="C423" s="293"/>
      <c r="D423" s="962"/>
      <c r="E423" s="962"/>
      <c r="F423" s="962"/>
    </row>
    <row r="424" spans="1:6" ht="13.7" customHeight="1">
      <c r="A424" s="293"/>
      <c r="B424" s="293"/>
      <c r="C424" s="293"/>
      <c r="D424" s="962"/>
      <c r="E424" s="962"/>
      <c r="F424" s="962"/>
    </row>
    <row r="425" spans="1:6" ht="13.7" customHeight="1">
      <c r="A425" s="293"/>
      <c r="B425" s="293"/>
      <c r="C425" s="293"/>
      <c r="D425" s="962"/>
      <c r="E425" s="962"/>
      <c r="F425" s="962"/>
    </row>
    <row r="426" spans="1:6" ht="13.7" customHeight="1">
      <c r="A426" s="293"/>
      <c r="B426" s="293"/>
      <c r="C426" s="293"/>
      <c r="D426" s="962"/>
      <c r="E426" s="962"/>
      <c r="F426" s="962"/>
    </row>
    <row r="427" spans="1:6" ht="13.7" customHeight="1">
      <c r="A427" s="293"/>
      <c r="B427" s="293"/>
      <c r="C427" s="293"/>
      <c r="D427" s="962"/>
      <c r="E427" s="962"/>
      <c r="F427" s="962"/>
    </row>
    <row r="428" spans="1:6" ht="12.75">
      <c r="A428" s="293"/>
      <c r="B428" s="293"/>
      <c r="C428" s="293"/>
      <c r="D428" s="342"/>
      <c r="E428" s="37"/>
      <c r="F428" s="37"/>
    </row>
    <row r="429" spans="1:6" ht="13.7" customHeight="1">
      <c r="A429" s="293"/>
      <c r="B429" s="517" t="s">
        <v>326</v>
      </c>
      <c r="C429" s="293"/>
      <c r="D429" s="962" t="s">
        <v>443</v>
      </c>
      <c r="E429" s="962"/>
      <c r="F429" s="962"/>
    </row>
    <row r="430" spans="1:6" ht="12.75">
      <c r="A430" s="293"/>
      <c r="B430" s="293"/>
      <c r="C430" s="293"/>
      <c r="D430" s="962"/>
      <c r="E430" s="962"/>
      <c r="F430" s="962"/>
    </row>
    <row r="431" spans="1:6" ht="12.75">
      <c r="A431" s="293"/>
      <c r="B431" s="293"/>
      <c r="C431" s="293"/>
      <c r="D431" s="534"/>
      <c r="E431" s="534"/>
      <c r="F431" s="534"/>
    </row>
    <row r="432" spans="1:6" ht="12.75">
      <c r="A432" s="293"/>
      <c r="B432" s="517" t="s">
        <v>326</v>
      </c>
      <c r="C432" s="293"/>
      <c r="D432" s="964" t="s">
        <v>444</v>
      </c>
      <c r="E432" s="964"/>
      <c r="F432" s="964"/>
    </row>
    <row r="433" spans="1:6" ht="12.75">
      <c r="A433" s="293"/>
      <c r="B433" s="293"/>
      <c r="C433" s="293"/>
      <c r="D433" s="964"/>
      <c r="E433" s="964"/>
      <c r="F433" s="964"/>
    </row>
    <row r="434" spans="1:6" ht="12.75">
      <c r="A434" s="293"/>
      <c r="B434" s="293"/>
      <c r="C434" s="293"/>
      <c r="D434" s="964"/>
      <c r="E434" s="964"/>
      <c r="F434" s="964"/>
    </row>
    <row r="435" spans="1:6" ht="12.75">
      <c r="A435" s="293"/>
      <c r="B435" s="293"/>
      <c r="C435" s="293"/>
      <c r="D435" s="964"/>
      <c r="E435" s="964"/>
      <c r="F435" s="964"/>
    </row>
    <row r="436" spans="1:6" ht="12.75">
      <c r="A436" s="293"/>
      <c r="B436" s="293"/>
      <c r="C436" s="293"/>
      <c r="D436" s="964"/>
      <c r="E436" s="964"/>
      <c r="F436" s="964"/>
    </row>
    <row r="437" spans="1:6" ht="12.75">
      <c r="A437" s="293"/>
      <c r="B437" s="293"/>
      <c r="C437" s="293"/>
      <c r="D437" s="964"/>
      <c r="E437" s="964"/>
      <c r="F437" s="964"/>
    </row>
    <row r="438" spans="1:6" ht="14.45" customHeight="1">
      <c r="A438" s="231"/>
      <c r="B438" s="517" t="s">
        <v>326</v>
      </c>
      <c r="C438" s="293"/>
      <c r="D438" s="964" t="s">
        <v>445</v>
      </c>
      <c r="E438" s="964"/>
      <c r="F438" s="964"/>
    </row>
    <row r="439" spans="1:6" ht="14.25">
      <c r="A439" s="413"/>
      <c r="B439" s="413"/>
      <c r="C439" s="293"/>
      <c r="D439" s="964"/>
      <c r="E439" s="964"/>
      <c r="F439" s="964"/>
    </row>
    <row r="440" spans="1:6" ht="14.25">
      <c r="A440" s="413"/>
      <c r="B440" s="413"/>
      <c r="C440" s="293"/>
      <c r="D440" s="964"/>
      <c r="E440" s="964"/>
      <c r="F440" s="964"/>
    </row>
    <row r="441" spans="1:6" ht="14.25">
      <c r="A441" s="413"/>
      <c r="B441" s="413"/>
      <c r="C441" s="293"/>
      <c r="D441" s="964"/>
      <c r="E441" s="964"/>
      <c r="F441" s="964"/>
    </row>
    <row r="442" spans="1:6" ht="14.25" customHeight="1">
      <c r="A442" s="413"/>
      <c r="B442" s="413"/>
      <c r="C442" s="293"/>
      <c r="D442" s="965" t="s">
        <v>446</v>
      </c>
      <c r="E442" s="965"/>
      <c r="F442" s="965"/>
    </row>
    <row r="443" spans="1:6" ht="12.75">
      <c r="A443" s="403"/>
      <c r="B443" s="403"/>
      <c r="C443" s="403"/>
      <c r="D443" s="230"/>
      <c r="E443" s="37"/>
      <c r="F443" s="37"/>
    </row>
    <row r="444" spans="1:6" ht="14.45" customHeight="1">
      <c r="A444" s="231"/>
      <c r="B444" s="517" t="s">
        <v>326</v>
      </c>
      <c r="C444" s="874"/>
      <c r="D444" s="942" t="s">
        <v>447</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4"/>
      <c r="D476" s="963" t="s">
        <v>448</v>
      </c>
      <c r="E476" s="963"/>
      <c r="F476" s="963"/>
    </row>
    <row r="477" spans="1:6" ht="12.75">
      <c r="A477" s="403"/>
      <c r="B477" s="403"/>
      <c r="C477" s="403"/>
      <c r="D477"/>
      <c r="E477" s="816" t="s">
        <v>449</v>
      </c>
      <c r="F477" s="816"/>
    </row>
    <row r="478" spans="1:6" ht="13.7" customHeight="1">
      <c r="A478" s="403"/>
      <c r="B478" s="403"/>
      <c r="C478" s="403"/>
      <c r="D478" s="942" t="s">
        <v>450</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4"/>
      <c r="D481" s="942" t="s">
        <v>451</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452</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453</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454</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3" t="s">
        <v>455</v>
      </c>
      <c r="E509" s="963"/>
      <c r="F509" s="963"/>
      <c r="G509" s="37"/>
    </row>
    <row r="510" spans="1:7" ht="12.75">
      <c r="A510" s="230"/>
      <c r="B510" s="230"/>
      <c r="C510" s="403"/>
      <c r="D510" s="37"/>
      <c r="E510" s="37"/>
      <c r="F510" s="37"/>
      <c r="G510" s="37"/>
    </row>
    <row r="511" spans="1:7" ht="12.75">
      <c r="A511" s="967" t="s">
        <v>456</v>
      </c>
      <c r="B511" s="967"/>
      <c r="C511" s="967"/>
      <c r="D511" s="967"/>
      <c r="E511" s="967"/>
      <c r="F511" s="967"/>
      <c r="G511" s="967"/>
    </row>
    <row r="512" spans="1:7" ht="12.75">
      <c r="A512" s="230"/>
      <c r="B512" s="230"/>
      <c r="C512" s="403"/>
      <c r="D512" s="37"/>
      <c r="E512" s="37"/>
      <c r="F512" s="37"/>
      <c r="G512" s="37"/>
    </row>
    <row r="513" spans="1:7" ht="12.75">
      <c r="A513" s="403"/>
      <c r="B513" s="403"/>
      <c r="C513" s="403"/>
      <c r="D513" s="971" t="s">
        <v>457</v>
      </c>
      <c r="E513" s="971"/>
      <c r="F513" s="971"/>
      <c r="G513" s="37"/>
    </row>
    <row r="514" spans="1:7" ht="12.75">
      <c r="A514" s="403"/>
      <c r="B514" s="403"/>
      <c r="C514" s="403"/>
      <c r="D514" s="972" t="s">
        <v>458</v>
      </c>
      <c r="E514" s="972"/>
      <c r="F514" s="972"/>
      <c r="G514" s="37"/>
    </row>
    <row r="515" spans="1:7" ht="14.25">
      <c r="A515" s="231"/>
      <c r="B515" s="231"/>
      <c r="C515" s="403"/>
      <c r="D515" s="342"/>
      <c r="E515" s="37"/>
      <c r="F515" s="37"/>
      <c r="G515" s="37"/>
    </row>
    <row r="516" spans="1:7" ht="14.25">
      <c r="A516" s="231"/>
      <c r="B516" s="517" t="s">
        <v>326</v>
      </c>
      <c r="C516" s="403"/>
      <c r="D516" s="962" t="s">
        <v>459</v>
      </c>
      <c r="E516" s="962"/>
      <c r="F516" s="962"/>
      <c r="G516" s="37"/>
    </row>
    <row r="517" spans="1:7" ht="14.25">
      <c r="A517" s="231"/>
      <c r="B517" s="231"/>
      <c r="C517" s="403"/>
      <c r="D517" s="962"/>
      <c r="E517" s="962"/>
      <c r="F517" s="962"/>
      <c r="G517" s="37"/>
    </row>
    <row r="518" spans="1:7" ht="14.25">
      <c r="A518" s="231"/>
      <c r="B518" s="231"/>
      <c r="C518" s="403"/>
      <c r="D518" s="230"/>
      <c r="E518" s="37"/>
      <c r="F518" s="37"/>
      <c r="G518" s="37"/>
    </row>
    <row r="519" spans="1:7" ht="14.25">
      <c r="A519" s="231"/>
      <c r="B519" s="517" t="s">
        <v>326</v>
      </c>
      <c r="C519" s="403"/>
      <c r="D519" s="973" t="s">
        <v>460</v>
      </c>
      <c r="E519" s="970"/>
      <c r="F519" s="970"/>
      <c r="G519" s="37"/>
    </row>
    <row r="520" spans="1:7" ht="14.25">
      <c r="A520" s="231"/>
      <c r="B520" s="231"/>
      <c r="C520" s="403"/>
      <c r="D520" s="970"/>
      <c r="E520" s="970"/>
      <c r="F520" s="970"/>
      <c r="G520" s="37"/>
    </row>
    <row r="521" spans="1:7" ht="14.25">
      <c r="A521" s="231"/>
      <c r="B521" s="231"/>
      <c r="C521" s="403"/>
      <c r="D521" s="970"/>
      <c r="E521" s="970"/>
      <c r="F521" s="970"/>
      <c r="G521"/>
    </row>
    <row r="522" spans="1:7" ht="14.25">
      <c r="A522" s="231"/>
      <c r="B522" s="231"/>
      <c r="C522" s="403"/>
      <c r="D522" s="970"/>
      <c r="E522" s="970"/>
      <c r="F522" s="970"/>
      <c r="G522"/>
    </row>
    <row r="523" spans="1:7" ht="12.75">
      <c r="A523" s="403"/>
      <c r="B523" s="403"/>
      <c r="C523" s="403"/>
      <c r="D523" s="37"/>
      <c r="E523" s="37"/>
      <c r="F523" s="37"/>
      <c r="G523"/>
    </row>
    <row r="524" spans="1:7" ht="14.25">
      <c r="A524" s="231"/>
      <c r="B524" s="517" t="s">
        <v>326</v>
      </c>
      <c r="C524" s="403"/>
      <c r="D524" s="963" t="s">
        <v>461</v>
      </c>
      <c r="E524" s="963"/>
      <c r="F524" s="963"/>
      <c r="G524"/>
    </row>
    <row r="525" spans="1:7" ht="12.75">
      <c r="A525" s="403"/>
      <c r="B525" s="403"/>
      <c r="C525" s="403"/>
      <c r="D525" s="230"/>
      <c r="E525" s="37"/>
      <c r="F525" s="37"/>
      <c r="G525"/>
    </row>
    <row r="526" spans="1:7" ht="14.25">
      <c r="A526" s="231"/>
      <c r="B526" s="517" t="s">
        <v>326</v>
      </c>
      <c r="C526" s="403"/>
      <c r="D526" s="942" t="s">
        <v>462</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3" t="s">
        <v>463</v>
      </c>
      <c r="E529" s="963"/>
      <c r="F529" s="963"/>
      <c r="G529" s="37"/>
    </row>
    <row r="530" spans="1:7" ht="14.25">
      <c r="A530" s="231"/>
      <c r="B530" s="231"/>
      <c r="C530" s="403"/>
      <c r="D530" s="230"/>
      <c r="E530" s="37"/>
      <c r="F530" s="37"/>
      <c r="G530" s="37"/>
    </row>
    <row r="531" spans="1:7" ht="12.75">
      <c r="A531" s="967" t="s">
        <v>464</v>
      </c>
      <c r="B531" s="967"/>
      <c r="C531" s="967"/>
      <c r="D531" s="967"/>
      <c r="E531" s="967"/>
      <c r="F531" s="967"/>
      <c r="G531" s="967"/>
    </row>
    <row r="532" spans="1:7" ht="12" customHeight="1">
      <c r="A532" s="231"/>
      <c r="B532" s="231"/>
      <c r="C532" s="403"/>
      <c r="D532" s="230"/>
      <c r="E532" s="37"/>
      <c r="F532" s="37"/>
      <c r="G532" s="37"/>
    </row>
    <row r="533" spans="1:7" ht="12.75">
      <c r="A533" s="403"/>
      <c r="B533" s="517" t="s">
        <v>324</v>
      </c>
      <c r="C533" s="165"/>
      <c r="D533" s="991" t="s">
        <v>465</v>
      </c>
      <c r="E533" s="991"/>
      <c r="F533" s="991"/>
      <c r="G533" s="37"/>
    </row>
    <row r="534" spans="1:7" ht="12.75">
      <c r="A534" s="403"/>
      <c r="B534" s="403"/>
      <c r="C534" s="165"/>
      <c r="D534" s="991"/>
      <c r="E534" s="991"/>
      <c r="F534" s="991"/>
      <c r="G534" s="37"/>
    </row>
    <row r="535" spans="1:7" ht="12.75">
      <c r="A535" s="166"/>
      <c r="B535" s="166"/>
      <c r="C535" s="166"/>
      <c r="D535" s="991"/>
      <c r="E535" s="991"/>
      <c r="F535" s="991"/>
      <c r="G535" s="37"/>
    </row>
    <row r="536" spans="1:7" ht="12.75">
      <c r="A536" s="166"/>
      <c r="B536" s="166"/>
      <c r="C536" s="166"/>
      <c r="D536" s="991"/>
      <c r="E536" s="991"/>
      <c r="F536" s="991"/>
      <c r="G536" s="37"/>
    </row>
    <row r="537" spans="1:7" ht="12.75">
      <c r="A537" s="166"/>
      <c r="B537" s="166"/>
      <c r="C537" s="166"/>
      <c r="D537" s="37"/>
      <c r="E537" s="37"/>
      <c r="F537" s="37"/>
      <c r="G537" s="37"/>
    </row>
    <row r="538" spans="1:7" ht="14.25" customHeight="1">
      <c r="A538" s="231"/>
      <c r="B538" s="517" t="s">
        <v>326</v>
      </c>
      <c r="C538" s="874"/>
      <c r="D538" s="974" t="s">
        <v>466</v>
      </c>
      <c r="E538" s="974"/>
      <c r="F538" s="974"/>
      <c r="G538"/>
    </row>
    <row r="539" spans="1:7" ht="12.75">
      <c r="A539" s="874"/>
      <c r="B539" s="874"/>
      <c r="C539" s="874"/>
      <c r="D539" s="974"/>
      <c r="E539" s="974"/>
      <c r="F539" s="974"/>
      <c r="G539"/>
    </row>
    <row r="540" spans="1:7" ht="12.75">
      <c r="A540" s="166"/>
      <c r="B540" s="166"/>
      <c r="C540" s="166"/>
      <c r="D540" s="230"/>
      <c r="E540" s="37"/>
      <c r="F540" s="37"/>
      <c r="G540"/>
    </row>
    <row r="541" spans="1:7" ht="12.75">
      <c r="A541" s="166"/>
      <c r="B541" s="517" t="s">
        <v>324</v>
      </c>
      <c r="C541" s="166"/>
      <c r="D541" s="817" t="s">
        <v>467</v>
      </c>
      <c r="E541" s="818"/>
      <c r="F541" s="37"/>
      <c r="G541"/>
    </row>
    <row r="542" spans="1:7" ht="12.75">
      <c r="A542" s="166"/>
      <c r="B542" s="166"/>
      <c r="C542" s="166"/>
      <c r="D542" s="818"/>
      <c r="E542" s="82" t="s">
        <v>468</v>
      </c>
      <c r="F542" s="37"/>
      <c r="G542"/>
    </row>
    <row r="543" spans="1:7" ht="14.25">
      <c r="A543" s="231"/>
      <c r="B543"/>
      <c r="C543" s="403"/>
      <c r="D543" s="962" t="s">
        <v>469</v>
      </c>
      <c r="E543" s="962"/>
      <c r="F543" s="962"/>
      <c r="G543"/>
    </row>
    <row r="544" spans="1:7" ht="14.25">
      <c r="A544" s="231"/>
      <c r="B544" s="231"/>
      <c r="C544" s="403"/>
      <c r="D544" s="962"/>
      <c r="E544" s="962"/>
      <c r="F544" s="962"/>
      <c r="G544"/>
    </row>
    <row r="545" spans="1:7" ht="12.75">
      <c r="A545" s="403"/>
      <c r="B545" s="403"/>
      <c r="C545" s="403"/>
      <c r="D545" s="962"/>
      <c r="E545" s="962"/>
      <c r="F545" s="962"/>
      <c r="G545" s="37"/>
    </row>
    <row r="546" spans="1:7" ht="12" customHeight="1">
      <c r="A546" s="230"/>
      <c r="B546" s="230"/>
      <c r="C546" s="874"/>
      <c r="D546" s="37"/>
      <c r="E546" s="230"/>
      <c r="F546" s="37"/>
      <c r="G546" s="37"/>
    </row>
    <row r="547" spans="1:7" ht="12.75">
      <c r="A547" s="967" t="s">
        <v>470</v>
      </c>
      <c r="B547" s="967"/>
      <c r="C547" s="967"/>
      <c r="D547" s="967"/>
      <c r="E547" s="967"/>
      <c r="F547" s="967"/>
      <c r="G547" s="967"/>
    </row>
    <row r="548" spans="1:7" ht="12" customHeight="1">
      <c r="A548" s="230"/>
      <c r="B548" s="230"/>
      <c r="C548" s="874"/>
      <c r="D548" s="37"/>
      <c r="E548" s="230"/>
      <c r="F548" s="37"/>
      <c r="G548" s="37"/>
    </row>
    <row r="549" spans="1:7" ht="12.75">
      <c r="A549" s="403"/>
      <c r="B549" s="403"/>
      <c r="C549" s="874"/>
      <c r="D549" s="968" t="s">
        <v>471</v>
      </c>
      <c r="E549" s="968"/>
      <c r="F549" s="968"/>
      <c r="G549" s="37"/>
    </row>
    <row r="550" spans="1:7" ht="12.75">
      <c r="A550" s="403"/>
      <c r="B550" s="403"/>
      <c r="C550" s="403"/>
      <c r="D550" s="37"/>
      <c r="E550" s="37"/>
      <c r="F550" s="37"/>
      <c r="G550" s="37"/>
    </row>
    <row r="551" spans="1:7" ht="12.75">
      <c r="A551" s="403"/>
      <c r="B551" s="517" t="s">
        <v>326</v>
      </c>
      <c r="C551" s="403"/>
      <c r="D551" s="942" t="s">
        <v>472</v>
      </c>
      <c r="E551" s="942"/>
      <c r="F551" s="942"/>
      <c r="G551" s="37"/>
    </row>
    <row r="552" spans="1:7" ht="12.75">
      <c r="A552" s="403"/>
      <c r="B552" s="403"/>
      <c r="C552" s="403"/>
      <c r="D552" s="942"/>
      <c r="E552" s="942"/>
      <c r="F552" s="942"/>
      <c r="G552" s="37"/>
    </row>
    <row r="553" spans="1:7" ht="12" customHeight="1">
      <c r="A553" s="874"/>
      <c r="B553" s="874"/>
      <c r="C553" s="874"/>
      <c r="D553" s="230"/>
      <c r="E553" s="37"/>
      <c r="F553" s="37"/>
      <c r="G553" s="37"/>
    </row>
    <row r="554" spans="1:7" ht="14.25">
      <c r="A554" s="231"/>
      <c r="B554" s="517" t="s">
        <v>326</v>
      </c>
      <c r="C554" s="874"/>
      <c r="D554" s="942" t="s">
        <v>473</v>
      </c>
      <c r="E554" s="942"/>
      <c r="F554" s="942"/>
      <c r="G554" s="37"/>
    </row>
    <row r="555" spans="1:7" ht="12.75">
      <c r="A555" s="874"/>
      <c r="B555" s="874"/>
      <c r="C555" s="874"/>
      <c r="D555" s="942"/>
      <c r="E555" s="942"/>
      <c r="F555" s="942"/>
      <c r="G555" s="37"/>
    </row>
    <row r="556" spans="1:7" ht="12" customHeight="1">
      <c r="A556" s="874"/>
      <c r="B556" s="874"/>
      <c r="C556" s="874"/>
      <c r="D556" s="230"/>
      <c r="E556" s="37"/>
      <c r="F556" s="37"/>
      <c r="G556" s="37"/>
    </row>
    <row r="557" spans="1:7" ht="12.75">
      <c r="A557" s="986" t="s">
        <v>474</v>
      </c>
      <c r="B557" s="986"/>
      <c r="C557" s="986"/>
      <c r="D557" s="986"/>
      <c r="E557" s="986"/>
      <c r="F557" s="986"/>
      <c r="G557" s="986"/>
    </row>
    <row r="558" spans="1:7" ht="12" customHeight="1">
      <c r="A558" s="230"/>
      <c r="B558" s="230"/>
      <c r="C558" s="874"/>
      <c r="D558" s="230"/>
      <c r="E558" s="37"/>
      <c r="F558" s="37"/>
      <c r="G558" s="37"/>
    </row>
    <row r="559" spans="1:7" ht="12.75">
      <c r="A559" s="403"/>
      <c r="B559" s="403"/>
      <c r="C559" s="874"/>
      <c r="D559" s="968" t="s">
        <v>475</v>
      </c>
      <c r="E559" s="968"/>
      <c r="F559" s="968"/>
      <c r="G559" s="37"/>
    </row>
    <row r="560" spans="1:7" ht="12.75">
      <c r="A560" s="403"/>
      <c r="B560" s="403"/>
      <c r="C560" s="874"/>
      <c r="D560" s="963" t="s">
        <v>476</v>
      </c>
      <c r="E560" s="963"/>
      <c r="F560" s="963"/>
      <c r="G560" s="37"/>
    </row>
    <row r="561" spans="1:7" ht="12.75">
      <c r="A561" s="403"/>
      <c r="B561" s="403"/>
      <c r="C561" s="874"/>
      <c r="D561" s="230"/>
      <c r="E561" s="230"/>
      <c r="F561" s="230"/>
      <c r="G561" s="37"/>
    </row>
    <row r="562" spans="1:7" ht="14.25">
      <c r="A562" s="231"/>
      <c r="B562" s="517" t="s">
        <v>324</v>
      </c>
      <c r="C562" s="874"/>
      <c r="D562" s="963" t="s">
        <v>477</v>
      </c>
      <c r="E562" s="963"/>
      <c r="F562" s="963"/>
      <c r="G562" s="37"/>
    </row>
    <row r="563" spans="1:7" ht="12" customHeight="1">
      <c r="A563" s="874"/>
      <c r="B563" s="874"/>
      <c r="C563" s="874"/>
      <c r="D563" s="230"/>
      <c r="E563"/>
      <c r="F563"/>
      <c r="G563"/>
    </row>
    <row r="564" spans="1:7" ht="14.45" customHeight="1">
      <c r="A564" s="231"/>
      <c r="B564" s="517" t="s">
        <v>324</v>
      </c>
      <c r="C564" s="874"/>
      <c r="D564" s="942" t="s">
        <v>478</v>
      </c>
      <c r="E564" s="942"/>
      <c r="F564" s="942"/>
      <c r="G564"/>
    </row>
    <row r="565" spans="1:7" ht="12.75">
      <c r="A565" s="874"/>
      <c r="B565" s="874"/>
      <c r="C565" s="874"/>
      <c r="D565" s="942"/>
      <c r="E565" s="942"/>
      <c r="F565" s="942"/>
      <c r="G565"/>
    </row>
    <row r="566" spans="1:7" ht="12" customHeight="1">
      <c r="A566" s="874"/>
      <c r="B566" s="874"/>
      <c r="C566" s="874"/>
      <c r="D566" s="230"/>
      <c r="E566"/>
      <c r="F566"/>
      <c r="G566"/>
    </row>
    <row r="567" spans="1:7" ht="14.25">
      <c r="A567" s="231"/>
      <c r="B567" s="517" t="s">
        <v>324</v>
      </c>
      <c r="C567" s="874"/>
      <c r="D567" s="942" t="s">
        <v>479</v>
      </c>
      <c r="E567" s="942"/>
      <c r="F567" s="942"/>
      <c r="G567"/>
    </row>
    <row r="568" spans="1:7" ht="12.75">
      <c r="A568" s="874"/>
      <c r="B568" s="874"/>
      <c r="C568" s="874"/>
      <c r="D568" s="942"/>
      <c r="E568" s="942"/>
      <c r="F568" s="942"/>
      <c r="G568"/>
    </row>
    <row r="569" spans="1:7" ht="12" customHeight="1">
      <c r="A569" s="874"/>
      <c r="B569" s="874"/>
      <c r="C569" s="874"/>
      <c r="D569" s="230"/>
      <c r="E569"/>
      <c r="F569"/>
      <c r="G569"/>
    </row>
    <row r="570" spans="1:7" ht="14.25">
      <c r="A570" s="231"/>
      <c r="B570" s="517" t="s">
        <v>324</v>
      </c>
      <c r="C570" s="874"/>
      <c r="D570" s="942" t="s">
        <v>480</v>
      </c>
      <c r="E570" s="942"/>
      <c r="F570" s="942"/>
      <c r="G570"/>
    </row>
    <row r="571" spans="1:7" ht="12.75">
      <c r="A571" s="874"/>
      <c r="B571" s="874"/>
      <c r="C571" s="874"/>
      <c r="D571" s="942"/>
      <c r="E571" s="942"/>
      <c r="F571" s="942"/>
      <c r="G571"/>
    </row>
    <row r="572" spans="1:7" ht="12" customHeight="1">
      <c r="A572" s="874"/>
      <c r="B572" s="874"/>
      <c r="C572" s="874"/>
      <c r="D572" s="230"/>
      <c r="E572"/>
      <c r="F572"/>
      <c r="G572"/>
    </row>
    <row r="573" spans="1:7" ht="14.45" customHeight="1">
      <c r="A573" s="231"/>
      <c r="B573" s="517" t="s">
        <v>324</v>
      </c>
      <c r="C573" s="874"/>
      <c r="D573" s="942" t="s">
        <v>481</v>
      </c>
      <c r="E573" s="942"/>
      <c r="F573" s="942"/>
      <c r="G573"/>
    </row>
    <row r="574" spans="1:7" ht="12.75" hidden="1">
      <c r="A574" s="874"/>
      <c r="B574" s="874"/>
      <c r="C574" s="874"/>
      <c r="D574" s="942"/>
      <c r="E574" s="942"/>
      <c r="F574" s="942"/>
      <c r="G574"/>
    </row>
    <row r="575" spans="1:7" ht="12.75">
      <c r="A575" s="874"/>
      <c r="B575" s="874"/>
      <c r="C575" s="874"/>
      <c r="D575" s="942"/>
      <c r="E575" s="942"/>
      <c r="F575" s="942"/>
      <c r="G575"/>
    </row>
    <row r="576" spans="1:7" ht="12.75">
      <c r="A576" s="874"/>
      <c r="B576" s="874"/>
      <c r="C576" s="874"/>
      <c r="D576" s="230"/>
      <c r="E576"/>
      <c r="F576"/>
      <c r="G576"/>
    </row>
    <row r="577" spans="1:7" ht="14.25">
      <c r="A577" s="231"/>
      <c r="B577" s="517" t="s">
        <v>326</v>
      </c>
      <c r="C577" s="874"/>
      <c r="D577" s="942" t="s">
        <v>482</v>
      </c>
      <c r="E577" s="942"/>
      <c r="F577" s="942"/>
      <c r="G577"/>
    </row>
    <row r="578" spans="1:7" ht="12.75">
      <c r="A578" s="874"/>
      <c r="B578" s="874"/>
      <c r="C578" s="874"/>
      <c r="D578" s="942"/>
      <c r="E578" s="942"/>
      <c r="F578" s="942"/>
      <c r="G578"/>
    </row>
    <row r="579" spans="1:7" ht="12.75">
      <c r="A579" s="874"/>
      <c r="B579" s="874"/>
      <c r="C579" s="874"/>
      <c r="D579" s="230"/>
      <c r="E579" s="37"/>
      <c r="F579" s="37"/>
      <c r="G579"/>
    </row>
    <row r="580" spans="1:7" ht="14.25">
      <c r="A580" s="231"/>
      <c r="B580" s="517" t="s">
        <v>324</v>
      </c>
      <c r="C580" s="874"/>
      <c r="D580" s="942" t="s">
        <v>483</v>
      </c>
      <c r="E580" s="942"/>
      <c r="F580" s="942"/>
      <c r="G580"/>
    </row>
    <row r="581" spans="1:7" ht="12.75">
      <c r="A581" s="874"/>
      <c r="B581" s="874"/>
      <c r="C581" s="874"/>
      <c r="D581" s="942"/>
      <c r="E581" s="942"/>
      <c r="F581" s="942"/>
      <c r="G581"/>
    </row>
    <row r="582" spans="1:7" ht="12" customHeight="1">
      <c r="A582" s="874"/>
      <c r="B582" s="874"/>
      <c r="C582" s="874"/>
      <c r="D582" s="230"/>
      <c r="E582" s="37"/>
      <c r="F582" s="37"/>
      <c r="G582"/>
    </row>
    <row r="583" spans="1:7" ht="14.25">
      <c r="A583" s="231"/>
      <c r="B583" s="517" t="s">
        <v>324</v>
      </c>
      <c r="C583" s="874"/>
      <c r="D583" s="963" t="s">
        <v>484</v>
      </c>
      <c r="E583" s="963"/>
      <c r="F583" s="963"/>
      <c r="G583"/>
    </row>
    <row r="584" spans="1:7" ht="14.25">
      <c r="A584" s="231"/>
      <c r="B584" s="231"/>
      <c r="C584" s="874"/>
      <c r="D584" s="988" t="s">
        <v>485</v>
      </c>
      <c r="E584" s="988"/>
      <c r="F584" s="988"/>
      <c r="G584"/>
    </row>
    <row r="585" spans="1:7" ht="12.75">
      <c r="A585" s="18"/>
      <c r="B585" s="18"/>
      <c r="C585" s="874"/>
      <c r="D585" s="819"/>
      <c r="E585" s="82" t="s">
        <v>486</v>
      </c>
      <c r="F585" s="820"/>
      <c r="G585"/>
    </row>
    <row r="586" spans="1:7" ht="15" customHeight="1">
      <c r="A586" s="18"/>
      <c r="B586" s="18"/>
      <c r="C586" s="874"/>
      <c r="D586" s="942" t="s">
        <v>487</v>
      </c>
      <c r="E586" s="942"/>
      <c r="F586" s="942"/>
      <c r="G586"/>
    </row>
    <row r="587" spans="1:7" ht="12.75">
      <c r="A587" s="18"/>
      <c r="B587" s="18"/>
      <c r="C587" s="874"/>
      <c r="D587" s="942"/>
      <c r="E587" s="942"/>
      <c r="F587" s="942"/>
      <c r="G587"/>
    </row>
    <row r="588" spans="1:7" ht="12.75">
      <c r="A588" s="18"/>
      <c r="B588" s="18"/>
      <c r="C588" s="874"/>
      <c r="D588" s="942"/>
      <c r="E588" s="942"/>
      <c r="F588" s="942"/>
      <c r="G588"/>
    </row>
    <row r="589" spans="1:7" ht="12.75">
      <c r="A589" s="18"/>
      <c r="B589" s="18"/>
      <c r="C589" s="874"/>
      <c r="D589" s="942"/>
      <c r="E589" s="942"/>
      <c r="F589" s="942"/>
      <c r="G589"/>
    </row>
    <row r="590" spans="1:7" ht="12.75">
      <c r="A590" s="18"/>
      <c r="B590" s="18"/>
      <c r="C590" s="874"/>
      <c r="D590" s="942"/>
      <c r="E590" s="942"/>
      <c r="F590" s="942"/>
      <c r="G590"/>
    </row>
    <row r="591" spans="1:7" ht="12.75">
      <c r="A591" s="18"/>
      <c r="B591" s="18"/>
      <c r="C591" s="874"/>
      <c r="D591" s="942"/>
      <c r="E591" s="942"/>
      <c r="F591" s="942"/>
      <c r="G591"/>
    </row>
    <row r="592" spans="1:7" ht="12.75">
      <c r="A592" s="18"/>
      <c r="B592" s="18"/>
      <c r="C592" s="874"/>
      <c r="D592" s="942"/>
      <c r="E592" s="942"/>
      <c r="F592" s="942"/>
      <c r="G592"/>
    </row>
    <row r="593" spans="1:7" ht="12.75">
      <c r="A593" s="18"/>
      <c r="B593" s="18"/>
      <c r="C593" s="874"/>
      <c r="D593" s="942"/>
      <c r="E593" s="942"/>
      <c r="F593" s="942"/>
      <c r="G593"/>
    </row>
    <row r="594" spans="1:7" ht="12.75">
      <c r="A594" s="18"/>
      <c r="B594" s="18"/>
      <c r="C594" s="874"/>
      <c r="D594" s="942"/>
      <c r="E594" s="942"/>
      <c r="F594" s="942"/>
      <c r="G594"/>
    </row>
    <row r="595" spans="1:7" ht="12.75">
      <c r="A595" s="18"/>
      <c r="B595" s="18"/>
      <c r="C595" s="874"/>
      <c r="D595" s="670"/>
      <c r="E595" s="670"/>
      <c r="F595" s="670"/>
      <c r="G595"/>
    </row>
    <row r="596" spans="1:7" ht="14.25">
      <c r="A596" s="231"/>
      <c r="B596" s="517" t="s">
        <v>324</v>
      </c>
      <c r="C596" s="874"/>
      <c r="D596" s="963" t="s">
        <v>488</v>
      </c>
      <c r="E596" s="963"/>
      <c r="F596" s="963"/>
      <c r="G596"/>
    </row>
    <row r="597" spans="1:7" ht="13.7" customHeight="1">
      <c r="A597" s="403"/>
      <c r="B597" s="403"/>
      <c r="C597" s="874"/>
      <c r="D597" s="942" t="s">
        <v>489</v>
      </c>
      <c r="E597" s="942"/>
      <c r="F597" s="942"/>
      <c r="G597"/>
    </row>
    <row r="598" spans="1:7" ht="12.75">
      <c r="A598" s="874"/>
      <c r="B598" s="874"/>
      <c r="C598" s="874"/>
      <c r="D598" s="942"/>
      <c r="E598" s="942"/>
      <c r="F598" s="942"/>
      <c r="G598"/>
    </row>
    <row r="599" spans="1:7" ht="12.75">
      <c r="A599" s="874"/>
      <c r="B599" s="874"/>
      <c r="C599" s="874"/>
      <c r="D599" s="942"/>
      <c r="E599" s="942"/>
      <c r="F599" s="942"/>
      <c r="G599"/>
    </row>
    <row r="600" spans="1:7" ht="12.75">
      <c r="A600" s="874"/>
      <c r="B600" s="874"/>
      <c r="C600" s="874"/>
      <c r="D600" s="670"/>
      <c r="E600" s="670"/>
      <c r="F600" s="670"/>
      <c r="G600"/>
    </row>
    <row r="601" spans="1:7" ht="14.45" customHeight="1">
      <c r="A601" s="231"/>
      <c r="B601" s="517" t="s">
        <v>324</v>
      </c>
      <c r="C601" s="874"/>
      <c r="D601" s="942" t="s">
        <v>490</v>
      </c>
      <c r="E601" s="942"/>
      <c r="F601" s="942"/>
      <c r="G601"/>
    </row>
    <row r="602" spans="1:7" ht="14.25">
      <c r="A602" s="231"/>
      <c r="B602" s="231"/>
      <c r="C602" s="874"/>
      <c r="D602" s="942"/>
      <c r="E602" s="942"/>
      <c r="F602" s="942"/>
      <c r="G602"/>
    </row>
    <row r="603" spans="1:7" ht="14.25">
      <c r="A603" s="231"/>
      <c r="B603" s="231"/>
      <c r="C603" s="874"/>
      <c r="D603" s="942"/>
      <c r="E603" s="942"/>
      <c r="F603" s="942"/>
      <c r="G603" s="37"/>
    </row>
    <row r="604" spans="1:7" ht="12.75">
      <c r="A604" s="874"/>
      <c r="B604" s="874"/>
      <c r="C604" s="874"/>
      <c r="D604" s="942"/>
      <c r="E604" s="942"/>
      <c r="F604" s="942"/>
      <c r="G604" s="37"/>
    </row>
    <row r="605" spans="1:7" ht="12.75">
      <c r="A605" s="874"/>
      <c r="B605" s="874"/>
      <c r="C605" s="874"/>
      <c r="D605" s="230"/>
      <c r="E605" s="37"/>
      <c r="F605" s="37"/>
      <c r="G605" s="37"/>
    </row>
    <row r="606" spans="1:7" ht="12.75">
      <c r="A606" s="166"/>
      <c r="B606" s="517" t="s">
        <v>326</v>
      </c>
      <c r="C606" s="166"/>
      <c r="D606" s="966" t="s">
        <v>491</v>
      </c>
      <c r="E606" s="966"/>
      <c r="F606" s="966"/>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67" t="s">
        <v>492</v>
      </c>
      <c r="B609" s="967"/>
      <c r="C609" s="967"/>
      <c r="D609" s="967"/>
      <c r="E609" s="967"/>
      <c r="F609" s="967"/>
      <c r="G609" s="967"/>
    </row>
    <row r="610" spans="1:7" ht="12.75">
      <c r="A610" s="874"/>
      <c r="B610" s="874"/>
      <c r="C610" s="874"/>
      <c r="D610" s="37"/>
      <c r="E610" s="37"/>
      <c r="F610" s="37"/>
      <c r="G610" s="37"/>
    </row>
    <row r="611" spans="1:7" ht="12.75">
      <c r="A611" s="403"/>
      <c r="B611" s="403"/>
      <c r="C611" s="165"/>
      <c r="D611" s="969" t="s">
        <v>493</v>
      </c>
      <c r="E611" s="969"/>
      <c r="F611" s="969"/>
      <c r="G611" s="37"/>
    </row>
    <row r="612" spans="1:7" ht="12.75">
      <c r="A612" s="403"/>
      <c r="B612" s="403"/>
      <c r="C612" s="165"/>
      <c r="D612" s="970" t="s">
        <v>494</v>
      </c>
      <c r="E612" s="970"/>
      <c r="F612" s="970"/>
      <c r="G612" s="37"/>
    </row>
    <row r="613" spans="1:7" ht="12.75">
      <c r="A613" s="403"/>
      <c r="B613" s="403"/>
      <c r="C613" s="165"/>
      <c r="D613" s="298"/>
      <c r="E613" s="37"/>
      <c r="F613" s="37"/>
      <c r="G613" s="37"/>
    </row>
    <row r="614" spans="1:7" ht="14.45" customHeight="1">
      <c r="A614" s="231"/>
      <c r="B614" s="517" t="s">
        <v>324</v>
      </c>
      <c r="C614" s="403"/>
      <c r="D614" s="970" t="s">
        <v>495</v>
      </c>
      <c r="E614" s="970"/>
      <c r="F614" s="970"/>
      <c r="G614" s="37"/>
    </row>
    <row r="615" spans="1:7" ht="14.45" customHeight="1">
      <c r="A615" s="231"/>
      <c r="B615" s="231"/>
      <c r="C615" s="403"/>
      <c r="D615" s="970"/>
      <c r="E615" s="970"/>
      <c r="F615" s="970"/>
      <c r="G615" s="37"/>
    </row>
    <row r="616" spans="1:7" ht="14.25">
      <c r="A616" s="231"/>
      <c r="B616" s="231"/>
      <c r="C616" s="403"/>
      <c r="D616" s="970"/>
      <c r="E616" s="970"/>
      <c r="F616" s="970"/>
      <c r="G616" s="37"/>
    </row>
    <row r="617" spans="1:7" ht="14.25">
      <c r="A617" s="231"/>
      <c r="B617" s="231"/>
      <c r="C617" s="403"/>
      <c r="D617" s="520"/>
      <c r="E617" s="520"/>
      <c r="F617" s="520"/>
      <c r="G617" s="37"/>
    </row>
    <row r="618" spans="1:7" ht="14.25">
      <c r="A618" s="231"/>
      <c r="B618" s="517" t="s">
        <v>326</v>
      </c>
      <c r="C618" s="403"/>
      <c r="D618" s="970" t="s">
        <v>496</v>
      </c>
      <c r="E618" s="970"/>
      <c r="F618" s="970"/>
      <c r="G618" s="37"/>
    </row>
    <row r="619" spans="1:7" ht="14.25">
      <c r="A619" s="231"/>
      <c r="B619" s="231"/>
      <c r="C619" s="403"/>
      <c r="D619" s="970"/>
      <c r="E619" s="970"/>
      <c r="F619" s="970"/>
      <c r="G619" s="37"/>
    </row>
    <row r="620" spans="1:7" ht="14.25">
      <c r="A620" s="231"/>
      <c r="B620" s="231"/>
      <c r="C620" s="403"/>
      <c r="D620" s="970"/>
      <c r="E620" s="970"/>
      <c r="F620" s="970"/>
      <c r="G620" s="37"/>
    </row>
    <row r="621" spans="1:7" ht="14.25">
      <c r="A621" s="231"/>
      <c r="B621" s="231"/>
      <c r="C621" s="403"/>
      <c r="D621" s="970"/>
      <c r="E621" s="970"/>
      <c r="F621" s="970"/>
      <c r="G621" s="37"/>
    </row>
    <row r="622" spans="1:7" ht="14.25">
      <c r="A622" s="231"/>
      <c r="B622" s="231"/>
      <c r="C622" s="403"/>
      <c r="D622" s="298"/>
      <c r="E622" s="37"/>
      <c r="F622" s="37"/>
      <c r="G622" s="37"/>
    </row>
    <row r="623" spans="1:7" ht="14.25">
      <c r="A623" s="231"/>
      <c r="B623" s="517" t="s">
        <v>324</v>
      </c>
      <c r="C623" s="403"/>
      <c r="D623" s="970" t="s">
        <v>497</v>
      </c>
      <c r="E623" s="970"/>
      <c r="F623" s="970"/>
      <c r="G623" s="37"/>
    </row>
    <row r="624" spans="1:7" ht="14.25">
      <c r="A624" s="231"/>
      <c r="B624" s="231"/>
      <c r="C624" s="403"/>
      <c r="D624" s="970"/>
      <c r="E624" s="970"/>
      <c r="F624" s="970"/>
      <c r="G624" s="37"/>
    </row>
    <row r="625" spans="1:7" ht="14.25">
      <c r="A625" s="231"/>
      <c r="B625" s="231"/>
      <c r="C625" s="403"/>
      <c r="D625" s="298"/>
      <c r="E625" s="37"/>
      <c r="F625" s="37"/>
      <c r="G625" s="37"/>
    </row>
    <row r="626" spans="1:7" ht="14.45" customHeight="1">
      <c r="A626" s="231"/>
      <c r="B626" s="517" t="s">
        <v>326</v>
      </c>
      <c r="C626" s="403"/>
      <c r="D626" s="970" t="s">
        <v>498</v>
      </c>
      <c r="E626" s="970"/>
      <c r="F626" s="970"/>
      <c r="G626" s="37"/>
    </row>
    <row r="627" spans="1:7" ht="14.25">
      <c r="A627" s="231"/>
      <c r="B627" s="231"/>
      <c r="C627" s="403"/>
      <c r="D627" s="970"/>
      <c r="E627" s="970"/>
      <c r="F627" s="970"/>
      <c r="G627" s="37"/>
    </row>
    <row r="628" spans="1:7" ht="14.25">
      <c r="A628" s="231"/>
      <c r="B628" s="231"/>
      <c r="C628" s="403"/>
      <c r="D628" s="298"/>
      <c r="E628" s="37"/>
      <c r="F628" s="37"/>
      <c r="G628" s="37"/>
    </row>
    <row r="629" spans="1:7" ht="14.25">
      <c r="A629" s="231"/>
      <c r="B629" s="517" t="s">
        <v>324</v>
      </c>
      <c r="C629" s="403"/>
      <c r="D629" s="970" t="s">
        <v>499</v>
      </c>
      <c r="E629" s="970"/>
      <c r="F629" s="970"/>
      <c r="G629" s="37"/>
    </row>
    <row r="630" spans="1:7" ht="12.75">
      <c r="A630" s="18"/>
      <c r="B630" s="18"/>
      <c r="C630" s="403"/>
      <c r="D630" s="37"/>
      <c r="E630" s="37"/>
      <c r="F630" s="37"/>
      <c r="G630" s="37"/>
    </row>
    <row r="631" spans="1:7" ht="12.75">
      <c r="A631" s="967" t="s">
        <v>500</v>
      </c>
      <c r="B631" s="967"/>
      <c r="C631" s="967"/>
      <c r="D631" s="967"/>
      <c r="E631" s="967"/>
      <c r="F631" s="967"/>
      <c r="G631" s="967"/>
    </row>
    <row r="632" spans="1:7" ht="12.75">
      <c r="A632" s="56"/>
      <c r="B632" s="56"/>
      <c r="C632" s="403"/>
      <c r="D632" s="37"/>
      <c r="E632" s="37"/>
      <c r="F632" s="37"/>
      <c r="G632" s="37"/>
    </row>
    <row r="633" spans="1:7" ht="12.75">
      <c r="A633" s="403"/>
      <c r="B633" s="403"/>
      <c r="C633" s="166"/>
      <c r="D633" s="975" t="s">
        <v>501</v>
      </c>
      <c r="E633" s="975"/>
      <c r="F633" s="975"/>
      <c r="G633" s="37"/>
    </row>
    <row r="634" spans="1:7" ht="12.75">
      <c r="A634" s="403"/>
      <c r="B634" s="403"/>
      <c r="C634" s="166"/>
      <c r="D634" s="966" t="s">
        <v>502</v>
      </c>
      <c r="E634" s="966"/>
      <c r="F634" s="966"/>
      <c r="G634" s="37"/>
    </row>
    <row r="635" spans="1:7" ht="12.75">
      <c r="A635" s="403"/>
      <c r="B635" s="403"/>
      <c r="C635" s="166"/>
      <c r="D635" s="264"/>
      <c r="E635" s="264"/>
      <c r="F635" s="264"/>
      <c r="G635" s="37"/>
    </row>
    <row r="636" spans="1:7" ht="14.25" customHeight="1">
      <c r="A636" s="231"/>
      <c r="B636" s="517" t="s">
        <v>324</v>
      </c>
      <c r="C636" s="403"/>
      <c r="D636" s="959" t="s">
        <v>503</v>
      </c>
      <c r="E636" s="960"/>
      <c r="F636" s="960"/>
      <c r="G636" s="37"/>
    </row>
    <row r="637" spans="1:7" ht="12.75">
      <c r="A637" s="403"/>
      <c r="B637" s="403"/>
      <c r="C637" s="403"/>
      <c r="D637" s="960"/>
      <c r="E637" s="960"/>
      <c r="F637" s="960"/>
      <c r="G637" s="37"/>
    </row>
    <row r="638" spans="1:7" ht="12.75">
      <c r="A638" s="403"/>
      <c r="B638" s="403"/>
      <c r="C638" s="403"/>
      <c r="D638" s="821"/>
      <c r="E638" s="815" t="s">
        <v>504</v>
      </c>
      <c r="F638" s="821"/>
      <c r="G638" s="37"/>
    </row>
    <row r="639" spans="1:7" ht="12.75">
      <c r="A639" s="403"/>
      <c r="B639" s="403"/>
      <c r="C639" s="403"/>
      <c r="D639" s="821"/>
      <c r="E639" s="815"/>
      <c r="F639" s="821"/>
      <c r="G639" s="37"/>
    </row>
    <row r="640" spans="1:7" ht="12.75">
      <c r="A640" s="403"/>
      <c r="B640" s="517" t="s">
        <v>326</v>
      </c>
      <c r="C640" s="403"/>
      <c r="D640" s="959" t="s">
        <v>505</v>
      </c>
      <c r="E640" s="959"/>
      <c r="F640" s="959"/>
      <c r="G640" s="37"/>
    </row>
    <row r="641" spans="1:7" ht="12.75">
      <c r="A641" s="403"/>
      <c r="B641" s="403"/>
      <c r="C641" s="403"/>
      <c r="D641" s="959"/>
      <c r="E641" s="959"/>
      <c r="F641" s="959"/>
      <c r="G641" s="37"/>
    </row>
    <row r="642" spans="1:7" ht="12.75">
      <c r="A642" s="403"/>
      <c r="B642" s="403"/>
      <c r="C642" s="403"/>
      <c r="D642" s="959"/>
      <c r="E642" s="959"/>
      <c r="F642" s="959"/>
      <c r="G642" s="37"/>
    </row>
    <row r="643" spans="1:7" ht="12.75">
      <c r="A643" s="403"/>
      <c r="B643" s="403"/>
      <c r="C643" s="403"/>
      <c r="D643" s="959"/>
      <c r="E643" s="959"/>
      <c r="F643" s="959"/>
      <c r="G643" s="37"/>
    </row>
    <row r="644" spans="1:7" ht="12.75">
      <c r="A644" s="403"/>
      <c r="B644" s="403"/>
      <c r="C644" s="403"/>
      <c r="D644" s="821"/>
      <c r="E644" s="815"/>
      <c r="F644" s="821"/>
      <c r="G644" s="37"/>
    </row>
    <row r="645" spans="1:7" ht="12.75">
      <c r="A645" s="56"/>
      <c r="B645" s="56"/>
      <c r="C645" s="403"/>
      <c r="D645" s="37"/>
      <c r="E645" s="37"/>
      <c r="F645" s="37"/>
      <c r="G645" s="37"/>
    </row>
    <row r="646" spans="1:7" ht="12" customHeight="1">
      <c r="A646" s="967" t="s">
        <v>506</v>
      </c>
      <c r="B646" s="967"/>
      <c r="C646" s="967"/>
      <c r="D646" s="967"/>
      <c r="E646" s="967"/>
      <c r="F646" s="967"/>
      <c r="G646" s="967"/>
    </row>
    <row r="647" spans="1:7" ht="12.75">
      <c r="A647" s="230"/>
      <c r="B647" s="230"/>
      <c r="C647" s="403"/>
      <c r="D647" s="37"/>
      <c r="E647" s="37"/>
      <c r="F647" s="37"/>
      <c r="G647" s="37"/>
    </row>
    <row r="648" spans="1:7" ht="12.75">
      <c r="A648" s="403"/>
      <c r="B648" s="403"/>
      <c r="C648" s="165"/>
      <c r="D648" s="968" t="s">
        <v>507</v>
      </c>
      <c r="E648" s="968"/>
      <c r="F648" s="968"/>
      <c r="G648" s="37"/>
    </row>
    <row r="649" spans="1:7" ht="12.75">
      <c r="A649" s="166"/>
      <c r="B649" s="166"/>
      <c r="C649" s="166"/>
      <c r="D649" s="963" t="s">
        <v>508</v>
      </c>
      <c r="E649" s="963"/>
      <c r="F649" s="963"/>
      <c r="G649" s="37"/>
    </row>
    <row r="650" spans="1:7" ht="12.75">
      <c r="A650" s="166"/>
      <c r="B650" s="166"/>
      <c r="C650" s="166"/>
      <c r="D650" s="37"/>
      <c r="E650" s="37"/>
      <c r="F650" s="37"/>
      <c r="G650" s="37"/>
    </row>
    <row r="651" spans="1:7" ht="14.25">
      <c r="A651" s="231"/>
      <c r="B651" s="231"/>
      <c r="C651" s="403"/>
      <c r="D651" s="975" t="s">
        <v>509</v>
      </c>
      <c r="E651" s="975"/>
      <c r="F651" s="975"/>
      <c r="G651" s="37"/>
    </row>
    <row r="652" spans="1:7" ht="14.25">
      <c r="A652" s="231"/>
      <c r="B652" s="517" t="s">
        <v>324</v>
      </c>
      <c r="C652" s="403"/>
      <c r="D652" s="966" t="s">
        <v>510</v>
      </c>
      <c r="E652" s="966"/>
      <c r="F652" s="966"/>
      <c r="G652" s="37"/>
    </row>
    <row r="653" spans="1:7" ht="14.25">
      <c r="A653" s="231"/>
      <c r="B653" s="231"/>
      <c r="C653" s="403"/>
      <c r="D653" s="230"/>
      <c r="E653" s="37"/>
      <c r="F653" s="37"/>
      <c r="G653" s="37"/>
    </row>
    <row r="654" spans="1:7" ht="14.25">
      <c r="A654" s="231"/>
      <c r="B654" s="517" t="s">
        <v>326</v>
      </c>
      <c r="C654" s="403"/>
      <c r="D654" s="942" t="s">
        <v>511</v>
      </c>
      <c r="E654" s="942"/>
      <c r="F654" s="942"/>
      <c r="G654" s="37"/>
    </row>
    <row r="655" spans="1:7" ht="14.25">
      <c r="A655" s="231"/>
      <c r="B655" s="231"/>
      <c r="C655" s="403"/>
      <c r="D655" s="942"/>
      <c r="E655" s="942"/>
      <c r="F655" s="942"/>
      <c r="G655" s="37"/>
    </row>
    <row r="656" spans="1:7" ht="14.25">
      <c r="A656" s="231"/>
      <c r="B656" s="231"/>
      <c r="C656" s="403"/>
      <c r="D656" s="230"/>
      <c r="E656" s="37"/>
      <c r="F656" s="37"/>
      <c r="G656" s="37"/>
    </row>
    <row r="657" spans="1:7" ht="14.25">
      <c r="A657" s="231"/>
      <c r="B657" s="517" t="s">
        <v>324</v>
      </c>
      <c r="C657" s="403"/>
      <c r="D657" s="942" t="s">
        <v>512</v>
      </c>
      <c r="E657" s="942"/>
      <c r="F657" s="942"/>
      <c r="G657" s="37"/>
    </row>
    <row r="658" spans="1:7" ht="13.7" customHeight="1">
      <c r="A658" s="403"/>
      <c r="B658" s="403"/>
      <c r="C658" s="403"/>
      <c r="D658" s="942"/>
      <c r="E658" s="942"/>
      <c r="F658" s="942"/>
      <c r="G658" s="37"/>
    </row>
    <row r="659" spans="1:7" ht="12.75">
      <c r="A659" s="403"/>
      <c r="B659" s="403"/>
      <c r="C659" s="403"/>
      <c r="D659" s="37"/>
      <c r="E659" s="37"/>
      <c r="F659" s="37"/>
      <c r="G659" s="37"/>
    </row>
    <row r="660" spans="1:7" ht="14.25">
      <c r="A660" s="231"/>
      <c r="B660" s="517" t="s">
        <v>326</v>
      </c>
      <c r="C660" s="403"/>
      <c r="D660" s="966" t="s">
        <v>513</v>
      </c>
      <c r="E660" s="966"/>
      <c r="F660" s="966"/>
      <c r="G660" s="37"/>
    </row>
    <row r="661" spans="1:7" ht="12.75">
      <c r="A661" s="165"/>
      <c r="B661" s="165"/>
      <c r="C661" s="165"/>
      <c r="D661" s="37"/>
      <c r="E661" s="37"/>
      <c r="F661" s="37"/>
      <c r="G661" s="37"/>
    </row>
    <row r="662" spans="1:7" ht="12.75">
      <c r="A662" s="967" t="s">
        <v>514</v>
      </c>
      <c r="B662" s="967"/>
      <c r="C662" s="967"/>
      <c r="D662" s="967"/>
      <c r="E662" s="967"/>
      <c r="F662" s="967"/>
      <c r="G662" s="967"/>
    </row>
    <row r="663" spans="1:7" ht="12.75">
      <c r="A663" s="165"/>
      <c r="B663" s="165"/>
      <c r="C663" s="165"/>
      <c r="D663" s="37"/>
      <c r="E663" s="37"/>
      <c r="F663" s="37"/>
      <c r="G663" s="37"/>
    </row>
    <row r="664" spans="1:7" ht="12.75">
      <c r="A664" s="403"/>
      <c r="B664" s="403"/>
      <c r="C664" s="18"/>
      <c r="D664" s="1004" t="s">
        <v>515</v>
      </c>
      <c r="E664" s="1004"/>
      <c r="F664" s="1004"/>
      <c r="G664" s="37"/>
    </row>
    <row r="665" spans="1:7" ht="12.75">
      <c r="A665" s="18"/>
      <c r="B665" s="18"/>
      <c r="C665" s="403"/>
      <c r="D665" s="3"/>
      <c r="E665" s="37"/>
      <c r="F665" s="37"/>
      <c r="G665" s="37"/>
    </row>
    <row r="666" spans="1:7" ht="14.25" customHeight="1">
      <c r="A666" s="231"/>
      <c r="B666" s="517" t="s">
        <v>324</v>
      </c>
      <c r="C666" s="403"/>
      <c r="D666" s="959" t="s">
        <v>516</v>
      </c>
      <c r="E666" s="959"/>
      <c r="F666" s="959"/>
      <c r="G666" s="37"/>
    </row>
    <row r="667" spans="1:7" ht="14.25">
      <c r="A667" s="231"/>
      <c r="B667" s="231"/>
      <c r="C667" s="403"/>
      <c r="D667" s="959"/>
      <c r="E667" s="959"/>
      <c r="F667" s="959"/>
      <c r="G667" s="37"/>
    </row>
    <row r="668" spans="1:7" ht="12.75">
      <c r="A668" s="403"/>
      <c r="B668" s="403"/>
      <c r="C668" s="403"/>
      <c r="D668" s="821"/>
      <c r="E668" s="815" t="s">
        <v>517</v>
      </c>
      <c r="F668" s="821"/>
      <c r="G668" s="37"/>
    </row>
    <row r="669" spans="1:7" ht="12.75">
      <c r="A669" s="403"/>
      <c r="B669" s="403"/>
      <c r="C669" s="403"/>
      <c r="D669" s="948" t="s">
        <v>518</v>
      </c>
      <c r="E669" s="948"/>
      <c r="F669" s="948"/>
      <c r="G669" s="37"/>
    </row>
    <row r="670" spans="1:7" ht="12.75" customHeight="1">
      <c r="A670" s="403"/>
      <c r="B670" s="403"/>
      <c r="C670" s="403"/>
      <c r="D670" s="948"/>
      <c r="E670" s="948"/>
      <c r="F670" s="948"/>
      <c r="G670" s="37"/>
    </row>
    <row r="671" spans="1:7" ht="12.75">
      <c r="A671" s="403"/>
      <c r="B671"/>
      <c r="C671" s="403"/>
      <c r="D671" s="948"/>
      <c r="E671" s="948"/>
      <c r="F671" s="948"/>
      <c r="G671" s="37"/>
    </row>
    <row r="672" spans="1:7" ht="12.75">
      <c r="A672" s="403"/>
      <c r="B672" s="403"/>
      <c r="C672" s="403"/>
      <c r="D672" s="37"/>
      <c r="E672" s="37"/>
      <c r="F672" s="37"/>
      <c r="G672" s="37"/>
    </row>
    <row r="673" spans="1:9" ht="14.25">
      <c r="A673" s="257"/>
      <c r="B673" s="517" t="s">
        <v>326</v>
      </c>
      <c r="C673" s="403"/>
      <c r="D673" s="1005" t="s">
        <v>519</v>
      </c>
      <c r="E673" s="1005"/>
      <c r="F673" s="1005"/>
      <c r="G673" s="230"/>
    </row>
    <row r="674" spans="1:9" ht="14.25">
      <c r="A674" s="257"/>
      <c r="B674" s="257"/>
      <c r="C674" s="403"/>
      <c r="D674" s="1005"/>
      <c r="E674" s="1005"/>
      <c r="F674" s="1005"/>
      <c r="G674" s="230"/>
    </row>
    <row r="675" spans="1:9" ht="14.25">
      <c r="A675" s="257"/>
      <c r="B675" s="257"/>
      <c r="C675" s="403"/>
      <c r="D675" s="230"/>
      <c r="E675" s="230"/>
      <c r="F675" s="230"/>
      <c r="G675" s="230"/>
    </row>
    <row r="676" spans="1:9" ht="13.7" customHeight="1">
      <c r="A676" s="257"/>
      <c r="B676" s="517" t="s">
        <v>326</v>
      </c>
      <c r="C676" s="403"/>
      <c r="D676" s="976" t="s">
        <v>520</v>
      </c>
      <c r="E676" s="976"/>
      <c r="F676" s="976"/>
      <c r="G676" s="230"/>
    </row>
    <row r="677" spans="1:9" ht="14.25">
      <c r="A677" s="257"/>
      <c r="B677" s="257"/>
      <c r="C677" s="403"/>
      <c r="D677" s="976"/>
      <c r="E677" s="976"/>
      <c r="F677" s="976"/>
      <c r="G677" s="230"/>
    </row>
    <row r="678" spans="1:9" ht="14.25">
      <c r="A678" s="231"/>
      <c r="B678" s="231"/>
      <c r="C678" s="403"/>
      <c r="D678" s="533"/>
      <c r="E678" s="533"/>
      <c r="F678" s="533"/>
      <c r="G678" s="230"/>
    </row>
    <row r="679" spans="1:9" ht="14.25">
      <c r="A679" s="231"/>
      <c r="B679" s="517" t="s">
        <v>326</v>
      </c>
      <c r="C679" s="874"/>
      <c r="D679" s="1006" t="s">
        <v>521</v>
      </c>
      <c r="E679" s="1006"/>
      <c r="F679" s="1006"/>
      <c r="G679" s="230"/>
    </row>
    <row r="680" spans="1:9" ht="12.75">
      <c r="A680" s="230"/>
      <c r="B680" s="230"/>
      <c r="C680" s="874"/>
      <c r="D680" s="230"/>
      <c r="E680" s="230"/>
      <c r="F680" s="230"/>
      <c r="G680" s="230"/>
      <c r="H680" s="227"/>
      <c r="I680" s="227"/>
    </row>
    <row r="681" spans="1:9" ht="12.75">
      <c r="A681" s="967" t="s">
        <v>522</v>
      </c>
      <c r="B681" s="967"/>
      <c r="C681" s="967"/>
      <c r="D681" s="967"/>
      <c r="E681" s="967"/>
      <c r="F681" s="967"/>
      <c r="G681" s="967"/>
    </row>
    <row r="682" spans="1:9" ht="12.75">
      <c r="A682" s="230"/>
      <c r="B682" s="230"/>
      <c r="C682" s="874"/>
      <c r="D682" s="230"/>
      <c r="E682" s="230"/>
      <c r="F682" s="230"/>
      <c r="G682" s="230"/>
    </row>
    <row r="683" spans="1:9" ht="12.75">
      <c r="A683" s="403"/>
      <c r="B683" s="403"/>
      <c r="C683" s="165"/>
      <c r="D683" s="968" t="s">
        <v>523</v>
      </c>
      <c r="E683" s="968"/>
      <c r="F683" s="968"/>
      <c r="G683" s="230"/>
    </row>
    <row r="684" spans="1:9" ht="12.75">
      <c r="A684" s="166"/>
      <c r="B684" s="166"/>
      <c r="C684" s="166"/>
      <c r="D684" s="963" t="s">
        <v>524</v>
      </c>
      <c r="E684" s="963"/>
      <c r="F684" s="963"/>
      <c r="G684" s="230"/>
    </row>
    <row r="685" spans="1:9" ht="12.75">
      <c r="A685" s="166"/>
      <c r="B685" s="166"/>
      <c r="C685" s="166"/>
      <c r="D685" s="230"/>
      <c r="E685" s="230"/>
      <c r="F685" s="230"/>
      <c r="G685" s="230"/>
    </row>
    <row r="686" spans="1:9" ht="14.45" customHeight="1">
      <c r="A686" s="231"/>
      <c r="B686" s="517" t="s">
        <v>324</v>
      </c>
      <c r="C686" s="874"/>
      <c r="D686" s="942" t="s">
        <v>525</v>
      </c>
      <c r="E686" s="942"/>
      <c r="F686" s="942"/>
      <c r="G686" s="230"/>
    </row>
    <row r="687" spans="1:9" ht="14.25">
      <c r="A687" s="231"/>
      <c r="B687" s="231"/>
      <c r="C687" s="874"/>
      <c r="D687" s="942"/>
      <c r="E687" s="942"/>
      <c r="F687" s="942"/>
      <c r="G687" s="230"/>
    </row>
    <row r="688" spans="1:9" ht="14.25">
      <c r="A688" s="231"/>
      <c r="B688" s="231"/>
      <c r="C688" s="874"/>
      <c r="D688" s="942"/>
      <c r="E688" s="942"/>
      <c r="F688" s="942"/>
      <c r="G688" s="230"/>
    </row>
    <row r="689" spans="1:7" ht="14.25">
      <c r="A689" s="231"/>
      <c r="B689" s="231"/>
      <c r="C689" s="874"/>
      <c r="D689" s="942"/>
      <c r="E689" s="942"/>
      <c r="F689" s="942"/>
      <c r="G689" s="230"/>
    </row>
    <row r="690" spans="1:7" ht="14.25">
      <c r="A690" s="231"/>
      <c r="B690" s="231"/>
      <c r="C690" s="874"/>
      <c r="D690" s="942"/>
      <c r="E690" s="942"/>
      <c r="F690" s="942"/>
      <c r="G690" s="230"/>
    </row>
    <row r="691" spans="1:7" ht="14.25">
      <c r="A691" s="231"/>
      <c r="B691" s="231"/>
      <c r="C691" s="874"/>
      <c r="D691" s="942"/>
      <c r="E691" s="942"/>
      <c r="F691" s="942"/>
      <c r="G691" s="230"/>
    </row>
    <row r="692" spans="1:7" ht="14.25" hidden="1">
      <c r="A692" s="231"/>
      <c r="B692" s="231"/>
      <c r="C692" s="874"/>
      <c r="D692" s="298"/>
      <c r="E692" s="37"/>
      <c r="F692" s="230"/>
      <c r="G692" s="230"/>
    </row>
    <row r="693" spans="1:7" ht="14.25" hidden="1">
      <c r="A693" s="231"/>
      <c r="B693" s="517" t="s">
        <v>321</v>
      </c>
      <c r="C693" s="874"/>
      <c r="D693" s="993" t="s">
        <v>526</v>
      </c>
      <c r="E693" s="993"/>
      <c r="F693" s="993"/>
      <c r="G693" s="230"/>
    </row>
    <row r="694" spans="1:7" ht="14.25" hidden="1">
      <c r="A694" s="231"/>
      <c r="B694" s="231"/>
      <c r="C694" s="874"/>
      <c r="D694" s="981" t="s">
        <v>527</v>
      </c>
      <c r="E694" s="981"/>
      <c r="F694" s="981"/>
      <c r="G694" s="230"/>
    </row>
    <row r="695" spans="1:7" ht="14.25" hidden="1">
      <c r="A695" s="231"/>
      <c r="B695" s="231"/>
      <c r="C695" s="874"/>
      <c r="D695" s="981"/>
      <c r="E695" s="981"/>
      <c r="F695" s="981"/>
      <c r="G695" s="230"/>
    </row>
    <row r="696" spans="1:7" ht="14.25" hidden="1">
      <c r="A696" s="231"/>
      <c r="B696" s="231"/>
      <c r="C696" s="874"/>
      <c r="D696" s="981"/>
      <c r="E696" s="981"/>
      <c r="F696" s="981"/>
      <c r="G696" s="230"/>
    </row>
    <row r="697" spans="1:7" ht="14.25" hidden="1">
      <c r="A697" s="231"/>
      <c r="B697" s="231"/>
      <c r="C697" s="874"/>
      <c r="D697" s="981"/>
      <c r="E697" s="981"/>
      <c r="F697" s="981"/>
      <c r="G697" s="230"/>
    </row>
    <row r="698" spans="1:7" ht="14.25" hidden="1">
      <c r="A698" s="231"/>
      <c r="B698" s="231"/>
      <c r="C698" s="874"/>
      <c r="D698" s="981"/>
      <c r="E698" s="981"/>
      <c r="F698" s="981"/>
      <c r="G698" s="230"/>
    </row>
    <row r="699" spans="1:7" ht="14.25" hidden="1">
      <c r="A699" s="231"/>
      <c r="B699" s="231"/>
      <c r="C699" s="874"/>
      <c r="D699" s="1007" t="s">
        <v>528</v>
      </c>
      <c r="E699" s="1007"/>
      <c r="F699" s="1007"/>
      <c r="G699" s="230"/>
    </row>
    <row r="700" spans="1:7" ht="12.75">
      <c r="A700" s="230"/>
      <c r="B700" s="230"/>
      <c r="C700" s="874"/>
      <c r="D700" s="230"/>
      <c r="E700" s="230"/>
      <c r="F700" s="230"/>
      <c r="G700" s="230"/>
    </row>
    <row r="701" spans="1:7" ht="12.75">
      <c r="A701" s="967" t="s">
        <v>529</v>
      </c>
      <c r="B701" s="967"/>
      <c r="C701" s="967"/>
      <c r="D701" s="967"/>
      <c r="E701" s="967"/>
      <c r="F701" s="967"/>
      <c r="G701" s="967"/>
    </row>
    <row r="702" spans="1:7" ht="12.75">
      <c r="A702" s="230"/>
      <c r="B702" s="230"/>
      <c r="C702" s="874"/>
      <c r="D702" s="230"/>
      <c r="E702" s="230"/>
      <c r="F702" s="230"/>
      <c r="G702" s="230"/>
    </row>
    <row r="703" spans="1:7" ht="12.75">
      <c r="A703" s="403"/>
      <c r="B703" s="403"/>
      <c r="C703" s="165"/>
      <c r="D703" s="968" t="s">
        <v>530</v>
      </c>
      <c r="E703" s="968"/>
      <c r="F703" s="968"/>
      <c r="G703" s="230"/>
    </row>
    <row r="704" spans="1:7" ht="12.75">
      <c r="A704" s="165"/>
      <c r="B704" s="165"/>
      <c r="C704" s="165"/>
      <c r="D704" s="968" t="s">
        <v>531</v>
      </c>
      <c r="E704" s="968"/>
      <c r="F704" s="968"/>
      <c r="G704" s="230"/>
    </row>
    <row r="705" spans="1:6" ht="12.75">
      <c r="A705" s="166"/>
      <c r="B705" s="166"/>
      <c r="C705" s="166"/>
      <c r="D705" s="963" t="s">
        <v>532</v>
      </c>
      <c r="E705" s="963"/>
      <c r="F705" s="963"/>
    </row>
    <row r="706" spans="1:6" ht="14.25" customHeight="1">
      <c r="A706" s="166"/>
      <c r="B706" s="166"/>
      <c r="C706" s="166"/>
      <c r="D706" s="37"/>
      <c r="E706" s="37"/>
      <c r="F706" s="37"/>
    </row>
    <row r="707" spans="1:6" ht="14.25">
      <c r="A707" s="231"/>
      <c r="B707" s="517" t="s">
        <v>324</v>
      </c>
      <c r="C707" s="166"/>
      <c r="D707" s="963" t="s">
        <v>533</v>
      </c>
      <c r="E707" s="963"/>
      <c r="F707" s="963"/>
    </row>
    <row r="708" spans="1:6" ht="12.75">
      <c r="A708" s="166"/>
      <c r="B708" s="166"/>
      <c r="C708" s="166"/>
      <c r="D708" s="963" t="s">
        <v>534</v>
      </c>
      <c r="E708" s="963"/>
      <c r="F708" s="963"/>
    </row>
    <row r="709" spans="1:6" ht="12.75" customHeight="1">
      <c r="A709" s="166"/>
      <c r="B709" s="166"/>
      <c r="C709" s="166"/>
      <c r="D709" s="37"/>
      <c r="E709" s="815" t="s">
        <v>535</v>
      </c>
      <c r="F709" s="15"/>
    </row>
    <row r="710" spans="1:6" ht="12.75">
      <c r="A710" s="166"/>
      <c r="B710" s="166"/>
      <c r="C710" s="166"/>
      <c r="D710" s="37"/>
      <c r="E710" s="814" t="s">
        <v>536</v>
      </c>
      <c r="F710" s="15"/>
    </row>
    <row r="711" spans="1:6" ht="12.75">
      <c r="A711" s="166"/>
      <c r="B711" s="166"/>
      <c r="C711" s="166"/>
      <c r="D711" s="872"/>
      <c r="E711" s="872"/>
      <c r="F711" s="872"/>
    </row>
    <row r="712" spans="1:6" ht="14.25">
      <c r="A712" s="231"/>
      <c r="B712" s="517" t="s">
        <v>326</v>
      </c>
      <c r="C712" s="166"/>
      <c r="D712" s="942" t="s">
        <v>537</v>
      </c>
      <c r="E712" s="942"/>
      <c r="F712" s="942"/>
    </row>
    <row r="713" spans="1:6" ht="12.75">
      <c r="A713" s="18"/>
      <c r="B713" s="18"/>
      <c r="C713" s="166"/>
      <c r="D713" s="942"/>
      <c r="E713" s="942"/>
      <c r="F713" s="942"/>
    </row>
    <row r="714" spans="1:6" ht="12.75">
      <c r="A714" s="166"/>
      <c r="B714" s="166"/>
      <c r="C714" s="166"/>
      <c r="D714" s="942"/>
      <c r="E714" s="942"/>
      <c r="F714" s="942"/>
    </row>
    <row r="715" spans="1:6" ht="12.75">
      <c r="A715" s="166"/>
      <c r="B715" s="166"/>
      <c r="C715" s="166"/>
      <c r="D715" s="37"/>
      <c r="E715" s="37"/>
      <c r="F715" s="37"/>
    </row>
    <row r="716" spans="1:6" ht="14.25">
      <c r="A716" s="231"/>
      <c r="B716" s="517" t="s">
        <v>324</v>
      </c>
      <c r="C716" s="166"/>
      <c r="D716" s="963" t="s">
        <v>538</v>
      </c>
      <c r="E716" s="963"/>
      <c r="F716" s="963"/>
    </row>
    <row r="717" spans="1:6" ht="14.25">
      <c r="A717" s="231"/>
      <c r="B717" s="231"/>
      <c r="C717" s="166"/>
      <c r="D717" s="963" t="s">
        <v>534</v>
      </c>
      <c r="E717" s="963"/>
      <c r="F717" s="963"/>
    </row>
    <row r="718" spans="1:6" ht="12.75">
      <c r="A718" s="166"/>
      <c r="B718" s="166"/>
      <c r="C718" s="166"/>
      <c r="D718" s="37"/>
      <c r="E718" s="978" t="s">
        <v>539</v>
      </c>
      <c r="F718" s="978"/>
    </row>
    <row r="719" spans="1:6" ht="12.75">
      <c r="A719" s="166"/>
      <c r="B719" s="166"/>
      <c r="C719" s="166"/>
      <c r="D719" s="3"/>
      <c r="E719" s="37"/>
      <c r="F719" s="37"/>
    </row>
    <row r="720" spans="1:6" ht="14.25">
      <c r="A720" s="231"/>
      <c r="B720" s="517" t="s">
        <v>324</v>
      </c>
      <c r="C720" s="166"/>
      <c r="D720" s="942" t="s">
        <v>540</v>
      </c>
      <c r="E720" s="942"/>
      <c r="F720" s="942"/>
    </row>
    <row r="721" spans="1:6" ht="12.75">
      <c r="A721" s="166"/>
      <c r="B721" s="166"/>
      <c r="C721" s="166"/>
      <c r="D721" s="942"/>
      <c r="E721" s="942"/>
      <c r="F721" s="942"/>
    </row>
    <row r="722" spans="1:6" ht="12.75">
      <c r="A722" s="166"/>
      <c r="B722" s="166"/>
      <c r="C722" s="166"/>
      <c r="D722" s="942"/>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517" t="s">
        <v>324</v>
      </c>
      <c r="C727" s="166"/>
      <c r="D727" s="942" t="s">
        <v>541</v>
      </c>
      <c r="E727" s="942"/>
      <c r="F727" s="942"/>
    </row>
    <row r="728" spans="1:6" ht="12.75">
      <c r="A728" s="166"/>
      <c r="B728" s="166"/>
      <c r="C728" s="166"/>
      <c r="D728" s="942"/>
      <c r="E728" s="942"/>
      <c r="F728" s="942"/>
    </row>
    <row r="729" spans="1:6" ht="12.75">
      <c r="A729" s="166"/>
      <c r="B729" s="166"/>
      <c r="C729" s="166"/>
      <c r="D729" s="37"/>
      <c r="E729" s="37"/>
      <c r="F729" s="37"/>
    </row>
    <row r="730" spans="1:6" ht="14.45" customHeight="1">
      <c r="A730" s="231"/>
      <c r="B730" s="517" t="s">
        <v>326</v>
      </c>
      <c r="C730" s="166"/>
      <c r="D730" s="942" t="s">
        <v>542</v>
      </c>
      <c r="E730" s="942"/>
      <c r="F730" s="942"/>
    </row>
    <row r="731" spans="1:6" ht="12.75">
      <c r="A731" s="166"/>
      <c r="B731" s="166"/>
      <c r="C731" s="166"/>
      <c r="D731" s="942"/>
      <c r="E731" s="942"/>
      <c r="F731" s="942"/>
    </row>
    <row r="732" spans="1:6" ht="12.75">
      <c r="A732" s="166"/>
      <c r="B732" s="166"/>
      <c r="C732" s="166"/>
      <c r="D732" s="942"/>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517" t="s">
        <v>326</v>
      </c>
      <c r="C743" s="166"/>
      <c r="D743" s="942" t="s">
        <v>543</v>
      </c>
      <c r="E743" s="942"/>
      <c r="F743" s="942"/>
      <c r="G743" s="37"/>
      <c r="H743" s="227"/>
      <c r="I743" s="227"/>
    </row>
    <row r="744" spans="1:9" ht="12.75">
      <c r="A744" s="166"/>
      <c r="B744" s="166"/>
      <c r="C744" s="166"/>
      <c r="D744" s="942"/>
      <c r="E744" s="942"/>
      <c r="F744" s="942"/>
      <c r="G744" s="37"/>
      <c r="H744" s="227"/>
      <c r="I744" s="227"/>
    </row>
    <row r="745" spans="1:9" ht="12.75">
      <c r="A745" s="166"/>
      <c r="B745" s="166"/>
      <c r="C745" s="166"/>
      <c r="D745" s="176"/>
      <c r="E745" s="176"/>
      <c r="F745" s="176"/>
      <c r="G745" s="37"/>
      <c r="H745" s="227"/>
      <c r="I745" s="227"/>
    </row>
    <row r="746" spans="1:9" ht="12.75">
      <c r="A746" s="166"/>
      <c r="B746" s="517" t="s">
        <v>326</v>
      </c>
      <c r="C746" s="166"/>
      <c r="D746" s="942" t="s">
        <v>544</v>
      </c>
      <c r="E746" s="942"/>
      <c r="F746" s="942"/>
      <c r="G746" s="37"/>
      <c r="H746" s="227"/>
      <c r="I746" s="227"/>
    </row>
    <row r="747" spans="1:9" ht="12.75">
      <c r="A747" s="166"/>
      <c r="B747" s="166"/>
      <c r="C747" s="166"/>
      <c r="D747" s="942"/>
      <c r="E747" s="942"/>
      <c r="F747" s="942"/>
      <c r="G747" s="37"/>
      <c r="H747" s="227"/>
      <c r="I747" s="227"/>
    </row>
    <row r="748" spans="1:9" ht="12.75">
      <c r="A748" s="166"/>
      <c r="B748" s="166"/>
      <c r="C748" s="166"/>
      <c r="D748" s="942"/>
      <c r="E748" s="942"/>
      <c r="F748" s="942"/>
      <c r="G748" s="37"/>
      <c r="H748" s="227"/>
      <c r="I748" s="227"/>
    </row>
    <row r="749" spans="1:9" ht="12.75">
      <c r="A749" s="166"/>
      <c r="B749" s="166"/>
      <c r="C749" s="166"/>
      <c r="D749" s="176"/>
      <c r="E749" s="176"/>
      <c r="F749" s="176"/>
      <c r="G749" s="37"/>
      <c r="H749" s="227"/>
      <c r="I749" s="227"/>
    </row>
    <row r="750" spans="1:9" ht="14.45" customHeight="1">
      <c r="A750" s="231"/>
      <c r="B750" s="517" t="s">
        <v>326</v>
      </c>
      <c r="C750" s="166"/>
      <c r="D750" s="942" t="s">
        <v>545</v>
      </c>
      <c r="E750" s="942"/>
      <c r="F750" s="942"/>
      <c r="G750" s="37"/>
    </row>
    <row r="751" spans="1:9" ht="12.75">
      <c r="A751" s="166"/>
      <c r="B751" s="166"/>
      <c r="C751" s="166"/>
      <c r="D751" s="942"/>
      <c r="E751" s="942"/>
      <c r="F751" s="942"/>
      <c r="G751" s="37"/>
    </row>
    <row r="752" spans="1:9" ht="12.75">
      <c r="A752" s="166"/>
      <c r="B752" s="166"/>
      <c r="C752" s="166"/>
      <c r="D752" s="942"/>
      <c r="E752" s="942"/>
      <c r="F752" s="942"/>
      <c r="G752" s="37"/>
    </row>
    <row r="753" spans="1:9" ht="12.75">
      <c r="A753" s="166"/>
      <c r="B753" s="166"/>
      <c r="C753" s="166"/>
      <c r="D753" s="37"/>
      <c r="E753" s="37"/>
      <c r="F753" s="37"/>
      <c r="G753" s="37"/>
    </row>
    <row r="754" spans="1:9" ht="14.45" customHeight="1">
      <c r="A754" s="231"/>
      <c r="B754" s="517" t="s">
        <v>326</v>
      </c>
      <c r="C754" s="166"/>
      <c r="D754" s="942" t="s">
        <v>546</v>
      </c>
      <c r="E754" s="942"/>
      <c r="F754" s="942"/>
      <c r="G754" s="37"/>
    </row>
    <row r="755" spans="1:9" ht="12.75">
      <c r="A755" s="166"/>
      <c r="B755" s="166"/>
      <c r="C755" s="166"/>
      <c r="D755" s="942"/>
      <c r="E755" s="942"/>
      <c r="F755" s="942"/>
      <c r="G755" s="37"/>
    </row>
    <row r="756" spans="1:9" ht="12.75">
      <c r="A756" s="166"/>
      <c r="B756" s="166"/>
      <c r="C756" s="166"/>
      <c r="D756" s="942"/>
      <c r="E756" s="942"/>
      <c r="F756" s="942"/>
      <c r="G756" s="37"/>
    </row>
    <row r="757" spans="1:9" ht="12.75">
      <c r="A757" s="166"/>
      <c r="B757" s="166"/>
      <c r="C757" s="166"/>
      <c r="D757" s="872"/>
      <c r="E757" s="37"/>
      <c r="F757" s="37"/>
      <c r="G757" s="37"/>
      <c r="H757" s="227"/>
      <c r="I757" s="227"/>
    </row>
    <row r="758" spans="1:9" ht="14.25">
      <c r="A758" s="231"/>
      <c r="B758" s="517" t="s">
        <v>326</v>
      </c>
      <c r="C758" s="166"/>
      <c r="D758" s="942" t="s">
        <v>547</v>
      </c>
      <c r="E758" s="942"/>
      <c r="F758" s="942"/>
      <c r="G758" s="37"/>
    </row>
    <row r="759" spans="1:9" ht="12.75">
      <c r="A759" s="166"/>
      <c r="B759" s="166"/>
      <c r="C759" s="166"/>
      <c r="D759" s="942"/>
      <c r="E759" s="942"/>
      <c r="F759" s="942"/>
      <c r="G759" s="37"/>
    </row>
    <row r="760" spans="1:9" ht="12.75">
      <c r="A760" s="166"/>
      <c r="B760" s="166"/>
      <c r="C760" s="166"/>
      <c r="D760" s="942"/>
      <c r="E760" s="942"/>
      <c r="F760" s="942"/>
      <c r="G760" s="37"/>
    </row>
    <row r="761" spans="1:9" ht="12.75">
      <c r="A761" s="166"/>
      <c r="B761" s="166"/>
      <c r="C761" s="166"/>
      <c r="D761" s="942"/>
      <c r="E761" s="942"/>
      <c r="F761" s="942"/>
      <c r="G761" s="37"/>
    </row>
    <row r="762" spans="1:9" ht="12.75">
      <c r="A762" s="166"/>
      <c r="B762" s="166"/>
      <c r="C762" s="166"/>
      <c r="D762" s="176"/>
      <c r="E762" s="176"/>
      <c r="F762" s="176"/>
      <c r="G762" s="37"/>
    </row>
    <row r="763" spans="1:9" ht="14.25">
      <c r="A763" s="231"/>
      <c r="B763" s="517" t="s">
        <v>326</v>
      </c>
      <c r="C763" s="166"/>
      <c r="D763" s="942" t="s">
        <v>548</v>
      </c>
      <c r="E763" s="942"/>
      <c r="F763" s="942"/>
      <c r="G763" s="37"/>
      <c r="H763" s="227"/>
      <c r="I763" s="227"/>
    </row>
    <row r="764" spans="1:9" ht="12.75">
      <c r="A764" s="166"/>
      <c r="B764" s="166"/>
      <c r="C764" s="166"/>
      <c r="D764" s="942"/>
      <c r="E764" s="942"/>
      <c r="F764" s="942"/>
      <c r="G764" s="37"/>
      <c r="H764" s="227"/>
      <c r="I764" s="227"/>
    </row>
    <row r="765" spans="1:9" ht="12.75">
      <c r="A765" s="166"/>
      <c r="B765" s="166"/>
      <c r="C765" s="166"/>
      <c r="D765" s="942"/>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1002" t="s">
        <v>549</v>
      </c>
      <c r="E770" s="1002"/>
      <c r="F770" s="1002"/>
      <c r="G770" s="37"/>
      <c r="H770" s="227"/>
      <c r="I770" s="227"/>
    </row>
    <row r="771" spans="1:9" ht="12.75">
      <c r="A771" s="166"/>
      <c r="B771" s="166"/>
      <c r="C771" s="166"/>
      <c r="D771" s="469"/>
      <c r="E771" s="37"/>
      <c r="F771" s="37"/>
      <c r="G771" s="37"/>
      <c r="H771" s="227"/>
      <c r="I771" s="227"/>
    </row>
    <row r="772" spans="1:9" ht="12.75">
      <c r="A772" s="986" t="s">
        <v>550</v>
      </c>
      <c r="B772" s="986"/>
      <c r="C772" s="986"/>
      <c r="D772" s="986"/>
      <c r="E772" s="986"/>
      <c r="F772" s="986"/>
      <c r="G772" s="986"/>
      <c r="H772" s="227"/>
      <c r="I772" s="227"/>
    </row>
    <row r="773" spans="1:9" ht="12.75">
      <c r="A773" s="166"/>
      <c r="B773" s="166"/>
      <c r="C773" s="166"/>
      <c r="D773" s="872"/>
      <c r="E773" s="37"/>
      <c r="F773" s="37"/>
      <c r="G773" s="37"/>
      <c r="H773" s="227"/>
      <c r="I773" s="227"/>
    </row>
    <row r="774" spans="1:9" ht="12.75">
      <c r="A774" s="403"/>
      <c r="B774" s="403"/>
      <c r="C774" s="166"/>
      <c r="D774" s="969" t="s">
        <v>551</v>
      </c>
      <c r="E774" s="969"/>
      <c r="F774" s="969"/>
      <c r="G774" s="37"/>
      <c r="H774" s="227"/>
      <c r="I774" s="227"/>
    </row>
    <row r="775" spans="1:9" ht="12.75">
      <c r="A775" s="165"/>
      <c r="B775" s="165"/>
      <c r="C775" s="165"/>
      <c r="D775" s="966" t="s">
        <v>552</v>
      </c>
      <c r="E775" s="966"/>
      <c r="F775" s="966"/>
      <c r="G775" s="37"/>
      <c r="H775" s="227"/>
      <c r="I775" s="227"/>
    </row>
    <row r="776" spans="1:9" ht="12.75">
      <c r="A776" s="166"/>
      <c r="B776" s="166"/>
      <c r="C776" s="166"/>
      <c r="D776" s="37"/>
      <c r="E776" s="37"/>
      <c r="F776" s="37"/>
      <c r="G776" s="37"/>
      <c r="H776" s="227"/>
      <c r="I776" s="227"/>
    </row>
    <row r="777" spans="1:9" ht="14.25" customHeight="1">
      <c r="A777" s="231"/>
      <c r="B777" s="517" t="s">
        <v>324</v>
      </c>
      <c r="C777" s="403"/>
      <c r="D777" s="942" t="s">
        <v>553</v>
      </c>
      <c r="E777" s="942"/>
      <c r="F777" s="942"/>
      <c r="G777" s="37"/>
      <c r="H777" s="227"/>
      <c r="I777" s="227"/>
    </row>
    <row r="778" spans="1:9" ht="11.25" customHeight="1">
      <c r="A778" s="403"/>
      <c r="B778" s="403"/>
      <c r="C778" s="403"/>
      <c r="D778" s="942"/>
      <c r="E778" s="942"/>
      <c r="F778" s="942"/>
      <c r="G778" s="37"/>
      <c r="H778" s="227"/>
      <c r="I778" s="227"/>
    </row>
    <row r="779" spans="1:9" ht="12.75">
      <c r="A779" s="403"/>
      <c r="B779" s="403"/>
      <c r="C779" s="403"/>
      <c r="D779" s="942"/>
      <c r="E779" s="942"/>
      <c r="F779" s="942"/>
      <c r="G779" s="37"/>
      <c r="H779" s="227"/>
      <c r="I779" s="227"/>
    </row>
    <row r="780" spans="1:9" ht="12.75">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7.25" customHeight="1">
      <c r="A782" s="403"/>
      <c r="B782" s="403"/>
      <c r="C782" s="403"/>
      <c r="D782" s="942"/>
      <c r="E782" s="942"/>
      <c r="F782" s="942"/>
      <c r="G782" s="37"/>
      <c r="H782" s="227"/>
      <c r="I782" s="227"/>
    </row>
    <row r="783" spans="1:9" ht="12.75">
      <c r="A783" s="403"/>
      <c r="B783" s="403"/>
      <c r="C783" s="403"/>
      <c r="D783" s="230"/>
      <c r="E783" s="230"/>
      <c r="F783" s="230"/>
      <c r="G783" s="37"/>
      <c r="H783" s="227"/>
      <c r="I783" s="227"/>
    </row>
    <row r="784" spans="1:9" ht="12.75" customHeight="1">
      <c r="A784" s="403"/>
      <c r="B784" s="517" t="s">
        <v>324</v>
      </c>
      <c r="C784" s="403"/>
      <c r="D784" s="976" t="s">
        <v>554</v>
      </c>
      <c r="E784" s="976"/>
      <c r="F784" s="976"/>
      <c r="G784" s="37"/>
      <c r="H784" s="227"/>
      <c r="I784" s="227"/>
    </row>
    <row r="785" spans="1:9" ht="12.75">
      <c r="A785" s="403"/>
      <c r="B785" s="403"/>
      <c r="C785" s="403"/>
      <c r="D785" s="976"/>
      <c r="E785" s="976"/>
      <c r="F785" s="976"/>
      <c r="G785" s="37"/>
      <c r="H785" s="227"/>
      <c r="I785" s="227"/>
    </row>
    <row r="786" spans="1:9" ht="12.75">
      <c r="A786" s="403"/>
      <c r="B786" s="403"/>
      <c r="C786" s="403"/>
      <c r="D786" s="976"/>
      <c r="E786" s="976"/>
      <c r="F786" s="976"/>
      <c r="G786" s="37"/>
      <c r="H786" s="227"/>
      <c r="I786" s="227"/>
    </row>
    <row r="787" spans="1:9" ht="12.75">
      <c r="A787" s="403"/>
      <c r="B787" s="403"/>
      <c r="C787" s="403"/>
      <c r="D787" s="976"/>
      <c r="E787" s="976"/>
      <c r="F787" s="976"/>
      <c r="G787" s="37"/>
      <c r="H787" s="227"/>
      <c r="I787" s="227"/>
    </row>
    <row r="788" spans="1:9" ht="12.75">
      <c r="A788" s="403"/>
      <c r="B788" s="403"/>
      <c r="C788" s="403"/>
      <c r="D788" s="230"/>
      <c r="E788" s="37"/>
      <c r="F788" s="37"/>
      <c r="G788" s="37"/>
      <c r="H788" s="227"/>
      <c r="I788" s="227"/>
    </row>
    <row r="789" spans="1:9" ht="12.75">
      <c r="A789" s="403"/>
      <c r="B789" s="517" t="s">
        <v>326</v>
      </c>
      <c r="C789" s="355"/>
      <c r="D789" s="981" t="s">
        <v>555</v>
      </c>
      <c r="E789" s="981"/>
      <c r="F789" s="981"/>
      <c r="G789" s="299"/>
      <c r="H789" s="227"/>
      <c r="I789" s="227"/>
    </row>
    <row r="790" spans="1:9" ht="12.75">
      <c r="A790" s="355"/>
      <c r="B790" s="355"/>
      <c r="C790" s="355"/>
      <c r="D790" s="981"/>
      <c r="E790" s="981"/>
      <c r="F790" s="981"/>
      <c r="G790" s="299"/>
      <c r="H790" s="227"/>
      <c r="I790" s="227"/>
    </row>
    <row r="791" spans="1:9" ht="12.75">
      <c r="A791" s="355"/>
      <c r="B791" s="355"/>
      <c r="C791" s="355"/>
      <c r="D791" s="981"/>
      <c r="E791" s="981"/>
      <c r="F791" s="981"/>
      <c r="G791" s="299"/>
      <c r="H791" s="227"/>
      <c r="I791" s="227"/>
    </row>
    <row r="792" spans="1:9" ht="12.75">
      <c r="A792" s="403"/>
      <c r="B792" s="403"/>
      <c r="C792" s="403"/>
      <c r="D792" s="230"/>
      <c r="E792" s="230"/>
      <c r="F792" s="230"/>
      <c r="G792" s="37"/>
      <c r="H792" s="227"/>
      <c r="I792" s="227"/>
    </row>
    <row r="793" spans="1:9" ht="12.75">
      <c r="A793" s="403"/>
      <c r="B793" s="517" t="s">
        <v>326</v>
      </c>
      <c r="C793" s="403"/>
      <c r="D793" s="942" t="s">
        <v>556</v>
      </c>
      <c r="E793" s="942"/>
      <c r="F793" s="942"/>
      <c r="G793" s="37"/>
      <c r="H793" s="227"/>
      <c r="I793" s="227"/>
    </row>
    <row r="794" spans="1:9" ht="12.75">
      <c r="A794" s="403"/>
      <c r="B794" s="403"/>
      <c r="C794" s="403"/>
      <c r="D794" s="942"/>
      <c r="E794" s="942"/>
      <c r="F794" s="942"/>
      <c r="G794" s="37"/>
      <c r="H794" s="227"/>
      <c r="I794" s="227"/>
    </row>
    <row r="795" spans="1:9" ht="12.75">
      <c r="A795" s="403"/>
      <c r="B795" s="403"/>
      <c r="C795" s="403"/>
      <c r="D795" s="176"/>
      <c r="E795" s="176"/>
      <c r="F795" s="176"/>
      <c r="G795" s="37"/>
      <c r="H795" s="227"/>
      <c r="I795" s="227"/>
    </row>
    <row r="796" spans="1:9" ht="13.7" customHeight="1">
      <c r="A796" s="403"/>
      <c r="B796" s="517" t="s">
        <v>326</v>
      </c>
      <c r="C796" s="403"/>
      <c r="D796" s="942" t="s">
        <v>557</v>
      </c>
      <c r="E796" s="942"/>
      <c r="F796" s="942"/>
      <c r="G796" s="37"/>
      <c r="H796" s="227"/>
      <c r="I796" s="227"/>
    </row>
    <row r="797" spans="1:9" ht="12.75">
      <c r="A797" s="403"/>
      <c r="B797" s="403"/>
      <c r="C797" s="403"/>
      <c r="D797" s="942"/>
      <c r="E797" s="942"/>
      <c r="F797" s="942"/>
      <c r="G797" s="37"/>
      <c r="H797" s="227"/>
      <c r="I797" s="227"/>
    </row>
    <row r="798" spans="1:9" ht="12.75">
      <c r="A798" s="403"/>
      <c r="B798" s="403"/>
      <c r="C798" s="403"/>
      <c r="D798" s="942"/>
      <c r="E798" s="942"/>
      <c r="F798" s="942"/>
      <c r="G798" s="37"/>
      <c r="H798" s="227"/>
      <c r="I798" s="227"/>
    </row>
    <row r="799" spans="1:9" ht="12.75">
      <c r="A799" s="403"/>
      <c r="B799" s="403"/>
      <c r="C799" s="403"/>
      <c r="D799" s="176"/>
      <c r="E799" s="176"/>
      <c r="F799" s="176"/>
      <c r="G799" s="37"/>
      <c r="H799" s="227"/>
      <c r="I799" s="227"/>
    </row>
    <row r="800" spans="1:9" ht="12" customHeight="1">
      <c r="A800" s="986" t="s">
        <v>558</v>
      </c>
      <c r="B800" s="986"/>
      <c r="C800" s="986"/>
      <c r="D800" s="986"/>
      <c r="E800" s="986"/>
      <c r="F800" s="986"/>
      <c r="G800" s="986"/>
      <c r="H800" s="227"/>
      <c r="I800" s="227"/>
    </row>
    <row r="801" spans="1:9" ht="12.75">
      <c r="A801" s="56"/>
      <c r="B801" s="56"/>
      <c r="C801" s="403"/>
      <c r="D801" s="37"/>
      <c r="E801" s="37"/>
      <c r="F801" s="37"/>
      <c r="G801" s="37"/>
      <c r="H801" s="227"/>
      <c r="I801" s="227"/>
    </row>
    <row r="802" spans="1:9" ht="13.7" customHeight="1">
      <c r="A802" s="56"/>
      <c r="B802" s="56"/>
      <c r="C802" s="403"/>
      <c r="D802" s="1012" t="s">
        <v>559</v>
      </c>
      <c r="E802" s="1012"/>
      <c r="F802" s="1012"/>
      <c r="G802" s="37"/>
      <c r="H802" s="227"/>
      <c r="I802" s="227"/>
    </row>
    <row r="803" spans="1:9" ht="12.75">
      <c r="A803" s="56"/>
      <c r="B803" s="56"/>
      <c r="C803" s="403"/>
      <c r="D803" s="972" t="s">
        <v>560</v>
      </c>
      <c r="E803" s="972"/>
      <c r="F803" s="972"/>
      <c r="G803" s="37"/>
      <c r="H803" s="227"/>
      <c r="I803" s="227"/>
    </row>
    <row r="804" spans="1:9" ht="12.75">
      <c r="A804" s="56"/>
      <c r="B804" s="56"/>
      <c r="C804" s="403"/>
      <c r="D804" s="342"/>
      <c r="E804" s="342"/>
      <c r="F804" s="342"/>
      <c r="G804" s="37"/>
      <c r="H804" s="227"/>
      <c r="I804" s="227"/>
    </row>
    <row r="805" spans="1:9" ht="12.75">
      <c r="A805" s="56"/>
      <c r="B805" s="517" t="s">
        <v>324</v>
      </c>
      <c r="C805" s="403"/>
      <c r="D805" s="981" t="s">
        <v>561</v>
      </c>
      <c r="E805" s="981"/>
      <c r="F805" s="981"/>
      <c r="G805" s="37"/>
      <c r="H805" s="227"/>
      <c r="I805" s="227"/>
    </row>
    <row r="806" spans="1:9" ht="12.75">
      <c r="A806" s="56"/>
      <c r="B806" s="56"/>
      <c r="C806" s="403"/>
      <c r="D806" s="981"/>
      <c r="E806" s="981"/>
      <c r="F806" s="981"/>
      <c r="G806" s="37"/>
      <c r="H806" s="227"/>
      <c r="I806" s="227"/>
    </row>
    <row r="807" spans="1:9" ht="12.75">
      <c r="A807" s="166"/>
      <c r="B807" s="166"/>
      <c r="C807" s="166"/>
      <c r="D807" s="981"/>
      <c r="E807" s="981"/>
      <c r="F807" s="981"/>
      <c r="G807" s="230"/>
      <c r="H807" s="227"/>
      <c r="I807" s="227"/>
    </row>
    <row r="808" spans="1:9" ht="12.75">
      <c r="A808" s="403"/>
      <c r="B808" s="403"/>
      <c r="C808" s="403"/>
      <c r="D808" s="167"/>
      <c r="E808" s="37"/>
      <c r="F808" s="37"/>
      <c r="G808" s="37"/>
      <c r="H808" s="227"/>
      <c r="I808" s="227"/>
    </row>
    <row r="809" spans="1:9" ht="12.75">
      <c r="A809" s="165"/>
      <c r="B809" s="517" t="s">
        <v>326</v>
      </c>
      <c r="C809" s="165"/>
      <c r="D809" s="981" t="s">
        <v>562</v>
      </c>
      <c r="E809" s="981"/>
      <c r="F809" s="981"/>
      <c r="G809" s="37"/>
      <c r="H809" s="227"/>
      <c r="I809" s="227"/>
    </row>
    <row r="810" spans="1:9" ht="12.75">
      <c r="A810" s="165"/>
      <c r="B810" s="165"/>
      <c r="C810" s="165"/>
      <c r="D810" s="981"/>
      <c r="E810" s="981"/>
      <c r="F810" s="981"/>
      <c r="G810" s="37"/>
      <c r="H810" s="227"/>
      <c r="I810" s="227"/>
    </row>
    <row r="811" spans="1:9" ht="27.75" customHeight="1">
      <c r="A811" s="165"/>
      <c r="B811" s="165"/>
      <c r="C811" s="165"/>
      <c r="D811" s="981"/>
      <c r="E811" s="981"/>
      <c r="F811" s="981"/>
      <c r="G811" s="37"/>
      <c r="H811" s="227"/>
      <c r="I811" s="227"/>
    </row>
    <row r="812" spans="1:9" ht="12.75">
      <c r="A812" s="166"/>
      <c r="B812" s="166"/>
      <c r="C812" s="166"/>
      <c r="D812" s="37"/>
      <c r="E812" s="875"/>
      <c r="F812" s="875"/>
      <c r="G812" s="875"/>
      <c r="H812" s="227"/>
      <c r="I812" s="227"/>
    </row>
    <row r="813" spans="1:9" ht="14.45" customHeight="1">
      <c r="A813" s="231"/>
      <c r="B813" s="517" t="s">
        <v>326</v>
      </c>
      <c r="C813" s="874"/>
      <c r="D813" s="981" t="s">
        <v>563</v>
      </c>
      <c r="E813" s="981"/>
      <c r="F813" s="981"/>
      <c r="G813" s="875"/>
      <c r="H813" s="227"/>
      <c r="I813" s="227"/>
    </row>
    <row r="814" spans="1:9" ht="14.25">
      <c r="A814" s="231"/>
      <c r="B814" s="231"/>
      <c r="C814" s="874"/>
      <c r="D814" s="981"/>
      <c r="E814" s="981"/>
      <c r="F814" s="981"/>
      <c r="G814" s="875"/>
      <c r="H814" s="227"/>
      <c r="I814" s="227"/>
    </row>
    <row r="815" spans="1:9" ht="14.25">
      <c r="A815" s="231"/>
      <c r="B815" s="231"/>
      <c r="C815" s="874"/>
      <c r="D815" s="981"/>
      <c r="E815" s="981"/>
      <c r="F815" s="981"/>
      <c r="G815" s="875"/>
      <c r="H815" s="227"/>
      <c r="I815" s="227"/>
    </row>
    <row r="816" spans="1:9" ht="14.25">
      <c r="A816" s="231"/>
      <c r="B816" s="231"/>
      <c r="C816" s="874"/>
      <c r="D816" s="230"/>
      <c r="E816" s="37"/>
      <c r="F816" s="37"/>
      <c r="G816" s="875"/>
      <c r="H816" s="227"/>
      <c r="I816" s="227"/>
    </row>
    <row r="817" spans="1:9" ht="14.25" customHeight="1">
      <c r="A817" s="231"/>
      <c r="B817" s="517" t="s">
        <v>326</v>
      </c>
      <c r="C817" s="874"/>
      <c r="D817" s="981" t="s">
        <v>564</v>
      </c>
      <c r="E817" s="981"/>
      <c r="F817" s="981"/>
      <c r="G817" s="875"/>
      <c r="H817" s="227"/>
      <c r="I817" s="227"/>
    </row>
    <row r="818" spans="1:9" ht="14.25">
      <c r="A818" s="231"/>
      <c r="B818" s="231"/>
      <c r="C818" s="874"/>
      <c r="D818" s="981"/>
      <c r="E818" s="981"/>
      <c r="F818" s="981"/>
      <c r="G818" s="875"/>
      <c r="H818" s="227"/>
      <c r="I818" s="227"/>
    </row>
    <row r="819" spans="1:9" ht="14.25">
      <c r="A819" s="231"/>
      <c r="B819" s="231"/>
      <c r="C819" s="874"/>
      <c r="D819" s="981"/>
      <c r="E819" s="981"/>
      <c r="F819" s="981"/>
      <c r="G819" s="875"/>
      <c r="H819" s="227"/>
      <c r="I819" s="227"/>
    </row>
    <row r="820" spans="1:9" ht="14.25">
      <c r="A820" s="231"/>
      <c r="B820" s="231"/>
      <c r="C820" s="874"/>
      <c r="D820" s="981"/>
      <c r="E820" s="981"/>
      <c r="F820" s="981"/>
      <c r="G820" s="875"/>
      <c r="H820" s="227"/>
      <c r="I820" s="227"/>
    </row>
    <row r="821" spans="1:9" ht="14.25">
      <c r="A821" s="231"/>
      <c r="B821" s="231"/>
      <c r="C821" s="874"/>
      <c r="D821" s="981"/>
      <c r="E821" s="981"/>
      <c r="F821" s="981"/>
      <c r="G821" s="875"/>
      <c r="H821" s="227"/>
      <c r="I821" s="227"/>
    </row>
    <row r="822" spans="1:9" ht="14.25">
      <c r="A822" s="231"/>
      <c r="B822" s="231"/>
      <c r="C822" s="874"/>
      <c r="D822" s="981" t="s">
        <v>565</v>
      </c>
      <c r="E822" s="981"/>
      <c r="F822" s="981"/>
      <c r="G822" s="875"/>
      <c r="H822" s="227"/>
      <c r="I822" s="227"/>
    </row>
    <row r="823" spans="1:9" ht="14.25">
      <c r="A823" s="231"/>
      <c r="B823" s="231"/>
      <c r="C823" s="874"/>
      <c r="D823" s="981"/>
      <c r="E823" s="981"/>
      <c r="F823" s="981"/>
      <c r="G823" s="875"/>
      <c r="H823" s="227"/>
      <c r="I823" s="227"/>
    </row>
    <row r="824" spans="1:9" ht="14.25">
      <c r="A824" s="231"/>
      <c r="B824" s="231"/>
      <c r="C824" s="874"/>
      <c r="D824" s="981"/>
      <c r="E824" s="981"/>
      <c r="F824" s="981"/>
      <c r="G824" s="875"/>
      <c r="H824" s="227"/>
      <c r="I824" s="227"/>
    </row>
    <row r="825" spans="1:9" ht="14.25">
      <c r="A825" s="231"/>
      <c r="B825" s="403"/>
      <c r="C825" s="874"/>
      <c r="D825" s="876"/>
      <c r="E825" s="876"/>
      <c r="F825" s="876"/>
      <c r="G825" s="875"/>
      <c r="H825" s="227"/>
      <c r="I825" s="227"/>
    </row>
    <row r="826" spans="1:9" ht="14.25">
      <c r="A826" s="231"/>
      <c r="B826" s="517" t="s">
        <v>326</v>
      </c>
      <c r="C826" s="874"/>
      <c r="D826" s="981" t="s">
        <v>566</v>
      </c>
      <c r="E826" s="981"/>
      <c r="F826" s="981"/>
      <c r="G826" s="875"/>
      <c r="H826" s="227"/>
      <c r="I826" s="227"/>
    </row>
    <row r="827" spans="1:9" ht="14.25">
      <c r="A827" s="231"/>
      <c r="B827" s="231"/>
      <c r="C827" s="874"/>
      <c r="D827" s="981"/>
      <c r="E827" s="981"/>
      <c r="F827" s="981"/>
      <c r="G827" s="875"/>
      <c r="H827" s="227"/>
      <c r="I827" s="227"/>
    </row>
    <row r="828" spans="1:9" ht="14.25">
      <c r="A828" s="231"/>
      <c r="B828" s="231"/>
      <c r="C828" s="874"/>
      <c r="D828" s="981"/>
      <c r="E828" s="981"/>
      <c r="F828" s="981"/>
      <c r="G828" s="875"/>
      <c r="H828" s="227"/>
      <c r="I828" s="227"/>
    </row>
    <row r="829" spans="1:9" ht="14.25">
      <c r="A829" s="231"/>
      <c r="B829" s="231"/>
      <c r="C829" s="874"/>
      <c r="D829" s="981"/>
      <c r="E829" s="981"/>
      <c r="F829" s="981"/>
      <c r="G829" s="875"/>
      <c r="H829" s="227"/>
      <c r="I829" s="227"/>
    </row>
    <row r="830" spans="1:9" ht="14.25">
      <c r="A830" s="231"/>
      <c r="B830" s="231"/>
      <c r="C830" s="874"/>
      <c r="D830" s="981"/>
      <c r="E830" s="981"/>
      <c r="F830" s="981"/>
      <c r="G830" s="875"/>
      <c r="H830" s="227"/>
      <c r="I830" s="227"/>
    </row>
    <row r="831" spans="1:9" ht="14.25">
      <c r="A831" s="231"/>
      <c r="B831" s="231"/>
      <c r="C831" s="874"/>
      <c r="D831" s="981"/>
      <c r="E831" s="981"/>
      <c r="F831" s="981"/>
      <c r="G831" s="875"/>
      <c r="H831" s="227"/>
      <c r="I831" s="227"/>
    </row>
    <row r="832" spans="1:9" ht="14.25">
      <c r="A832" s="231"/>
      <c r="B832" s="231"/>
      <c r="C832" s="874"/>
      <c r="D832" s="866"/>
      <c r="E832" s="866"/>
      <c r="F832" s="866"/>
      <c r="G832" s="875"/>
      <c r="H832" s="227"/>
      <c r="I832" s="227"/>
    </row>
    <row r="833" spans="1:9" ht="14.25">
      <c r="A833" s="231"/>
      <c r="B833" s="517" t="s">
        <v>324</v>
      </c>
      <c r="C833" s="874"/>
      <c r="D833" s="981" t="s">
        <v>567</v>
      </c>
      <c r="E833" s="981"/>
      <c r="F833" s="981"/>
      <c r="G833" s="875"/>
      <c r="H833" s="227"/>
      <c r="I833" s="227"/>
    </row>
    <row r="834" spans="1:9" ht="14.25">
      <c r="A834" s="231"/>
      <c r="B834" s="231"/>
      <c r="C834" s="874"/>
      <c r="D834" s="981"/>
      <c r="E834" s="981"/>
      <c r="F834" s="981"/>
      <c r="G834" s="875"/>
      <c r="H834" s="227"/>
      <c r="I834" s="227"/>
    </row>
    <row r="835" spans="1:9" ht="14.25">
      <c r="A835" s="231"/>
      <c r="B835" s="231"/>
      <c r="C835" s="874"/>
      <c r="D835" s="981"/>
      <c r="E835" s="981"/>
      <c r="F835" s="981"/>
      <c r="G835" s="875"/>
      <c r="H835" s="227"/>
      <c r="I835" s="227"/>
    </row>
    <row r="836" spans="1:9" ht="14.25">
      <c r="A836" s="231"/>
      <c r="B836" s="231"/>
      <c r="C836" s="874"/>
      <c r="D836" s="981"/>
      <c r="E836" s="981"/>
      <c r="F836" s="981"/>
      <c r="G836" s="875"/>
      <c r="H836" s="227"/>
      <c r="I836" s="227"/>
    </row>
    <row r="837" spans="1:9" ht="14.25">
      <c r="A837" s="231"/>
      <c r="B837" s="231"/>
      <c r="C837" s="874"/>
      <c r="D837" s="981"/>
      <c r="E837" s="981"/>
      <c r="F837" s="981"/>
      <c r="G837" s="875"/>
      <c r="H837" s="227"/>
      <c r="I837" s="227"/>
    </row>
    <row r="838" spans="1:9" ht="14.25">
      <c r="A838" s="231"/>
      <c r="B838" s="231"/>
      <c r="C838" s="874"/>
      <c r="D838" s="866"/>
      <c r="E838" s="866"/>
      <c r="F838" s="866"/>
      <c r="G838" s="875"/>
      <c r="H838" s="227"/>
      <c r="I838" s="227"/>
    </row>
    <row r="839" spans="1:9" ht="14.25">
      <c r="A839" s="231"/>
      <c r="B839" s="517" t="s">
        <v>326</v>
      </c>
      <c r="C839" s="874"/>
      <c r="D839" s="981" t="s">
        <v>568</v>
      </c>
      <c r="E839" s="981"/>
      <c r="F839" s="981"/>
      <c r="G839" s="875"/>
      <c r="H839" s="227"/>
      <c r="I839" s="227"/>
    </row>
    <row r="840" spans="1:9" ht="14.25">
      <c r="A840" s="231"/>
      <c r="B840" s="231"/>
      <c r="C840" s="874"/>
      <c r="D840" s="981"/>
      <c r="E840" s="981"/>
      <c r="F840" s="981"/>
      <c r="G840" s="875"/>
      <c r="H840" s="227"/>
      <c r="I840" s="227"/>
    </row>
    <row r="841" spans="1:9" ht="14.25">
      <c r="A841" s="231"/>
      <c r="B841" s="231"/>
      <c r="C841" s="874"/>
      <c r="D841" s="981"/>
      <c r="E841" s="981"/>
      <c r="F841" s="981"/>
      <c r="G841" s="875"/>
      <c r="H841" s="227"/>
      <c r="I841" s="227"/>
    </row>
    <row r="842" spans="1:9" ht="14.25">
      <c r="A842" s="231"/>
      <c r="B842" s="231"/>
      <c r="C842" s="874"/>
      <c r="D842" s="981"/>
      <c r="E842" s="981"/>
      <c r="F842" s="981"/>
      <c r="G842" s="875"/>
      <c r="H842" s="227"/>
      <c r="I842" s="227"/>
    </row>
    <row r="843" spans="1:9" ht="14.25">
      <c r="A843" s="231"/>
      <c r="B843" s="231"/>
      <c r="C843" s="874"/>
      <c r="D843" s="875"/>
      <c r="E843" s="37"/>
      <c r="F843" s="37"/>
      <c r="G843" s="875"/>
      <c r="H843" s="227"/>
      <c r="I843" s="227"/>
    </row>
    <row r="844" spans="1:9" ht="14.25">
      <c r="A844" s="231"/>
      <c r="B844" s="517" t="s">
        <v>326</v>
      </c>
      <c r="C844" s="874"/>
      <c r="D844" s="995" t="s">
        <v>569</v>
      </c>
      <c r="E844" s="995"/>
      <c r="F844" s="995"/>
      <c r="G844" s="875"/>
      <c r="H844" s="227"/>
      <c r="I844" s="227"/>
    </row>
    <row r="845" spans="1:9" ht="14.25">
      <c r="A845" s="231"/>
      <c r="B845" s="231"/>
      <c r="C845" s="874"/>
      <c r="D845" s="995"/>
      <c r="E845" s="995"/>
      <c r="F845" s="995"/>
      <c r="G845" s="875"/>
      <c r="H845" s="227"/>
      <c r="I845" s="227"/>
    </row>
    <row r="846" spans="1:9" ht="12.75">
      <c r="A846" s="18"/>
      <c r="B846" s="18"/>
      <c r="C846" s="874"/>
      <c r="D846" s="995"/>
      <c r="E846" s="995"/>
      <c r="F846" s="995"/>
      <c r="G846" s="875"/>
      <c r="H846" s="227"/>
      <c r="I846" s="227"/>
    </row>
    <row r="847" spans="1:9" ht="14.25">
      <c r="A847" s="231"/>
      <c r="B847" s="18"/>
      <c r="C847" s="874"/>
      <c r="D847" s="995"/>
      <c r="E847" s="995"/>
      <c r="F847" s="995"/>
      <c r="G847" s="875"/>
      <c r="H847" s="227"/>
      <c r="I847" s="227"/>
    </row>
    <row r="848" spans="1:9" ht="14.25">
      <c r="A848" s="231"/>
      <c r="B848" s="18"/>
      <c r="C848" s="874"/>
      <c r="D848" s="995"/>
      <c r="E848" s="995"/>
      <c r="F848" s="995"/>
      <c r="G848" s="875"/>
      <c r="H848" s="227"/>
      <c r="I848" s="227"/>
    </row>
    <row r="849" spans="1:9" ht="14.25">
      <c r="A849" s="231"/>
      <c r="B849" s="18"/>
      <c r="C849" s="874"/>
      <c r="D849" s="995"/>
      <c r="E849" s="995"/>
      <c r="F849" s="995"/>
      <c r="G849" s="875"/>
      <c r="H849" s="227"/>
      <c r="I849" s="227"/>
    </row>
    <row r="850" spans="1:9" ht="14.25">
      <c r="A850" s="231"/>
      <c r="B850" s="18"/>
      <c r="C850" s="874"/>
      <c r="D850" s="864"/>
      <c r="E850" s="864"/>
      <c r="F850" s="864"/>
      <c r="G850" s="875"/>
      <c r="H850" s="227"/>
      <c r="I850" s="227"/>
    </row>
    <row r="851" spans="1:9" ht="14.25">
      <c r="A851" s="231"/>
      <c r="B851" s="517" t="s">
        <v>326</v>
      </c>
      <c r="C851" s="874"/>
      <c r="D851" s="981" t="s">
        <v>570</v>
      </c>
      <c r="E851" s="981"/>
      <c r="F851" s="981"/>
      <c r="G851" s="875"/>
      <c r="H851" s="227"/>
      <c r="I851" s="227"/>
    </row>
    <row r="852" spans="1:9" ht="14.25">
      <c r="A852" s="231"/>
      <c r="B852" s="231"/>
      <c r="C852" s="874"/>
      <c r="D852" s="981"/>
      <c r="E852" s="981"/>
      <c r="F852" s="981"/>
      <c r="G852" s="875"/>
      <c r="H852" s="227"/>
      <c r="I852" s="227"/>
    </row>
    <row r="853" spans="1:9" ht="14.25">
      <c r="A853" s="231"/>
      <c r="B853" s="231"/>
      <c r="C853" s="874"/>
      <c r="D853" s="875"/>
      <c r="E853" s="37"/>
      <c r="F853" s="37"/>
      <c r="G853" s="875"/>
      <c r="H853" s="227"/>
      <c r="I853" s="227"/>
    </row>
    <row r="854" spans="1:9" ht="14.25">
      <c r="A854" s="231"/>
      <c r="B854" s="517" t="s">
        <v>326</v>
      </c>
      <c r="C854" s="874"/>
      <c r="D854" s="995" t="s">
        <v>571</v>
      </c>
      <c r="E854" s="995"/>
      <c r="F854" s="995"/>
      <c r="G854" s="875"/>
      <c r="H854" s="227"/>
      <c r="I854" s="227"/>
    </row>
    <row r="855" spans="1:9" ht="14.25">
      <c r="A855" s="231"/>
      <c r="B855" s="231"/>
      <c r="C855" s="874"/>
      <c r="D855" s="995"/>
      <c r="E855" s="995"/>
      <c r="F855" s="995"/>
      <c r="G855" s="875"/>
      <c r="H855" s="227"/>
      <c r="I855" s="227"/>
    </row>
    <row r="856" spans="1:9" ht="12.75">
      <c r="A856" s="18"/>
      <c r="B856" s="18"/>
      <c r="C856" s="874"/>
      <c r="D856" s="875"/>
      <c r="E856" s="37"/>
      <c r="F856" s="37"/>
      <c r="G856" s="875"/>
      <c r="H856" s="227"/>
      <c r="I856" s="227"/>
    </row>
    <row r="857" spans="1:9" ht="12.75">
      <c r="A857" s="967" t="s">
        <v>572</v>
      </c>
      <c r="B857" s="967"/>
      <c r="C857" s="967"/>
      <c r="D857" s="967"/>
      <c r="E857" s="967"/>
      <c r="F857" s="967"/>
      <c r="G857" s="967"/>
      <c r="H857" s="227"/>
      <c r="I857" s="227"/>
    </row>
    <row r="858" spans="1:9" ht="12.75">
      <c r="A858" s="165"/>
      <c r="B858" s="165"/>
      <c r="C858" s="874"/>
      <c r="D858" s="875"/>
      <c r="E858" s="875"/>
      <c r="F858" s="875"/>
      <c r="G858" s="875"/>
      <c r="H858" s="227"/>
      <c r="I858" s="227"/>
    </row>
    <row r="859" spans="1:9" ht="14.25">
      <c r="A859" s="231"/>
      <c r="B859" s="231"/>
      <c r="C859" s="403"/>
      <c r="D859" s="969" t="s">
        <v>573</v>
      </c>
      <c r="E859" s="969"/>
      <c r="F859" s="969"/>
      <c r="G859" s="37"/>
      <c r="H859" s="227"/>
      <c r="I859" s="227"/>
    </row>
    <row r="860" spans="1:9" ht="14.25">
      <c r="A860" s="231"/>
      <c r="B860" s="231"/>
      <c r="C860" s="403"/>
      <c r="D860" s="942" t="s">
        <v>574</v>
      </c>
      <c r="E860" s="942"/>
      <c r="F860" s="942"/>
      <c r="G860" s="37"/>
      <c r="H860" s="227"/>
      <c r="I860" s="227"/>
    </row>
    <row r="861" spans="1:9" ht="14.25">
      <c r="A861" s="231"/>
      <c r="B861" s="231"/>
      <c r="C861" s="403"/>
      <c r="D861" s="176"/>
      <c r="E861" s="176"/>
      <c r="F861" s="176"/>
      <c r="G861" s="37"/>
      <c r="H861" s="227"/>
      <c r="I861" s="227"/>
    </row>
    <row r="862" spans="1:9" ht="12.75">
      <c r="A862" s="403"/>
      <c r="B862" s="517" t="s">
        <v>324</v>
      </c>
      <c r="C862" s="874"/>
      <c r="D862" s="942" t="s">
        <v>575</v>
      </c>
      <c r="E862" s="942"/>
      <c r="F862" s="942"/>
      <c r="G862" s="37"/>
      <c r="H862" s="227"/>
      <c r="I862" s="227"/>
    </row>
    <row r="863" spans="1:9" ht="12.75">
      <c r="A863" s="18"/>
      <c r="B863" s="18"/>
      <c r="C863" s="874"/>
      <c r="D863" s="3" t="s">
        <v>384</v>
      </c>
      <c r="E863" s="950" t="s">
        <v>408</v>
      </c>
      <c r="F863" s="950"/>
      <c r="G863" s="37"/>
      <c r="H863" s="227"/>
      <c r="I863" s="227"/>
    </row>
    <row r="864" spans="1:9" ht="12.75">
      <c r="A864" s="18"/>
      <c r="B864" s="18"/>
      <c r="C864" s="874"/>
      <c r="D864" s="877"/>
      <c r="E864" s="37"/>
      <c r="F864" s="37"/>
      <c r="G864" s="37"/>
      <c r="H864" s="227"/>
      <c r="I864" s="227"/>
    </row>
    <row r="865" spans="1:9" ht="12.75">
      <c r="A865" s="18"/>
      <c r="B865" s="517" t="s">
        <v>326</v>
      </c>
      <c r="C865" s="874"/>
      <c r="D865" s="1003" t="s">
        <v>576</v>
      </c>
      <c r="E865" s="1003"/>
      <c r="F865" s="1003"/>
      <c r="G865" s="37"/>
      <c r="H865" s="227"/>
      <c r="I865" s="227"/>
    </row>
    <row r="866" spans="1:9" ht="12.75">
      <c r="A866" s="18"/>
      <c r="B866" s="18"/>
      <c r="C866" s="874"/>
      <c r="D866" s="1003"/>
      <c r="E866" s="1003"/>
      <c r="F866" s="1003"/>
      <c r="G866" s="37"/>
      <c r="H866" s="227"/>
      <c r="I866" s="227"/>
    </row>
    <row r="867" spans="1:9" ht="12.75">
      <c r="A867" s="18"/>
      <c r="B867" s="18"/>
      <c r="C867" s="874"/>
      <c r="D867" s="1003"/>
      <c r="E867" s="1003"/>
      <c r="F867" s="1003"/>
      <c r="G867" s="37"/>
      <c r="H867" s="227"/>
      <c r="I867" s="227"/>
    </row>
    <row r="868" spans="1:9" ht="12.75">
      <c r="A868" s="18"/>
      <c r="B868" s="18"/>
      <c r="C868" s="874"/>
      <c r="D868" s="1003"/>
      <c r="E868" s="1003"/>
      <c r="F868" s="1003"/>
      <c r="G868" s="37"/>
      <c r="H868" s="227"/>
      <c r="I868" s="227"/>
    </row>
    <row r="869" spans="1:9" ht="12.75">
      <c r="A869" s="18"/>
      <c r="B869" s="18"/>
      <c r="C869" s="874"/>
      <c r="D869" s="1003"/>
      <c r="E869" s="1003"/>
      <c r="F869" s="1003"/>
      <c r="G869" s="37"/>
      <c r="H869" s="227"/>
      <c r="I869" s="227"/>
    </row>
    <row r="870" spans="1:9" ht="12.75">
      <c r="A870" s="18"/>
      <c r="B870" s="18"/>
      <c r="C870" s="874"/>
      <c r="D870" s="1003"/>
      <c r="E870" s="1003"/>
      <c r="F870" s="1003"/>
      <c r="G870" s="37"/>
      <c r="H870" s="227"/>
      <c r="I870" s="227"/>
    </row>
    <row r="871" spans="1:9" ht="12.75">
      <c r="A871" s="18"/>
      <c r="B871" s="18"/>
      <c r="C871" s="874"/>
      <c r="D871" s="1003"/>
      <c r="E871" s="1003"/>
      <c r="F871" s="1003"/>
      <c r="G871" s="37"/>
      <c r="H871" s="227"/>
      <c r="I871" s="227"/>
    </row>
    <row r="872" spans="1:9" ht="12.75">
      <c r="A872" s="18"/>
      <c r="B872" s="18"/>
      <c r="C872" s="874"/>
      <c r="D872" s="1003"/>
      <c r="E872" s="1003"/>
      <c r="F872" s="1003"/>
      <c r="G872" s="37"/>
      <c r="H872" s="227"/>
      <c r="I872" s="227"/>
    </row>
    <row r="873" spans="1:9" ht="12.75">
      <c r="A873" s="18"/>
      <c r="B873" s="18"/>
      <c r="C873" s="874"/>
      <c r="D873" s="1003"/>
      <c r="E873" s="1003"/>
      <c r="F873" s="1003"/>
      <c r="G873" s="37"/>
      <c r="H873" s="227"/>
      <c r="I873" s="227"/>
    </row>
    <row r="874" spans="1:9" ht="12.75">
      <c r="A874" s="18"/>
      <c r="B874" s="18"/>
      <c r="C874" s="874"/>
      <c r="D874" s="877"/>
      <c r="E874" s="37"/>
      <c r="F874" s="37"/>
      <c r="G874" s="37"/>
      <c r="H874" s="227"/>
      <c r="I874" s="227"/>
    </row>
    <row r="875" spans="1:9" ht="14.25">
      <c r="A875" s="231"/>
      <c r="B875" s="517" t="s">
        <v>324</v>
      </c>
      <c r="C875" s="874"/>
      <c r="D875" s="942" t="s">
        <v>577</v>
      </c>
      <c r="E875" s="942"/>
      <c r="F875" s="942"/>
      <c r="G875" s="37"/>
      <c r="H875" s="227"/>
      <c r="I875" s="227"/>
    </row>
    <row r="876" spans="1:9" ht="14.25">
      <c r="A876" s="231"/>
      <c r="B876" s="231"/>
      <c r="C876" s="874"/>
      <c r="D876" s="942"/>
      <c r="E876" s="942"/>
      <c r="F876" s="942"/>
      <c r="G876" s="37"/>
      <c r="H876" s="227"/>
      <c r="I876" s="227"/>
    </row>
    <row r="877" spans="1:9" ht="14.25">
      <c r="A877" s="231"/>
      <c r="B877" s="231"/>
      <c r="C877" s="874"/>
      <c r="D877" s="942"/>
      <c r="E877" s="942"/>
      <c r="F877" s="942"/>
      <c r="G877" s="37"/>
      <c r="H877" s="227"/>
      <c r="I877" s="227"/>
    </row>
    <row r="878" spans="1:9" ht="14.25">
      <c r="A878" s="231"/>
      <c r="B878" s="231"/>
      <c r="C878" s="874"/>
      <c r="D878" s="230"/>
      <c r="E878" s="37"/>
      <c r="F878" s="37"/>
      <c r="G878" s="37"/>
      <c r="H878" s="227"/>
      <c r="I878" s="227"/>
    </row>
    <row r="879" spans="1:9" ht="12.75">
      <c r="A879" s="341"/>
      <c r="B879" s="517" t="s">
        <v>326</v>
      </c>
      <c r="C879" s="874"/>
      <c r="D879" s="969" t="s">
        <v>578</v>
      </c>
      <c r="E879" s="969"/>
      <c r="F879" s="969"/>
      <c r="G879" s="37"/>
      <c r="H879" s="227"/>
      <c r="I879" s="227"/>
    </row>
    <row r="880" spans="1:9" ht="12.75">
      <c r="A880" s="403"/>
      <c r="B880" s="341"/>
      <c r="C880" s="874"/>
      <c r="D880" s="969"/>
      <c r="E880" s="969"/>
      <c r="F880" s="969"/>
      <c r="G880" s="37"/>
      <c r="H880" s="227"/>
      <c r="I880" s="227"/>
    </row>
    <row r="881" spans="1:9" ht="14.25" customHeight="1">
      <c r="A881" s="231"/>
      <c r="B881" s="403"/>
      <c r="C881" s="874"/>
      <c r="D881" s="942" t="s">
        <v>579</v>
      </c>
      <c r="E881" s="942"/>
      <c r="F881" s="942"/>
      <c r="G881" s="37"/>
      <c r="H881" s="227"/>
      <c r="I881" s="227"/>
    </row>
    <row r="882" spans="1:9" ht="14.25">
      <c r="A882" s="231"/>
      <c r="B882" s="231"/>
      <c r="C882" s="874"/>
      <c r="D882" s="942"/>
      <c r="E882" s="942"/>
      <c r="F882" s="942"/>
      <c r="G882" s="37"/>
      <c r="H882" s="227"/>
      <c r="I882" s="227"/>
    </row>
    <row r="883" spans="1:9" ht="14.25">
      <c r="A883" s="231"/>
      <c r="B883" s="231"/>
      <c r="C883" s="874"/>
      <c r="D883" s="942"/>
      <c r="E883" s="942"/>
      <c r="F883" s="942"/>
      <c r="G883" s="37"/>
      <c r="H883" s="227"/>
      <c r="I883" s="227"/>
    </row>
    <row r="884" spans="1:9" ht="14.25">
      <c r="A884" s="231"/>
      <c r="B884" s="231"/>
      <c r="C884" s="874"/>
      <c r="D884" s="942"/>
      <c r="E884" s="942"/>
      <c r="F884" s="942"/>
      <c r="G884" s="37"/>
      <c r="H884" s="227"/>
      <c r="I884" s="227"/>
    </row>
    <row r="885" spans="1:9" ht="14.25">
      <c r="A885" s="231"/>
      <c r="B885" s="231"/>
      <c r="C885" s="874"/>
      <c r="D885" s="942"/>
      <c r="E885" s="942"/>
      <c r="F885" s="942"/>
      <c r="G885" s="37"/>
      <c r="H885" s="227"/>
      <c r="I885" s="227"/>
    </row>
    <row r="886" spans="1:9" ht="14.25" customHeight="1">
      <c r="A886" s="231"/>
      <c r="B886" s="231"/>
      <c r="C886" s="874"/>
      <c r="D886" s="942"/>
      <c r="E886" s="942"/>
      <c r="F886" s="942"/>
      <c r="G886" s="37"/>
      <c r="H886" s="227"/>
      <c r="I886" s="227"/>
    </row>
    <row r="887" spans="1:9" ht="14.25">
      <c r="A887" s="231"/>
      <c r="B887" s="231"/>
      <c r="C887" s="874"/>
      <c r="D887" s="230"/>
      <c r="E887" s="37"/>
      <c r="F887" s="37"/>
      <c r="G887" s="37"/>
      <c r="H887" s="227"/>
      <c r="I887" s="227"/>
    </row>
    <row r="888" spans="1:9" ht="14.25">
      <c r="A888" s="231"/>
      <c r="B888" s="517" t="s">
        <v>326</v>
      </c>
      <c r="C888" s="874"/>
      <c r="D888" s="942" t="s">
        <v>580</v>
      </c>
      <c r="E888" s="942"/>
      <c r="F888" s="942"/>
      <c r="G888" s="37"/>
      <c r="H888" s="227"/>
      <c r="I888" s="227"/>
    </row>
    <row r="889" spans="1:9" ht="14.25">
      <c r="A889" s="231"/>
      <c r="B889" s="231"/>
      <c r="C889" s="874"/>
      <c r="D889" s="942" t="s">
        <v>581</v>
      </c>
      <c r="E889" s="942"/>
      <c r="F889" s="942"/>
      <c r="G889" s="37"/>
      <c r="H889" s="227"/>
      <c r="I889" s="227"/>
    </row>
    <row r="890" spans="1:9" ht="14.25">
      <c r="A890" s="231"/>
      <c r="B890" s="231"/>
      <c r="C890" s="874"/>
      <c r="D890" s="3" t="s">
        <v>379</v>
      </c>
      <c r="E890" s="950" t="s">
        <v>419</v>
      </c>
      <c r="F890" s="950"/>
      <c r="G890" s="37"/>
      <c r="H890" s="227"/>
      <c r="I890" s="227"/>
    </row>
    <row r="891" spans="1:9" ht="14.25">
      <c r="A891" s="231"/>
      <c r="B891" s="231"/>
      <c r="C891" s="874"/>
      <c r="D891" s="230"/>
      <c r="E891" s="37"/>
      <c r="F891" s="37"/>
      <c r="G891" s="37"/>
      <c r="H891" s="227"/>
      <c r="I891" s="227"/>
    </row>
    <row r="892" spans="1:9" ht="14.25">
      <c r="A892" s="231"/>
      <c r="B892" s="517" t="s">
        <v>326</v>
      </c>
      <c r="C892" s="874"/>
      <c r="D892" s="942" t="s">
        <v>582</v>
      </c>
      <c r="E892" s="942"/>
      <c r="F892" s="942"/>
      <c r="G892" s="37"/>
      <c r="H892" s="227"/>
      <c r="I892" s="227"/>
    </row>
    <row r="893" spans="1:9" ht="14.25">
      <c r="A893" s="231"/>
      <c r="B893" s="231"/>
      <c r="C893" s="874"/>
      <c r="D893" s="942"/>
      <c r="E893" s="942"/>
      <c r="F893" s="942"/>
      <c r="G893" s="37"/>
      <c r="H893" s="227"/>
      <c r="I893" s="227"/>
    </row>
    <row r="894" spans="1:9" ht="14.25">
      <c r="A894" s="231"/>
      <c r="B894" s="231"/>
      <c r="C894" s="874"/>
      <c r="D894" s="942"/>
      <c r="E894" s="942"/>
      <c r="F894" s="942"/>
      <c r="G894" s="37"/>
      <c r="H894" s="227"/>
      <c r="I894" s="227"/>
    </row>
    <row r="895" spans="1:9" ht="14.25">
      <c r="A895" s="231"/>
      <c r="B895" s="231"/>
      <c r="C895" s="874"/>
      <c r="D895" s="942"/>
      <c r="E895" s="942"/>
      <c r="F895" s="942"/>
      <c r="G895" s="37"/>
      <c r="H895" s="227"/>
      <c r="I895" s="227"/>
    </row>
    <row r="896" spans="1:9" ht="12.75">
      <c r="A896" s="165"/>
      <c r="B896" s="165"/>
      <c r="C896" s="165"/>
      <c r="D896" s="230"/>
      <c r="E896" s="37"/>
      <c r="F896" s="37"/>
      <c r="G896" s="37"/>
      <c r="H896" s="227"/>
      <c r="I896" s="227"/>
    </row>
    <row r="897" spans="1:9" ht="12.75">
      <c r="A897" s="232" t="s">
        <v>583</v>
      </c>
      <c r="B897" s="232"/>
      <c r="C897" s="878"/>
      <c r="D897" s="878"/>
      <c r="E897" s="878"/>
      <c r="F897" s="878"/>
      <c r="G897" s="878"/>
      <c r="H897" s="227"/>
      <c r="I897" s="227"/>
    </row>
    <row r="898" spans="1:9" ht="12.75">
      <c r="A898" s="165"/>
      <c r="B898" s="165"/>
      <c r="C898" s="165"/>
      <c r="D898" s="872"/>
      <c r="E898" s="37"/>
      <c r="F898" s="37"/>
      <c r="G898" s="37"/>
      <c r="H898" s="227"/>
      <c r="I898" s="227"/>
    </row>
    <row r="899" spans="1:9" ht="12.75">
      <c r="A899" s="403"/>
      <c r="B899" s="403"/>
      <c r="C899" s="166"/>
      <c r="D899" s="968" t="s">
        <v>584</v>
      </c>
      <c r="E899" s="968"/>
      <c r="F899" s="968"/>
      <c r="G899" s="875"/>
      <c r="H899" s="227"/>
      <c r="I899" s="227"/>
    </row>
    <row r="900" spans="1:9" ht="12.75">
      <c r="A900" s="403"/>
      <c r="B900" s="403"/>
      <c r="C900" s="166"/>
      <c r="D900" s="1011" t="s">
        <v>585</v>
      </c>
      <c r="E900" s="1011"/>
      <c r="F900" s="1011"/>
      <c r="G900" s="875"/>
      <c r="H900" s="227"/>
      <c r="I900" s="227"/>
    </row>
    <row r="901" spans="1:9" ht="12.75">
      <c r="A901" s="403"/>
      <c r="B901" s="403"/>
      <c r="C901" s="166"/>
      <c r="D901" s="865"/>
      <c r="E901" s="865"/>
      <c r="F901" s="865"/>
      <c r="G901" s="875"/>
      <c r="H901" s="227"/>
      <c r="I901" s="227"/>
    </row>
    <row r="902" spans="1:9" ht="14.25">
      <c r="A902" s="231"/>
      <c r="B902" s="517" t="s">
        <v>324</v>
      </c>
      <c r="C902" s="403"/>
      <c r="D902" s="963" t="s">
        <v>586</v>
      </c>
      <c r="E902" s="963"/>
      <c r="F902" s="963"/>
      <c r="G902" s="875"/>
      <c r="H902" s="227"/>
      <c r="I902" s="227"/>
    </row>
    <row r="903" spans="1:9" ht="12.75">
      <c r="A903" s="403"/>
      <c r="B903" s="403"/>
      <c r="C903" s="403"/>
      <c r="D903" s="3" t="s">
        <v>379</v>
      </c>
      <c r="E903" s="1010" t="s">
        <v>419</v>
      </c>
      <c r="F903" s="1010"/>
      <c r="G903" s="875"/>
    </row>
    <row r="904" spans="1:9" ht="12.75">
      <c r="A904" s="403"/>
      <c r="B904" s="403"/>
      <c r="C904" s="403"/>
      <c r="D904" s="230"/>
      <c r="E904" s="875"/>
      <c r="F904" s="875"/>
      <c r="G904" s="875"/>
      <c r="H904" s="227"/>
      <c r="I904" s="227"/>
    </row>
    <row r="905" spans="1:9" ht="14.25">
      <c r="A905" s="231"/>
      <c r="B905" s="517" t="s">
        <v>324</v>
      </c>
      <c r="C905" s="403"/>
      <c r="D905" s="942" t="s">
        <v>587</v>
      </c>
      <c r="E905" s="987"/>
      <c r="F905" s="987"/>
      <c r="G905" s="37"/>
    </row>
    <row r="906" spans="1:9" ht="12.6" customHeight="1">
      <c r="A906" s="403"/>
      <c r="B906" s="403"/>
      <c r="C906" s="403"/>
      <c r="D906" s="987"/>
      <c r="E906" s="987"/>
      <c r="F906" s="987"/>
      <c r="G906" s="37"/>
    </row>
    <row r="907" spans="1:9" ht="14.25">
      <c r="A907" s="231"/>
      <c r="B907" s="231"/>
      <c r="C907" s="403"/>
      <c r="D907" s="230"/>
      <c r="E907" s="875"/>
      <c r="F907" s="875"/>
      <c r="G907" s="875"/>
      <c r="H907" s="227"/>
      <c r="I907" s="227"/>
    </row>
    <row r="908" spans="1:9" ht="12.75">
      <c r="A908" s="403"/>
      <c r="B908" s="517" t="s">
        <v>326</v>
      </c>
      <c r="C908" s="403"/>
      <c r="D908" s="1008" t="s">
        <v>588</v>
      </c>
      <c r="E908" s="1008"/>
      <c r="F908" s="1008"/>
      <c r="G908" s="875"/>
      <c r="H908" s="227"/>
      <c r="I908" s="227"/>
    </row>
    <row r="909" spans="1:9" ht="29.45" customHeight="1">
      <c r="A909" s="403"/>
      <c r="B909" s="474"/>
      <c r="C909" s="403"/>
      <c r="D909" s="1008"/>
      <c r="E909" s="1008"/>
      <c r="F909" s="1008"/>
      <c r="G909" s="875"/>
      <c r="H909" s="227"/>
      <c r="I909" s="227"/>
    </row>
    <row r="910" spans="1:9" ht="14.25">
      <c r="A910" s="231"/>
      <c r="B910"/>
      <c r="C910" s="403"/>
      <c r="D910" s="942" t="s">
        <v>579</v>
      </c>
      <c r="E910" s="942"/>
      <c r="F910" s="942"/>
      <c r="G910" s="875"/>
      <c r="H910" s="227"/>
      <c r="I910" s="227"/>
    </row>
    <row r="911" spans="1:9" ht="14.25">
      <c r="A911" s="231"/>
      <c r="B911" s="231"/>
      <c r="C911" s="403"/>
      <c r="D911" s="942"/>
      <c r="E911" s="942"/>
      <c r="F911" s="942"/>
      <c r="G911" s="875"/>
      <c r="H911" s="227"/>
      <c r="I911" s="227"/>
    </row>
    <row r="912" spans="1:9" ht="14.25">
      <c r="A912" s="231"/>
      <c r="B912" s="231"/>
      <c r="C912" s="403"/>
      <c r="D912" s="942"/>
      <c r="E912" s="942"/>
      <c r="F912" s="942"/>
      <c r="G912" s="875"/>
      <c r="H912" s="227"/>
      <c r="I912" s="227"/>
    </row>
    <row r="913" spans="1:9" ht="14.25">
      <c r="A913" s="231"/>
      <c r="B913" s="231"/>
      <c r="C913" s="403"/>
      <c r="D913" s="942"/>
      <c r="E913" s="942"/>
      <c r="F913" s="942"/>
      <c r="G913" s="875"/>
      <c r="H913" s="227"/>
      <c r="I913" s="227"/>
    </row>
    <row r="914" spans="1:9" ht="14.25">
      <c r="A914" s="231"/>
      <c r="B914" s="231"/>
      <c r="C914" s="403"/>
      <c r="D914" s="942"/>
      <c r="E914" s="942"/>
      <c r="F914" s="942"/>
      <c r="G914" s="875"/>
      <c r="H914" s="227"/>
      <c r="I914" s="227"/>
    </row>
    <row r="915" spans="1:9" ht="14.25">
      <c r="A915" s="231"/>
      <c r="B915" s="231"/>
      <c r="C915" s="403"/>
      <c r="D915" s="942"/>
      <c r="E915" s="942"/>
      <c r="F915" s="942"/>
      <c r="G915" s="875"/>
      <c r="H915" s="227"/>
      <c r="I915" s="227"/>
    </row>
    <row r="916" spans="1:9" ht="14.25">
      <c r="A916" s="231"/>
      <c r="B916" s="231"/>
      <c r="C916" s="403"/>
      <c r="D916" s="230"/>
      <c r="E916" s="875"/>
      <c r="F916" s="875"/>
      <c r="G916" s="875"/>
      <c r="H916" s="227"/>
      <c r="I916" s="227"/>
    </row>
    <row r="917" spans="1:9" ht="14.25">
      <c r="A917" s="231"/>
      <c r="B917" s="517" t="s">
        <v>326</v>
      </c>
      <c r="C917" s="403"/>
      <c r="D917" s="966" t="s">
        <v>580</v>
      </c>
      <c r="E917" s="966"/>
      <c r="F917" s="966"/>
      <c r="G917" s="875"/>
      <c r="H917" s="227"/>
      <c r="I917" s="227"/>
    </row>
    <row r="918" spans="1:9" ht="14.25">
      <c r="A918" s="231"/>
      <c r="B918" s="231"/>
      <c r="C918" s="403"/>
      <c r="D918" s="966" t="s">
        <v>581</v>
      </c>
      <c r="E918" s="966"/>
      <c r="F918" s="966"/>
      <c r="G918" s="875"/>
      <c r="H918" s="227"/>
      <c r="I918" s="227"/>
    </row>
    <row r="919" spans="1:9" ht="14.25">
      <c r="A919" s="231"/>
      <c r="B919" s="231"/>
      <c r="C919" s="403"/>
      <c r="D919" s="3" t="s">
        <v>589</v>
      </c>
      <c r="E919" s="1009" t="s">
        <v>419</v>
      </c>
      <c r="F919" s="1009"/>
      <c r="G919" s="875"/>
      <c r="H919" s="227"/>
      <c r="I919" s="227"/>
    </row>
    <row r="920" spans="1:9" ht="14.25">
      <c r="A920" s="231"/>
      <c r="B920" s="231"/>
      <c r="C920" s="403"/>
      <c r="D920" s="230"/>
      <c r="E920" s="875"/>
      <c r="F920" s="875"/>
      <c r="G920" s="875"/>
      <c r="H920" s="227"/>
      <c r="I920" s="227"/>
    </row>
    <row r="921" spans="1:9" ht="14.25">
      <c r="A921" s="231"/>
      <c r="B921" s="517" t="s">
        <v>326</v>
      </c>
      <c r="C921" s="403"/>
      <c r="D921" s="942" t="s">
        <v>582</v>
      </c>
      <c r="E921" s="942"/>
      <c r="F921" s="942"/>
      <c r="G921" s="875"/>
      <c r="H921" s="227"/>
      <c r="I921" s="227"/>
    </row>
    <row r="922" spans="1:9" ht="14.25">
      <c r="A922" s="231"/>
      <c r="B922" s="231"/>
      <c r="C922" s="403"/>
      <c r="D922" s="942"/>
      <c r="E922" s="942"/>
      <c r="F922" s="942"/>
      <c r="G922" s="875"/>
      <c r="H922" s="227"/>
      <c r="I922" s="227"/>
    </row>
    <row r="923" spans="1:9" ht="14.25">
      <c r="A923" s="231"/>
      <c r="B923" s="231"/>
      <c r="C923" s="403"/>
      <c r="D923" s="942"/>
      <c r="E923" s="942"/>
      <c r="F923" s="942"/>
      <c r="G923" s="875"/>
      <c r="H923" s="227"/>
      <c r="I923" s="227"/>
    </row>
    <row r="924" spans="1:9" ht="14.25">
      <c r="A924" s="231"/>
      <c r="B924" s="231"/>
      <c r="C924" s="403"/>
      <c r="D924" s="942"/>
      <c r="E924" s="942"/>
      <c r="F924" s="942"/>
      <c r="G924" s="875"/>
      <c r="H924" s="227"/>
      <c r="I924" s="227"/>
    </row>
    <row r="925" spans="1:9" ht="12.75">
      <c r="A925" s="230"/>
      <c r="B925" s="230"/>
      <c r="C925" s="874"/>
      <c r="D925" s="875"/>
      <c r="E925" s="875"/>
      <c r="F925" s="875"/>
      <c r="G925" s="875"/>
      <c r="H925" s="227"/>
      <c r="I925" s="227"/>
    </row>
    <row r="926" spans="1:9" ht="12.75">
      <c r="A926" s="967" t="s">
        <v>590</v>
      </c>
      <c r="B926" s="967"/>
      <c r="C926" s="967"/>
      <c r="D926" s="967"/>
      <c r="E926" s="967"/>
      <c r="F926" s="967"/>
      <c r="G926" s="967"/>
      <c r="H926" s="227"/>
      <c r="I926" s="227"/>
    </row>
    <row r="927" spans="1:9" ht="12.75">
      <c r="A927" s="230"/>
      <c r="B927" s="230"/>
      <c r="C927" s="874"/>
      <c r="D927" s="875"/>
      <c r="E927" s="875"/>
      <c r="F927" s="875"/>
      <c r="G927" s="875"/>
      <c r="H927" s="227"/>
      <c r="I927" s="227"/>
    </row>
    <row r="928" spans="1:9" ht="12.75">
      <c r="A928" s="403"/>
      <c r="B928" s="403"/>
      <c r="C928" s="874"/>
      <c r="D928" s="993" t="s">
        <v>591</v>
      </c>
      <c r="E928" s="993"/>
      <c r="F928" s="993"/>
      <c r="G928" s="875"/>
      <c r="H928" s="227"/>
      <c r="I928" s="227"/>
    </row>
    <row r="929" spans="1:9" ht="12.75">
      <c r="A929" s="165"/>
      <c r="B929" s="165"/>
      <c r="C929" s="165"/>
      <c r="D929" s="963" t="s">
        <v>592</v>
      </c>
      <c r="E929" s="963"/>
      <c r="F929" s="963"/>
      <c r="G929" s="875"/>
      <c r="H929" s="227"/>
      <c r="I929" s="227"/>
    </row>
    <row r="930" spans="1:9" ht="12.75">
      <c r="A930" s="165"/>
      <c r="B930" s="165"/>
      <c r="C930" s="165"/>
      <c r="D930" s="37"/>
      <c r="E930" s="37"/>
      <c r="F930" s="875"/>
      <c r="G930" s="875"/>
      <c r="H930" s="227"/>
      <c r="I930" s="227"/>
    </row>
    <row r="931" spans="1:9" ht="13.7" customHeight="1">
      <c r="A931" s="165"/>
      <c r="B931" s="517" t="s">
        <v>326</v>
      </c>
      <c r="C931" s="165"/>
      <c r="D931" s="969" t="s">
        <v>593</v>
      </c>
      <c r="E931" s="969"/>
      <c r="F931" s="969"/>
      <c r="G931" s="875"/>
      <c r="H931" s="227"/>
      <c r="I931" s="227"/>
    </row>
    <row r="932" spans="1:9" ht="12.75">
      <c r="A932" s="165"/>
      <c r="B932" s="165"/>
      <c r="C932" s="165"/>
      <c r="D932" s="969"/>
      <c r="E932" s="969"/>
      <c r="F932" s="969"/>
      <c r="G932" s="875"/>
      <c r="H932" s="227"/>
      <c r="I932" s="227"/>
    </row>
    <row r="933" spans="1:9" ht="12.75">
      <c r="A933" s="165"/>
      <c r="B933" s="165"/>
      <c r="C933" s="165"/>
      <c r="D933" s="969"/>
      <c r="E933" s="969"/>
      <c r="F933" s="969"/>
      <c r="G933" s="875"/>
      <c r="H933" s="227"/>
      <c r="I933" s="227"/>
    </row>
    <row r="934" spans="1:9" ht="12.75">
      <c r="A934" s="165"/>
      <c r="B934" s="165"/>
      <c r="C934" s="165"/>
      <c r="D934" s="969"/>
      <c r="E934" s="969"/>
      <c r="F934" s="969"/>
      <c r="G934" s="875"/>
      <c r="H934" s="227"/>
      <c r="I934" s="227"/>
    </row>
    <row r="935" spans="1:9" ht="12.75">
      <c r="A935" s="165"/>
      <c r="B935" s="165"/>
      <c r="C935" s="165"/>
      <c r="D935" s="969"/>
      <c r="E935" s="969"/>
      <c r="F935" s="969"/>
      <c r="G935" s="875"/>
      <c r="H935" s="227"/>
      <c r="I935" s="227"/>
    </row>
    <row r="936" spans="1:9" ht="12.75">
      <c r="A936" s="166"/>
      <c r="B936" s="166"/>
      <c r="C936" s="166"/>
      <c r="D936" s="37"/>
      <c r="E936" s="37"/>
      <c r="F936" s="875"/>
      <c r="G936" s="875"/>
      <c r="H936" s="227"/>
      <c r="I936" s="227"/>
    </row>
    <row r="937" spans="1:9" ht="14.25" customHeight="1">
      <c r="A937" s="231"/>
      <c r="B937" s="517" t="s">
        <v>324</v>
      </c>
      <c r="C937" s="166"/>
      <c r="D937" s="950" t="s">
        <v>594</v>
      </c>
      <c r="E937" s="950"/>
      <c r="F937" s="950"/>
      <c r="G937" s="875"/>
      <c r="H937" s="227"/>
      <c r="I937" s="227"/>
    </row>
    <row r="938" spans="1:9" ht="14.25" customHeight="1">
      <c r="A938" s="231"/>
      <c r="B938" s="231"/>
      <c r="C938" s="166"/>
      <c r="D938" s="950"/>
      <c r="E938" s="950"/>
      <c r="F938" s="950"/>
      <c r="G938" s="875"/>
      <c r="H938" s="227"/>
      <c r="I938" s="227"/>
    </row>
    <row r="939" spans="1:9" ht="14.25" customHeight="1">
      <c r="A939" s="231"/>
      <c r="B939" s="231"/>
      <c r="C939" s="166"/>
      <c r="D939" s="950"/>
      <c r="E939" s="950"/>
      <c r="F939" s="950"/>
      <c r="G939" s="875"/>
      <c r="H939" s="227"/>
      <c r="I939" s="227"/>
    </row>
    <row r="940" spans="1:9" ht="14.25" customHeight="1">
      <c r="A940" s="231"/>
      <c r="B940" s="231"/>
      <c r="C940" s="166"/>
      <c r="D940" s="950"/>
      <c r="E940" s="950"/>
      <c r="F940" s="950"/>
      <c r="G940" s="875"/>
      <c r="H940" s="227"/>
      <c r="I940" s="227"/>
    </row>
    <row r="941" spans="1:9" ht="14.25" customHeight="1">
      <c r="A941" s="166"/>
      <c r="B941" s="166"/>
      <c r="C941" s="166"/>
      <c r="D941" s="950"/>
      <c r="E941" s="950"/>
      <c r="F941" s="950"/>
      <c r="G941" s="875"/>
      <c r="H941" s="227"/>
      <c r="I941" s="227"/>
    </row>
    <row r="942" spans="1:9" ht="14.25" customHeight="1">
      <c r="A942" s="166"/>
      <c r="B942" s="166"/>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3"/>
      <c r="E944" s="37"/>
      <c r="F944" s="875"/>
      <c r="G944" s="875"/>
      <c r="H944" s="227"/>
      <c r="I944" s="227"/>
    </row>
    <row r="945" spans="1:9" s="269" customFormat="1" ht="14.25" customHeight="1">
      <c r="A945" s="289"/>
      <c r="B945" s="517" t="s">
        <v>324</v>
      </c>
      <c r="C945" s="290"/>
      <c r="D945" s="950" t="s">
        <v>595</v>
      </c>
      <c r="E945" s="950"/>
      <c r="F945" s="950"/>
      <c r="G945" s="879"/>
      <c r="H945" s="291"/>
      <c r="I945" s="291"/>
    </row>
    <row r="946" spans="1:9" s="269" customFormat="1" ht="14.25" customHeight="1">
      <c r="A946" s="289"/>
      <c r="B946" s="289"/>
      <c r="C946" s="290"/>
      <c r="D946" s="950"/>
      <c r="E946" s="950"/>
      <c r="F946" s="950"/>
      <c r="G946" s="879"/>
      <c r="H946" s="291"/>
      <c r="I946" s="291"/>
    </row>
    <row r="947" spans="1:9" s="269" customFormat="1" ht="14.25" customHeight="1">
      <c r="A947" s="289"/>
      <c r="B947" s="289"/>
      <c r="C947" s="290"/>
      <c r="D947" s="950"/>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4.25" customHeight="1">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ht="14.25" customHeight="1">
      <c r="A954" s="166"/>
      <c r="B954" s="166"/>
      <c r="C954" s="166"/>
      <c r="D954" s="3"/>
      <c r="E954" s="37"/>
      <c r="F954" s="875"/>
      <c r="G954" s="875"/>
      <c r="H954" s="227"/>
      <c r="I954" s="227"/>
    </row>
    <row r="955" spans="1:9" ht="14.25" customHeight="1">
      <c r="A955" s="231"/>
      <c r="B955" s="517" t="s">
        <v>324</v>
      </c>
      <c r="C955" s="166"/>
      <c r="D955" s="991" t="s">
        <v>596</v>
      </c>
      <c r="E955" s="991"/>
      <c r="F955" s="991"/>
      <c r="G955" s="875"/>
      <c r="H955" s="227"/>
      <c r="I955" s="227"/>
    </row>
    <row r="956" spans="1:9" ht="14.25" customHeight="1">
      <c r="A956" s="231"/>
      <c r="B956" s="231"/>
      <c r="C956" s="166"/>
      <c r="D956" s="991"/>
      <c r="E956" s="991"/>
      <c r="F956" s="991"/>
      <c r="G956" s="875"/>
      <c r="H956" s="227"/>
      <c r="I956" s="227"/>
    </row>
    <row r="957" spans="1:9" ht="14.25" customHeight="1">
      <c r="A957" s="231"/>
      <c r="B957" s="231"/>
      <c r="C957" s="166"/>
      <c r="D957" s="991"/>
      <c r="E957" s="991"/>
      <c r="F957" s="991"/>
      <c r="G957" s="875"/>
      <c r="H957" s="227"/>
      <c r="I957" s="227"/>
    </row>
    <row r="958" spans="1:9" ht="14.25" customHeight="1">
      <c r="A958" s="231"/>
      <c r="B958" s="231"/>
      <c r="C958" s="166"/>
      <c r="D958" s="991"/>
      <c r="E958" s="991"/>
      <c r="F958" s="991"/>
      <c r="G958" s="875"/>
      <c r="H958" s="227"/>
      <c r="I958" s="227"/>
    </row>
    <row r="959" spans="1:9" ht="14.25" customHeight="1">
      <c r="A959" s="231"/>
      <c r="B959" s="231"/>
      <c r="C959" s="166"/>
      <c r="D959" s="991"/>
      <c r="E959" s="991"/>
      <c r="F959" s="991"/>
      <c r="G959" s="875"/>
      <c r="H959" s="227"/>
      <c r="I959" s="227"/>
    </row>
    <row r="960" spans="1:9" ht="14.25" customHeight="1">
      <c r="A960" s="231"/>
      <c r="B960" s="231"/>
      <c r="C960" s="166"/>
      <c r="D960" s="991"/>
      <c r="E960" s="991"/>
      <c r="F960" s="991"/>
      <c r="G960" s="875"/>
      <c r="H960" s="227"/>
      <c r="I960" s="227"/>
    </row>
    <row r="961" spans="1:9" ht="14.25" customHeight="1">
      <c r="A961" s="231"/>
      <c r="B961" s="231"/>
      <c r="C961" s="166"/>
      <c r="D961" s="991"/>
      <c r="E961" s="991"/>
      <c r="F961" s="991"/>
      <c r="G961" s="875"/>
      <c r="H961" s="227"/>
      <c r="I961" s="227"/>
    </row>
    <row r="962" spans="1:9" ht="14.25" customHeight="1">
      <c r="A962" s="231"/>
      <c r="B962" s="231"/>
      <c r="C962" s="166"/>
      <c r="D962" s="300"/>
      <c r="E962" s="37"/>
      <c r="F962" s="875"/>
      <c r="G962" s="875"/>
      <c r="H962" s="227"/>
      <c r="I962" s="227"/>
    </row>
    <row r="963" spans="1:9" s="367" customFormat="1" ht="14.25">
      <c r="A963" s="231"/>
      <c r="B963" s="517" t="s">
        <v>326</v>
      </c>
      <c r="C963" s="166"/>
      <c r="D963" s="950" t="s">
        <v>597</v>
      </c>
      <c r="E963" s="950"/>
      <c r="F963" s="950"/>
      <c r="G963" s="875"/>
    </row>
    <row r="964" spans="1:9" s="367" customFormat="1" ht="14.25">
      <c r="A964" s="231"/>
      <c r="B964" s="231"/>
      <c r="C964" s="166"/>
      <c r="D964" s="950"/>
      <c r="E964" s="950"/>
      <c r="F964" s="950"/>
      <c r="G964" s="875"/>
    </row>
    <row r="965" spans="1:9" s="367" customFormat="1" ht="14.25">
      <c r="A965" s="231"/>
      <c r="B965" s="231"/>
      <c r="C965" s="166"/>
      <c r="D965" s="950"/>
      <c r="E965" s="950"/>
      <c r="F965" s="950"/>
      <c r="G965" s="875"/>
    </row>
    <row r="966" spans="1:9" s="367" customFormat="1" ht="14.25">
      <c r="A966" s="231"/>
      <c r="B966" s="231"/>
      <c r="C966" s="166"/>
      <c r="D966" s="950"/>
      <c r="E966" s="950"/>
      <c r="F966" s="950"/>
      <c r="G966" s="875"/>
    </row>
    <row r="967" spans="1:9" s="367" customFormat="1" ht="14.25">
      <c r="A967" s="231"/>
      <c r="B967" s="231"/>
      <c r="C967" s="166"/>
      <c r="D967" s="3"/>
      <c r="E967" s="37"/>
      <c r="F967" s="875"/>
      <c r="G967" s="875"/>
    </row>
    <row r="968" spans="1:9" ht="14.25" customHeight="1">
      <c r="A968" s="18"/>
      <c r="B968" s="18"/>
      <c r="C968" s="874"/>
      <c r="D968" s="942" t="s">
        <v>598</v>
      </c>
      <c r="E968" s="942"/>
      <c r="F968" s="942"/>
      <c r="G968" s="875"/>
      <c r="H968" s="227"/>
      <c r="I968" s="227"/>
    </row>
    <row r="969" spans="1:9" ht="14.25" customHeight="1">
      <c r="A969" s="874"/>
      <c r="B969" s="874"/>
      <c r="C969" s="874"/>
      <c r="D969" s="942"/>
      <c r="E969" s="942"/>
      <c r="F969" s="942"/>
      <c r="G969" s="875"/>
      <c r="H969" s="227"/>
      <c r="I969" s="227"/>
    </row>
    <row r="970" spans="1:9" ht="14.25" customHeight="1">
      <c r="A970" s="874"/>
      <c r="B970" s="874"/>
      <c r="C970" s="874"/>
      <c r="D970" s="3"/>
      <c r="E970" s="875"/>
      <c r="F970" s="875"/>
      <c r="G970" s="875"/>
      <c r="H970" s="227"/>
      <c r="I970" s="227"/>
    </row>
    <row r="971" spans="1:9" ht="14.25">
      <c r="A971" s="231"/>
      <c r="B971" s="517" t="s">
        <v>324</v>
      </c>
      <c r="C971" s="403"/>
      <c r="D971" s="942" t="s">
        <v>599</v>
      </c>
      <c r="E971" s="942"/>
      <c r="F971" s="942"/>
      <c r="G971" s="37"/>
    </row>
    <row r="972" spans="1:9" ht="12.75">
      <c r="A972" s="403"/>
      <c r="B972" s="403"/>
      <c r="C972" s="403"/>
      <c r="D972" s="942"/>
      <c r="E972" s="942"/>
      <c r="F972" s="942"/>
      <c r="G972" s="37"/>
    </row>
    <row r="973" spans="1:9" ht="14.25" customHeight="1">
      <c r="A973" s="874"/>
      <c r="B973" s="874"/>
      <c r="C973" s="874"/>
      <c r="D973" s="3"/>
      <c r="E973" s="875"/>
      <c r="F973" s="875"/>
      <c r="G973" s="875"/>
      <c r="H973" s="227"/>
      <c r="I973" s="227"/>
    </row>
    <row r="974" spans="1:9" ht="14.25" customHeight="1">
      <c r="A974" s="166"/>
      <c r="B974" s="166"/>
      <c r="C974" s="166"/>
      <c r="D974" s="993" t="s">
        <v>600</v>
      </c>
      <c r="E974" s="993"/>
      <c r="F974" s="993"/>
      <c r="G974" s="875"/>
      <c r="H974" s="227"/>
      <c r="I974" s="227"/>
    </row>
    <row r="975" spans="1:9" ht="14.25" customHeight="1">
      <c r="A975" s="166"/>
      <c r="B975" s="166"/>
      <c r="C975" s="166"/>
      <c r="D975" s="167"/>
      <c r="E975" s="37"/>
      <c r="F975" s="875"/>
      <c r="G975" s="875"/>
      <c r="H975" s="227"/>
      <c r="I975" s="227"/>
    </row>
    <row r="976" spans="1:9" ht="14.45" customHeight="1">
      <c r="A976" s="231"/>
      <c r="B976" s="517" t="s">
        <v>324</v>
      </c>
      <c r="C976" s="874"/>
      <c r="D976" s="970" t="s">
        <v>601</v>
      </c>
      <c r="E976" s="970"/>
      <c r="F976" s="970"/>
      <c r="G976" s="875"/>
      <c r="H976" s="227"/>
      <c r="I976" s="227"/>
    </row>
    <row r="977" spans="1:9" ht="12.75">
      <c r="A977" s="874"/>
      <c r="B977" s="874"/>
      <c r="C977" s="874"/>
      <c r="D977" s="970"/>
      <c r="E977" s="970"/>
      <c r="F977" s="970"/>
      <c r="G977" s="875"/>
      <c r="H977" s="227"/>
      <c r="I977" s="227"/>
    </row>
    <row r="978" spans="1:9" ht="12.75">
      <c r="A978" s="874"/>
      <c r="B978" s="874"/>
      <c r="C978" s="874"/>
      <c r="D978" s="970"/>
      <c r="E978" s="970"/>
      <c r="F978" s="970"/>
      <c r="G978" s="875"/>
      <c r="H978" s="227"/>
      <c r="I978" s="227"/>
    </row>
    <row r="979" spans="1:9" ht="12.75">
      <c r="A979" s="874"/>
      <c r="B979" s="874"/>
      <c r="C979" s="874"/>
      <c r="D979" s="970"/>
      <c r="E979" s="970"/>
      <c r="F979" s="970"/>
      <c r="G979" s="875"/>
      <c r="H979" s="227"/>
      <c r="I979" s="227"/>
    </row>
    <row r="980" spans="1:9" ht="12.75">
      <c r="A980" s="874"/>
      <c r="B980" s="874"/>
      <c r="C980" s="874"/>
      <c r="D980" s="970"/>
      <c r="E980" s="970"/>
      <c r="F980" s="970"/>
      <c r="G980" s="875"/>
      <c r="H980" s="227"/>
      <c r="I980" s="227"/>
    </row>
    <row r="981" spans="1:9" ht="12.75">
      <c r="A981" s="874"/>
      <c r="B981" s="874"/>
      <c r="C981" s="874"/>
      <c r="D981" s="970"/>
      <c r="E981" s="970"/>
      <c r="F981" s="970"/>
      <c r="G981" s="875"/>
      <c r="H981" s="227"/>
      <c r="I981" s="227"/>
    </row>
    <row r="982" spans="1:9" ht="12.75">
      <c r="A982" s="874"/>
      <c r="B982" s="874"/>
      <c r="C982" s="874"/>
      <c r="D982" s="520"/>
      <c r="E982" s="520"/>
      <c r="F982" s="520"/>
      <c r="G982" s="875"/>
      <c r="H982" s="227"/>
      <c r="I982" s="227"/>
    </row>
    <row r="983" spans="1:9" ht="14.45" customHeight="1">
      <c r="A983" s="231"/>
      <c r="B983" s="517" t="s">
        <v>326</v>
      </c>
      <c r="C983" s="874"/>
      <c r="D983" s="970" t="s">
        <v>602</v>
      </c>
      <c r="E983" s="970"/>
      <c r="F983" s="970"/>
      <c r="G983" s="875"/>
      <c r="H983" s="227"/>
      <c r="I983" s="227"/>
    </row>
    <row r="984" spans="1:9" ht="12.75">
      <c r="A984" s="874"/>
      <c r="B984" s="874"/>
      <c r="C984" s="874"/>
      <c r="D984" s="970"/>
      <c r="E984" s="970"/>
      <c r="F984" s="970"/>
      <c r="G984" s="875"/>
      <c r="H984" s="227"/>
      <c r="I984" s="227"/>
    </row>
    <row r="985" spans="1:9" ht="12.75">
      <c r="A985" s="874"/>
      <c r="B985" s="874"/>
      <c r="C985" s="874"/>
      <c r="D985" s="970"/>
      <c r="E985" s="970"/>
      <c r="F985" s="970"/>
      <c r="G985" s="875"/>
      <c r="H985" s="227"/>
      <c r="I985" s="227"/>
    </row>
    <row r="986" spans="1:9" ht="12.75">
      <c r="A986" s="874"/>
      <c r="B986" s="874"/>
      <c r="C986" s="874"/>
      <c r="D986" s="970"/>
      <c r="E986" s="970"/>
      <c r="F986" s="970"/>
      <c r="G986" s="875"/>
      <c r="H986" s="227"/>
      <c r="I986" s="227"/>
    </row>
    <row r="987" spans="1:9" ht="12.75">
      <c r="A987" s="874"/>
      <c r="B987" s="874"/>
      <c r="C987" s="874"/>
      <c r="D987" s="970"/>
      <c r="E987" s="970"/>
      <c r="F987" s="970"/>
      <c r="G987" s="875"/>
      <c r="H987" s="227"/>
      <c r="I987" s="227"/>
    </row>
    <row r="988" spans="1:9" ht="12.75">
      <c r="A988" s="874"/>
      <c r="B988" s="874"/>
      <c r="C988" s="874"/>
      <c r="D988" s="298"/>
      <c r="E988" s="875"/>
      <c r="F988" s="875"/>
      <c r="G988" s="875"/>
      <c r="H988" s="227"/>
      <c r="I988" s="227"/>
    </row>
    <row r="989" spans="1:9" ht="14.25">
      <c r="A989" s="231"/>
      <c r="B989" s="517" t="s">
        <v>326</v>
      </c>
      <c r="C989" s="874"/>
      <c r="D989" s="970" t="s">
        <v>603</v>
      </c>
      <c r="E989" s="970"/>
      <c r="F989" s="970"/>
      <c r="G989" s="875"/>
      <c r="H989" s="227"/>
      <c r="I989" s="227"/>
    </row>
    <row r="990" spans="1:9" ht="12.75">
      <c r="A990" s="874"/>
      <c r="B990" s="874"/>
      <c r="C990" s="874"/>
      <c r="D990" s="970"/>
      <c r="E990" s="970"/>
      <c r="F990" s="970"/>
      <c r="G990" s="875"/>
      <c r="H990" s="227"/>
      <c r="I990" s="227"/>
    </row>
    <row r="991" spans="1:9" ht="12.75">
      <c r="A991" s="874"/>
      <c r="B991" s="874"/>
      <c r="C991" s="874"/>
      <c r="D991" s="970"/>
      <c r="E991" s="970"/>
      <c r="F991" s="970"/>
      <c r="G991" s="875"/>
      <c r="H991" s="227"/>
      <c r="I991" s="227"/>
    </row>
    <row r="992" spans="1:9" ht="12.75">
      <c r="A992" s="874"/>
      <c r="B992" s="874"/>
      <c r="C992" s="874"/>
      <c r="D992" s="970"/>
      <c r="E992" s="970"/>
      <c r="F992" s="970"/>
      <c r="G992" s="875"/>
      <c r="H992" s="227"/>
      <c r="I992" s="227"/>
    </row>
    <row r="993" spans="1:9" ht="12.75">
      <c r="A993" s="874"/>
      <c r="B993" s="874"/>
      <c r="C993" s="874"/>
      <c r="D993" s="970"/>
      <c r="E993" s="970"/>
      <c r="F993" s="970"/>
      <c r="G993" s="875"/>
      <c r="H993" s="227"/>
      <c r="I993" s="227"/>
    </row>
    <row r="994" spans="1:9" ht="12.75">
      <c r="A994" s="874"/>
      <c r="B994" s="874"/>
      <c r="C994" s="874"/>
      <c r="D994" s="298"/>
      <c r="E994" s="875"/>
      <c r="F994" s="875"/>
      <c r="G994" s="875"/>
      <c r="H994" s="227"/>
      <c r="I994" s="227"/>
    </row>
    <row r="995" spans="1:9" ht="14.45" customHeight="1">
      <c r="A995" s="231"/>
      <c r="B995" s="517" t="s">
        <v>326</v>
      </c>
      <c r="C995" s="874"/>
      <c r="D995" s="970" t="s">
        <v>604</v>
      </c>
      <c r="E995" s="970"/>
      <c r="F995" s="970"/>
      <c r="G995" s="875"/>
      <c r="H995" s="227"/>
      <c r="I995" s="227"/>
    </row>
    <row r="996" spans="1:9" ht="12.75">
      <c r="A996" s="874"/>
      <c r="B996" s="874"/>
      <c r="C996" s="874"/>
      <c r="D996" s="970"/>
      <c r="E996" s="970"/>
      <c r="F996" s="970"/>
      <c r="G996" s="875"/>
      <c r="H996" s="227"/>
      <c r="I996" s="227"/>
    </row>
    <row r="997" spans="1:9" ht="12.75">
      <c r="A997" s="874"/>
      <c r="B997" s="874"/>
      <c r="C997" s="874"/>
      <c r="D997" s="970"/>
      <c r="E997" s="970"/>
      <c r="F997" s="970"/>
      <c r="G997" s="875"/>
      <c r="H997" s="227"/>
      <c r="I997" s="227"/>
    </row>
    <row r="998" spans="1:9" ht="12.75">
      <c r="A998" s="874"/>
      <c r="B998" s="874"/>
      <c r="C998" s="874"/>
      <c r="D998" s="520"/>
      <c r="E998" s="520"/>
      <c r="F998" s="520"/>
      <c r="G998" s="875"/>
      <c r="H998" s="227"/>
      <c r="I998" s="227"/>
    </row>
    <row r="999" spans="1:9" ht="14.25">
      <c r="A999" s="231"/>
      <c r="B999" s="517" t="s">
        <v>326</v>
      </c>
      <c r="C999" s="874"/>
      <c r="D999" s="970" t="s">
        <v>605</v>
      </c>
      <c r="E999" s="970"/>
      <c r="F999" s="970"/>
      <c r="G999" s="875"/>
      <c r="H999" s="227"/>
      <c r="I999" s="227"/>
    </row>
    <row r="1000" spans="1:9" ht="12.75">
      <c r="A1000" s="874"/>
      <c r="B1000" s="874"/>
      <c r="C1000" s="874"/>
      <c r="D1000" s="970"/>
      <c r="E1000" s="970"/>
      <c r="F1000" s="970"/>
      <c r="G1000" s="875"/>
      <c r="H1000" s="227"/>
      <c r="I1000" s="227"/>
    </row>
    <row r="1001" spans="1:9" ht="12.75">
      <c r="A1001" s="874"/>
      <c r="B1001" s="874"/>
      <c r="C1001" s="874"/>
      <c r="D1001" s="298"/>
      <c r="E1001" s="875"/>
      <c r="F1001" s="875"/>
      <c r="G1001" s="875"/>
      <c r="H1001" s="227"/>
      <c r="I1001" s="227"/>
    </row>
    <row r="1002" spans="1:9" ht="12.75">
      <c r="A1002" s="874"/>
      <c r="B1002" s="517" t="s">
        <v>326</v>
      </c>
      <c r="C1002" s="874"/>
      <c r="D1002" s="942" t="s">
        <v>606</v>
      </c>
      <c r="E1002" s="942"/>
      <c r="F1002" s="942"/>
      <c r="G1002" s="875"/>
      <c r="H1002" s="227"/>
      <c r="I1002" s="227"/>
    </row>
    <row r="1003" spans="1:9" ht="12.75">
      <c r="A1003" s="874"/>
      <c r="B1003" s="874"/>
      <c r="C1003" s="874"/>
      <c r="D1003" s="942"/>
      <c r="E1003" s="942"/>
      <c r="F1003" s="942"/>
      <c r="G1003" s="875"/>
      <c r="H1003" s="227"/>
      <c r="I1003" s="227"/>
    </row>
    <row r="1004" spans="1:9" ht="12.75">
      <c r="A1004" s="874"/>
      <c r="B1004" s="874"/>
      <c r="C1004" s="874"/>
      <c r="D1004" s="875"/>
      <c r="E1004" s="875"/>
      <c r="F1004" s="875"/>
      <c r="G1004" s="875"/>
      <c r="H1004" s="227"/>
      <c r="I1004" s="227"/>
    </row>
    <row r="1005" spans="1:9" ht="12.75">
      <c r="A1005" s="874"/>
      <c r="B1005" s="517" t="s">
        <v>326</v>
      </c>
      <c r="C1005" s="874"/>
      <c r="D1005" s="995" t="s">
        <v>607</v>
      </c>
      <c r="E1005" s="995"/>
      <c r="F1005" s="995"/>
      <c r="G1005" s="875"/>
      <c r="H1005" s="227"/>
      <c r="I1005" s="227"/>
    </row>
    <row r="1006" spans="1:9" ht="12.75">
      <c r="A1006" s="874"/>
      <c r="B1006" s="874"/>
      <c r="C1006" s="874"/>
      <c r="D1006" s="995"/>
      <c r="E1006" s="995"/>
      <c r="F1006" s="995"/>
      <c r="G1006" s="875"/>
      <c r="H1006" s="227"/>
      <c r="I1006" s="227"/>
    </row>
    <row r="1007" spans="1:9" ht="12.75">
      <c r="A1007" s="874"/>
      <c r="B1007" s="874"/>
      <c r="C1007" s="874"/>
      <c r="D1007" s="995"/>
      <c r="E1007" s="995"/>
      <c r="F1007" s="995"/>
      <c r="G1007" s="875"/>
      <c r="H1007" s="227"/>
      <c r="I1007" s="227"/>
    </row>
    <row r="1008" spans="1:9" ht="12.75">
      <c r="A1008" s="874"/>
      <c r="B1008" s="874"/>
      <c r="C1008" s="874"/>
      <c r="D1008" s="995"/>
      <c r="E1008" s="995"/>
      <c r="F1008" s="995"/>
      <c r="G1008" s="875"/>
      <c r="H1008" s="227"/>
      <c r="I1008" s="227"/>
    </row>
    <row r="1009" spans="1:9" ht="12.75">
      <c r="A1009" s="874"/>
      <c r="B1009" s="874"/>
      <c r="C1009" s="874"/>
      <c r="D1009" s="230"/>
      <c r="E1009" s="875"/>
      <c r="F1009" s="875"/>
      <c r="G1009" s="875"/>
      <c r="H1009" s="227"/>
      <c r="I1009" s="227"/>
    </row>
    <row r="1010" spans="1:9" ht="12.75">
      <c r="A1010" s="874"/>
      <c r="B1010" s="517" t="s">
        <v>326</v>
      </c>
      <c r="C1010" s="874"/>
      <c r="D1010" s="963" t="s">
        <v>608</v>
      </c>
      <c r="E1010" s="963"/>
      <c r="F1010" s="963"/>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3" t="s">
        <v>609</v>
      </c>
      <c r="E1012" s="963"/>
      <c r="F1012" s="963"/>
      <c r="G1012" s="875"/>
      <c r="H1012" s="227"/>
      <c r="I1012" s="227"/>
    </row>
    <row r="1013" spans="1:9" ht="12.75" customHeight="1">
      <c r="A1013" s="874"/>
      <c r="B1013" s="874"/>
      <c r="C1013" s="874"/>
      <c r="D1013" s="875"/>
      <c r="E1013" s="875"/>
      <c r="F1013" s="875"/>
      <c r="G1013" s="875"/>
      <c r="H1013" s="227"/>
      <c r="I1013" s="227"/>
    </row>
    <row r="1014" spans="1:9" ht="12.75">
      <c r="A1014" s="874"/>
      <c r="B1014" s="403"/>
      <c r="C1014" s="874"/>
      <c r="D1014" s="968" t="s">
        <v>610</v>
      </c>
      <c r="E1014" s="968"/>
      <c r="F1014" s="968"/>
      <c r="G1014" s="875"/>
      <c r="H1014" s="227"/>
      <c r="I1014" s="227"/>
    </row>
    <row r="1015" spans="1:9" ht="12.75">
      <c r="A1015" s="874"/>
      <c r="B1015" s="403"/>
      <c r="C1015" s="874"/>
      <c r="D1015" s="167"/>
      <c r="E1015" s="875"/>
      <c r="F1015" s="875"/>
      <c r="G1015" s="875"/>
      <c r="H1015" s="227"/>
      <c r="I1015" s="227"/>
    </row>
    <row r="1016" spans="1:9" ht="14.25">
      <c r="A1016" s="231"/>
      <c r="B1016" s="517" t="s">
        <v>324</v>
      </c>
      <c r="C1016" s="874"/>
      <c r="D1016" s="942" t="s">
        <v>611</v>
      </c>
      <c r="E1016" s="942"/>
      <c r="F1016" s="942"/>
      <c r="G1016" s="875"/>
      <c r="H1016" s="227"/>
      <c r="I1016" s="227"/>
    </row>
    <row r="1017" spans="1:9" ht="12.75">
      <c r="A1017" s="874"/>
      <c r="B1017" s="874"/>
      <c r="C1017" s="874"/>
      <c r="D1017" s="942"/>
      <c r="E1017" s="942"/>
      <c r="F1017" s="942"/>
      <c r="G1017" s="875"/>
      <c r="H1017" s="227"/>
      <c r="I1017" s="227"/>
    </row>
    <row r="1018" spans="1:9" ht="12.75">
      <c r="A1018" s="874"/>
      <c r="B1018" s="874"/>
      <c r="C1018" s="874"/>
      <c r="D1018" s="942"/>
      <c r="E1018" s="942"/>
      <c r="F1018" s="942"/>
      <c r="G1018" s="875"/>
      <c r="H1018" s="227"/>
      <c r="I1018" s="227"/>
    </row>
    <row r="1019" spans="1:9" ht="12.75">
      <c r="A1019" s="874"/>
      <c r="B1019" s="874"/>
      <c r="C1019" s="874"/>
      <c r="D1019" s="942"/>
      <c r="E1019" s="942"/>
      <c r="F1019" s="942"/>
      <c r="G1019" s="875"/>
      <c r="H1019" s="227"/>
      <c r="I1019" s="227"/>
    </row>
    <row r="1020" spans="1:9" ht="12.75">
      <c r="A1020" s="874"/>
      <c r="B1020" s="874"/>
      <c r="C1020" s="874"/>
      <c r="D1020" s="942"/>
      <c r="E1020" s="942"/>
      <c r="F1020" s="942"/>
      <c r="G1020" s="875"/>
      <c r="H1020" s="227"/>
      <c r="I1020" s="227"/>
    </row>
    <row r="1021" spans="1:9" ht="12.75">
      <c r="A1021" s="874"/>
      <c r="B1021" s="874"/>
      <c r="C1021" s="874"/>
      <c r="D1021" s="37"/>
      <c r="E1021" s="37"/>
      <c r="F1021" s="37"/>
      <c r="G1021" s="875"/>
      <c r="H1021" s="227"/>
      <c r="I1021" s="227"/>
    </row>
    <row r="1022" spans="1:9" ht="14.25">
      <c r="A1022" s="231"/>
      <c r="B1022" s="517" t="s">
        <v>326</v>
      </c>
      <c r="C1022" s="874"/>
      <c r="D1022" s="942" t="s">
        <v>612</v>
      </c>
      <c r="E1022" s="942"/>
      <c r="F1022" s="942"/>
      <c r="G1022" s="875"/>
      <c r="H1022" s="227"/>
      <c r="I1022" s="227"/>
    </row>
    <row r="1023" spans="1:9" ht="12.75">
      <c r="A1023" s="874"/>
      <c r="B1023" s="874"/>
      <c r="C1023" s="874"/>
      <c r="D1023" s="942"/>
      <c r="E1023" s="942"/>
      <c r="F1023" s="942"/>
      <c r="G1023" s="875"/>
      <c r="H1023" s="227"/>
      <c r="I1023" s="227"/>
    </row>
    <row r="1024" spans="1:9" ht="12.75">
      <c r="A1024" s="874"/>
      <c r="B1024" s="874"/>
      <c r="C1024" s="874"/>
      <c r="D1024" s="942"/>
      <c r="E1024" s="942"/>
      <c r="F1024" s="942"/>
      <c r="G1024" s="875"/>
      <c r="H1024" s="227"/>
      <c r="I1024" s="227"/>
    </row>
    <row r="1025" spans="1:9" ht="12.75">
      <c r="A1025" s="874"/>
      <c r="B1025" s="874"/>
      <c r="C1025" s="874"/>
      <c r="D1025" s="942"/>
      <c r="E1025" s="942"/>
      <c r="F1025" s="942"/>
      <c r="G1025" s="875"/>
      <c r="H1025" s="227"/>
      <c r="I1025" s="227"/>
    </row>
    <row r="1026" spans="1:9" ht="12.75">
      <c r="A1026" s="874"/>
      <c r="B1026" s="874"/>
      <c r="C1026" s="874"/>
      <c r="D1026" s="942"/>
      <c r="E1026" s="942"/>
      <c r="F1026" s="942"/>
      <c r="G1026" s="875"/>
      <c r="H1026" s="227"/>
      <c r="I1026" s="227"/>
    </row>
    <row r="1027" spans="1:9" ht="12.75">
      <c r="A1027" s="874"/>
      <c r="B1027" s="874"/>
      <c r="C1027" s="874"/>
      <c r="D1027" s="875"/>
      <c r="E1027" s="875"/>
      <c r="F1027" s="875"/>
      <c r="G1027" s="875"/>
      <c r="H1027" s="227"/>
      <c r="I1027" s="227"/>
    </row>
    <row r="1028" spans="1:9" ht="12.75">
      <c r="A1028" s="874"/>
      <c r="B1028" s="874"/>
      <c r="C1028" s="874"/>
      <c r="D1028" s="968" t="s">
        <v>613</v>
      </c>
      <c r="E1028" s="968"/>
      <c r="F1028" s="968"/>
      <c r="G1028" s="875"/>
      <c r="H1028" s="227"/>
      <c r="I1028" s="227"/>
    </row>
    <row r="1029" spans="1:9" ht="12.75">
      <c r="A1029" s="874"/>
      <c r="B1029" s="874"/>
      <c r="C1029" s="874"/>
      <c r="D1029" s="167"/>
      <c r="E1029" s="875"/>
      <c r="F1029" s="875"/>
      <c r="G1029" s="875"/>
      <c r="H1029" s="227"/>
      <c r="I1029" s="227"/>
    </row>
    <row r="1030" spans="1:9" ht="14.25">
      <c r="A1030" s="231"/>
      <c r="B1030" s="517" t="s">
        <v>326</v>
      </c>
      <c r="C1030" s="874"/>
      <c r="D1030" s="942" t="s">
        <v>614</v>
      </c>
      <c r="E1030" s="942"/>
      <c r="F1030" s="942"/>
      <c r="G1030" s="875"/>
      <c r="H1030" s="227"/>
      <c r="I1030" s="227"/>
    </row>
    <row r="1031" spans="1:9" ht="12.75">
      <c r="A1031" s="874"/>
      <c r="B1031" s="874"/>
      <c r="C1031" s="874"/>
      <c r="D1031" s="942"/>
      <c r="E1031" s="942"/>
      <c r="F1031" s="942"/>
      <c r="G1031" s="875"/>
      <c r="H1031" s="227"/>
      <c r="I1031" s="227"/>
    </row>
    <row r="1032" spans="1:9" ht="12.75">
      <c r="A1032" s="874"/>
      <c r="B1032" s="874"/>
      <c r="C1032" s="874"/>
      <c r="D1032" s="942"/>
      <c r="E1032" s="942"/>
      <c r="F1032" s="942"/>
      <c r="G1032" s="875"/>
      <c r="H1032" s="227"/>
      <c r="I1032" s="227"/>
    </row>
    <row r="1033" spans="1:9" ht="12.75">
      <c r="A1033" s="874"/>
      <c r="B1033" s="874"/>
      <c r="C1033" s="874"/>
      <c r="D1033" s="37"/>
      <c r="E1033" s="37"/>
      <c r="F1033" s="37"/>
      <c r="G1033" s="875"/>
      <c r="H1033" s="227"/>
      <c r="I1033" s="227"/>
    </row>
    <row r="1034" spans="1:9" ht="14.25">
      <c r="A1034" s="231"/>
      <c r="B1034" s="517" t="s">
        <v>326</v>
      </c>
      <c r="C1034" s="874"/>
      <c r="D1034" s="942" t="s">
        <v>615</v>
      </c>
      <c r="E1034" s="942"/>
      <c r="F1034" s="942"/>
      <c r="G1034" s="875"/>
      <c r="H1034" s="227"/>
      <c r="I1034" s="227"/>
    </row>
    <row r="1035" spans="1:9" ht="12.75">
      <c r="A1035" s="874"/>
      <c r="B1035" s="874"/>
      <c r="C1035" s="874"/>
      <c r="D1035" s="942"/>
      <c r="E1035" s="942"/>
      <c r="F1035" s="942"/>
      <c r="G1035" s="875"/>
      <c r="H1035" s="227"/>
      <c r="I1035" s="227"/>
    </row>
    <row r="1036" spans="1:9" ht="12.75">
      <c r="A1036" s="874"/>
      <c r="B1036" s="874"/>
      <c r="C1036" s="874"/>
      <c r="D1036" s="942"/>
      <c r="E1036" s="942"/>
      <c r="F1036" s="942"/>
      <c r="G1036" s="875"/>
      <c r="H1036" s="227"/>
      <c r="I1036" s="227"/>
    </row>
    <row r="1037" spans="1:9" ht="12.75">
      <c r="A1037" s="874"/>
      <c r="B1037" s="874"/>
      <c r="C1037" s="874"/>
      <c r="D1037" s="230"/>
      <c r="E1037" s="875"/>
      <c r="F1037" s="875"/>
      <c r="G1037" s="875"/>
      <c r="H1037" s="227"/>
      <c r="I1037" s="227"/>
    </row>
    <row r="1038" spans="1:9" ht="12.75">
      <c r="A1038" s="874"/>
      <c r="B1038" s="874"/>
      <c r="C1038" s="874"/>
      <c r="D1038" s="968" t="s">
        <v>616</v>
      </c>
      <c r="E1038" s="968"/>
      <c r="F1038" s="968"/>
      <c r="G1038" s="875"/>
      <c r="H1038" s="227"/>
      <c r="I1038" s="227"/>
    </row>
    <row r="1039" spans="1:9" ht="12.75">
      <c r="A1039" s="874"/>
      <c r="B1039" s="874"/>
      <c r="C1039" s="874"/>
      <c r="D1039" s="167"/>
      <c r="E1039" s="875"/>
      <c r="F1039" s="875"/>
      <c r="G1039" s="875"/>
      <c r="H1039" s="227"/>
      <c r="I1039" s="227"/>
    </row>
    <row r="1040" spans="1:9" ht="14.25" customHeight="1">
      <c r="A1040" s="231"/>
      <c r="B1040" s="517" t="s">
        <v>326</v>
      </c>
      <c r="C1040" s="874"/>
      <c r="D1040" s="942" t="s">
        <v>617</v>
      </c>
      <c r="E1040" s="942"/>
      <c r="F1040" s="942"/>
      <c r="G1040" s="176"/>
      <c r="H1040" s="670"/>
      <c r="I1040" s="670"/>
    </row>
    <row r="1041" spans="1:9" ht="12.75">
      <c r="A1041" s="874"/>
      <c r="B1041" s="874"/>
      <c r="C1041" s="874"/>
      <c r="D1041" s="942"/>
      <c r="E1041" s="942"/>
      <c r="F1041" s="942"/>
      <c r="G1041" s="176"/>
      <c r="H1041" s="670"/>
      <c r="I1041" s="670"/>
    </row>
    <row r="1042" spans="1:9" ht="12.75">
      <c r="A1042" s="874"/>
      <c r="B1042" s="874"/>
      <c r="C1042" s="874"/>
      <c r="D1042" s="942"/>
      <c r="E1042" s="942"/>
      <c r="F1042" s="942"/>
      <c r="G1042" s="176"/>
      <c r="H1042" s="670"/>
      <c r="I1042" s="670"/>
    </row>
    <row r="1043" spans="1:9" ht="12" customHeight="1">
      <c r="A1043" s="874"/>
      <c r="B1043" s="874"/>
      <c r="C1043" s="874"/>
      <c r="D1043" s="670"/>
      <c r="E1043" s="670"/>
      <c r="F1043" s="670"/>
      <c r="G1043" s="670"/>
      <c r="H1043" s="670"/>
      <c r="I1043" s="670"/>
    </row>
    <row r="1044" spans="1:9" ht="12.75" customHeight="1">
      <c r="A1044" s="874"/>
      <c r="B1044" s="517" t="s">
        <v>326</v>
      </c>
      <c r="C1044" s="874"/>
      <c r="D1044" s="942" t="s">
        <v>618</v>
      </c>
      <c r="E1044" s="942"/>
      <c r="F1044" s="942"/>
      <c r="G1044" s="670"/>
      <c r="H1044" s="227"/>
      <c r="I1044" s="227"/>
    </row>
    <row r="1045" spans="1:9" ht="12.75">
      <c r="A1045" s="874"/>
      <c r="B1045" s="874"/>
      <c r="C1045" s="874"/>
      <c r="D1045" s="942"/>
      <c r="E1045" s="942"/>
      <c r="F1045" s="942"/>
      <c r="G1045" s="670"/>
      <c r="H1045" s="227"/>
      <c r="I1045" s="227"/>
    </row>
    <row r="1046" spans="1:9" ht="12.75">
      <c r="A1046" s="874"/>
      <c r="B1046" s="874"/>
      <c r="C1046" s="874"/>
      <c r="D1046" s="942"/>
      <c r="E1046" s="942"/>
      <c r="F1046" s="942"/>
      <c r="G1046" s="670"/>
      <c r="H1046" s="227"/>
      <c r="I1046" s="227"/>
    </row>
    <row r="1047" spans="1:9" ht="12" customHeight="1">
      <c r="A1047" s="874"/>
      <c r="B1047" s="874"/>
      <c r="C1047" s="874"/>
      <c r="D1047" s="230"/>
      <c r="E1047" s="875"/>
      <c r="F1047" s="875"/>
      <c r="G1047" s="875"/>
      <c r="H1047" s="227"/>
      <c r="I1047" s="227"/>
    </row>
    <row r="1048" spans="1:9" ht="12.75" customHeight="1">
      <c r="A1048" s="874"/>
      <c r="B1048" s="517" t="s">
        <v>326</v>
      </c>
      <c r="C1048" s="874"/>
      <c r="D1048" s="948" t="s">
        <v>619</v>
      </c>
      <c r="E1048" s="948"/>
      <c r="F1048" s="948"/>
      <c r="G1048" s="814"/>
      <c r="H1048" s="227"/>
      <c r="I1048" s="227"/>
    </row>
    <row r="1049" spans="1:9" ht="12.75">
      <c r="A1049" s="874"/>
      <c r="B1049" s="874"/>
      <c r="C1049" s="874"/>
      <c r="D1049" s="948"/>
      <c r="E1049" s="948"/>
      <c r="F1049" s="948"/>
      <c r="G1049" s="814"/>
      <c r="H1049" s="227"/>
      <c r="I1049" s="227"/>
    </row>
    <row r="1050" spans="1:9" ht="12.75">
      <c r="A1050" s="874"/>
      <c r="B1050" s="874"/>
      <c r="C1050" s="874"/>
      <c r="D1050" s="948"/>
      <c r="E1050" s="948"/>
      <c r="F1050" s="948"/>
      <c r="G1050" s="814"/>
      <c r="H1050" s="227"/>
      <c r="I1050" s="227"/>
    </row>
    <row r="1051" spans="1:9" ht="12" customHeight="1">
      <c r="A1051" s="874"/>
      <c r="B1051" s="874"/>
      <c r="C1051" s="874"/>
      <c r="D1051" s="875"/>
      <c r="E1051" s="875"/>
      <c r="F1051" s="875"/>
      <c r="G1051" s="875"/>
      <c r="H1051" s="227"/>
      <c r="I1051" s="227"/>
    </row>
    <row r="1052" spans="1:9" ht="12.75" customHeight="1">
      <c r="A1052" s="874"/>
      <c r="B1052" s="517" t="s">
        <v>326</v>
      </c>
      <c r="C1052" s="874"/>
      <c r="D1052" s="942" t="s">
        <v>620</v>
      </c>
      <c r="E1052" s="942"/>
      <c r="F1052" s="942"/>
      <c r="G1052" s="814"/>
      <c r="H1052" s="814"/>
      <c r="I1052" s="814"/>
    </row>
    <row r="1053" spans="1:9" ht="12.75">
      <c r="A1053" s="874"/>
      <c r="B1053" s="874"/>
      <c r="C1053" s="874"/>
      <c r="D1053" s="942"/>
      <c r="E1053" s="942"/>
      <c r="F1053" s="942"/>
      <c r="G1053" s="814"/>
      <c r="H1053" s="814"/>
      <c r="I1053" s="814"/>
    </row>
    <row r="1054" spans="1:9" ht="12.75">
      <c r="A1054" s="874"/>
      <c r="B1054" s="874"/>
      <c r="C1054" s="874"/>
      <c r="D1054" s="942"/>
      <c r="E1054" s="942"/>
      <c r="F1054" s="942"/>
      <c r="G1054" s="814"/>
      <c r="H1054" s="814"/>
      <c r="I1054" s="814"/>
    </row>
    <row r="1055" spans="1:9" ht="14.25">
      <c r="A1055" s="231"/>
      <c r="B1055" s="231"/>
      <c r="C1055" s="874"/>
      <c r="D1055" s="230"/>
      <c r="E1055" s="875"/>
      <c r="F1055" s="875"/>
      <c r="G1055" s="875"/>
      <c r="H1055" s="227"/>
      <c r="I1055" s="227"/>
    </row>
    <row r="1056" spans="1:9" ht="12.75" customHeight="1">
      <c r="A1056" s="874"/>
      <c r="B1056" s="517" t="s">
        <v>326</v>
      </c>
      <c r="C1056" s="874"/>
      <c r="D1056" s="942" t="s">
        <v>621</v>
      </c>
      <c r="E1056" s="942"/>
      <c r="F1056" s="942"/>
      <c r="G1056" s="814"/>
      <c r="H1056" s="814"/>
      <c r="I1056" s="814"/>
    </row>
    <row r="1057" spans="1:9" ht="12.75">
      <c r="A1057" s="874"/>
      <c r="B1057" s="874"/>
      <c r="C1057" s="874"/>
      <c r="D1057" s="942"/>
      <c r="E1057" s="942"/>
      <c r="F1057" s="942"/>
      <c r="G1057" s="814"/>
      <c r="H1057" s="814"/>
      <c r="I1057" s="814"/>
    </row>
    <row r="1058" spans="1:9" ht="12.75">
      <c r="A1058" s="874"/>
      <c r="B1058" s="874"/>
      <c r="C1058" s="874"/>
      <c r="D1058" s="942"/>
      <c r="E1058" s="942"/>
      <c r="F1058" s="942"/>
      <c r="G1058" s="814"/>
      <c r="H1058" s="814"/>
      <c r="I1058" s="814"/>
    </row>
    <row r="1059" spans="1:9" ht="12.75">
      <c r="A1059" s="874"/>
      <c r="B1059" s="874"/>
      <c r="C1059" s="874"/>
      <c r="D1059" s="230"/>
      <c r="E1059" s="875"/>
      <c r="F1059" s="875"/>
      <c r="G1059" s="875"/>
      <c r="H1059" s="227"/>
      <c r="I1059" s="227"/>
    </row>
    <row r="1060" spans="1:9" ht="12.75" customHeight="1">
      <c r="A1060" s="874"/>
      <c r="B1060" s="517" t="s">
        <v>326</v>
      </c>
      <c r="C1060" s="874"/>
      <c r="D1060" s="942" t="s">
        <v>622</v>
      </c>
      <c r="E1060" s="942"/>
      <c r="F1060" s="942"/>
      <c r="G1060" s="176"/>
      <c r="H1060" s="227"/>
      <c r="I1060" s="227"/>
    </row>
    <row r="1061" spans="1:9" ht="12.75">
      <c r="A1061" s="874"/>
      <c r="B1061" s="874"/>
      <c r="C1061" s="874"/>
      <c r="D1061" s="942"/>
      <c r="E1061" s="942"/>
      <c r="F1061" s="942"/>
      <c r="G1061" s="176"/>
      <c r="H1061" s="227"/>
      <c r="I1061" s="227"/>
    </row>
    <row r="1062" spans="1:9" ht="12.75">
      <c r="A1062" s="874"/>
      <c r="B1062" s="874"/>
      <c r="C1062" s="874"/>
      <c r="D1062" s="942"/>
      <c r="E1062" s="942"/>
      <c r="F1062" s="942"/>
      <c r="G1062" s="176"/>
      <c r="H1062" s="227"/>
      <c r="I1062" s="227"/>
    </row>
    <row r="1063" spans="1:9" ht="12.75">
      <c r="A1063" s="874"/>
      <c r="B1063" s="874"/>
      <c r="C1063" s="874"/>
      <c r="D1063" s="176"/>
      <c r="E1063" s="176"/>
      <c r="F1063" s="176"/>
      <c r="G1063" s="176"/>
      <c r="H1063" s="227"/>
      <c r="I1063" s="227"/>
    </row>
    <row r="1064" spans="1:9" ht="12.75" customHeight="1">
      <c r="A1064" s="874"/>
      <c r="B1064" s="517" t="s">
        <v>326</v>
      </c>
      <c r="C1064" s="874"/>
      <c r="D1064" s="942" t="s">
        <v>623</v>
      </c>
      <c r="E1064" s="942"/>
      <c r="F1064" s="942"/>
      <c r="G1064" s="176"/>
      <c r="H1064" s="227"/>
      <c r="I1064" s="227"/>
    </row>
    <row r="1065" spans="1:9" ht="12.75">
      <c r="A1065" s="874"/>
      <c r="B1065" s="874"/>
      <c r="C1065" s="874"/>
      <c r="D1065" s="942"/>
      <c r="E1065" s="942"/>
      <c r="F1065" s="942"/>
      <c r="G1065" s="176"/>
      <c r="H1065" s="227"/>
      <c r="I1065" s="227"/>
    </row>
    <row r="1066" spans="1:9" ht="12.75">
      <c r="A1066" s="874"/>
      <c r="B1066" s="874"/>
      <c r="C1066" s="874"/>
      <c r="D1066" s="942"/>
      <c r="E1066" s="942"/>
      <c r="F1066" s="942"/>
      <c r="G1066" s="176"/>
      <c r="H1066" s="227"/>
      <c r="I1066" s="227"/>
    </row>
    <row r="1067" spans="1:9" ht="12.75">
      <c r="A1067" s="874"/>
      <c r="B1067" s="874"/>
      <c r="C1067" s="874"/>
      <c r="D1067" s="256"/>
      <c r="E1067" s="256"/>
      <c r="F1067" s="256"/>
      <c r="G1067" s="256"/>
      <c r="H1067" s="227"/>
      <c r="I1067" s="227"/>
    </row>
    <row r="1068" spans="1:9" ht="12.75" customHeight="1">
      <c r="A1068" s="874"/>
      <c r="B1068" s="517" t="s">
        <v>326</v>
      </c>
      <c r="C1068" s="874"/>
      <c r="D1068" s="962" t="s">
        <v>624</v>
      </c>
      <c r="E1068" s="962"/>
      <c r="F1068" s="962"/>
      <c r="G1068" s="516"/>
      <c r="H1068" s="227"/>
      <c r="I1068" s="227"/>
    </row>
    <row r="1069" spans="1:9" ht="12.75">
      <c r="A1069" s="874"/>
      <c r="B1069" s="874"/>
      <c r="C1069" s="874"/>
      <c r="D1069" s="962"/>
      <c r="E1069" s="962"/>
      <c r="F1069" s="962"/>
      <c r="G1069" s="516"/>
      <c r="H1069" s="227"/>
      <c r="I1069" s="227"/>
    </row>
    <row r="1070" spans="1:9" ht="12.75">
      <c r="A1070" s="874"/>
      <c r="B1070" s="874"/>
      <c r="C1070" s="874"/>
      <c r="D1070" s="962"/>
      <c r="E1070" s="962"/>
      <c r="F1070" s="962"/>
      <c r="G1070" s="516"/>
      <c r="H1070" s="227"/>
      <c r="I1070" s="227"/>
    </row>
    <row r="1071" spans="1:9" ht="12.75">
      <c r="A1071" s="874"/>
      <c r="B1071" s="874"/>
      <c r="C1071" s="874"/>
      <c r="D1071" s="962"/>
      <c r="E1071" s="962"/>
      <c r="F1071" s="962"/>
      <c r="G1071" s="516"/>
      <c r="H1071" s="227"/>
      <c r="I1071" s="227"/>
    </row>
    <row r="1072" spans="1:9" ht="12.75">
      <c r="A1072" s="874"/>
      <c r="B1072" s="874"/>
      <c r="C1072" s="874"/>
      <c r="D1072" s="962"/>
      <c r="E1072" s="962"/>
      <c r="F1072" s="962"/>
      <c r="G1072" s="516"/>
      <c r="H1072" s="227"/>
      <c r="I1072" s="227"/>
    </row>
    <row r="1073" spans="1:9" ht="12.75">
      <c r="A1073" s="874"/>
      <c r="B1073" s="874"/>
      <c r="C1073" s="874"/>
      <c r="D1073" s="962"/>
      <c r="E1073" s="962"/>
      <c r="F1073" s="962"/>
      <c r="G1073" s="516"/>
      <c r="H1073" s="227"/>
      <c r="I1073" s="227"/>
    </row>
    <row r="1074" spans="1:9" ht="12.75">
      <c r="A1074" s="874"/>
      <c r="B1074" s="874"/>
      <c r="C1074" s="874"/>
      <c r="D1074" s="962"/>
      <c r="E1074" s="962"/>
      <c r="F1074" s="962"/>
      <c r="G1074" s="516"/>
      <c r="H1074" s="227"/>
      <c r="I1074" s="227"/>
    </row>
    <row r="1075" spans="1:9" ht="12.75">
      <c r="A1075" s="874"/>
      <c r="B1075" s="874"/>
      <c r="C1075" s="874"/>
      <c r="D1075" s="962"/>
      <c r="E1075" s="962"/>
      <c r="F1075" s="962"/>
      <c r="G1075" s="516"/>
      <c r="H1075" s="227"/>
      <c r="I1075" s="227"/>
    </row>
    <row r="1076" spans="1:9" ht="12.75">
      <c r="A1076" s="874"/>
      <c r="B1076" s="874"/>
      <c r="C1076" s="874"/>
      <c r="D1076" s="962"/>
      <c r="E1076" s="962"/>
      <c r="F1076" s="962"/>
      <c r="G1076" s="516"/>
      <c r="H1076" s="227"/>
      <c r="I1076" s="227"/>
    </row>
    <row r="1077" spans="1:9" ht="12.75">
      <c r="A1077" s="874"/>
      <c r="B1077" s="874"/>
      <c r="C1077" s="874"/>
      <c r="D1077" s="962"/>
      <c r="E1077" s="962"/>
      <c r="F1077" s="962"/>
      <c r="G1077" s="516"/>
      <c r="H1077" s="227"/>
      <c r="I1077" s="227"/>
    </row>
    <row r="1078" spans="1:9" ht="14.25" customHeight="1">
      <c r="A1078" s="874"/>
      <c r="B1078" s="874"/>
      <c r="C1078" s="874"/>
      <c r="D1078" s="962"/>
      <c r="E1078" s="962"/>
      <c r="F1078" s="962"/>
      <c r="G1078" s="516"/>
      <c r="H1078" s="227"/>
      <c r="I1078" s="227"/>
    </row>
    <row r="1079" spans="1:9" ht="12.75">
      <c r="A1079" s="874"/>
      <c r="B1079" s="874"/>
      <c r="C1079" s="874"/>
      <c r="D1079" s="863"/>
      <c r="E1079" s="863"/>
      <c r="F1079" s="863"/>
      <c r="G1079" s="863"/>
      <c r="H1079" s="227"/>
      <c r="I1079" s="227"/>
    </row>
    <row r="1080" spans="1:9" ht="12.75" customHeight="1">
      <c r="A1080" s="874"/>
      <c r="B1080" s="874"/>
      <c r="C1080" s="874"/>
      <c r="D1080" s="968" t="s">
        <v>625</v>
      </c>
      <c r="E1080" s="968"/>
      <c r="F1080" s="968"/>
      <c r="G1080" s="863"/>
      <c r="H1080" s="227"/>
      <c r="I1080" s="227"/>
    </row>
    <row r="1081" spans="1:9" ht="12.75" customHeight="1">
      <c r="A1081" s="874"/>
      <c r="B1081" s="874"/>
      <c r="C1081" s="874"/>
      <c r="D1081" s="167"/>
      <c r="E1081" s="863"/>
      <c r="F1081" s="863"/>
      <c r="G1081" s="863"/>
      <c r="H1081" s="227"/>
      <c r="I1081" s="227"/>
    </row>
    <row r="1082" spans="1:9" ht="14.25">
      <c r="A1082" s="231"/>
      <c r="B1082" s="517" t="s">
        <v>324</v>
      </c>
      <c r="C1082" s="874"/>
      <c r="D1082" s="942" t="s">
        <v>626</v>
      </c>
      <c r="E1082" s="942"/>
      <c r="F1082" s="942"/>
      <c r="G1082" s="875"/>
      <c r="H1082" s="227"/>
      <c r="I1082" s="227"/>
    </row>
    <row r="1083" spans="1:9" ht="12.75">
      <c r="A1083" s="874"/>
      <c r="B1083" s="874"/>
      <c r="C1083" s="874"/>
      <c r="D1083" s="942"/>
      <c r="E1083" s="942"/>
      <c r="F1083" s="942"/>
      <c r="G1083" s="875"/>
      <c r="H1083" s="227"/>
      <c r="I1083" s="227"/>
    </row>
    <row r="1084" spans="1:9" ht="12.75">
      <c r="A1084" s="874"/>
      <c r="B1084" s="874"/>
      <c r="C1084" s="874"/>
      <c r="D1084" s="942"/>
      <c r="E1084" s="942"/>
      <c r="F1084" s="942"/>
      <c r="G1084" s="875"/>
      <c r="H1084" s="227"/>
      <c r="I1084" s="227"/>
    </row>
    <row r="1085" spans="1:9" ht="12.75">
      <c r="A1085" s="874"/>
      <c r="B1085" s="874"/>
      <c r="C1085" s="874"/>
      <c r="D1085" s="942"/>
      <c r="E1085" s="942"/>
      <c r="F1085" s="942"/>
      <c r="G1085" s="875"/>
      <c r="H1085" s="227"/>
      <c r="I1085" s="227"/>
    </row>
    <row r="1086" spans="1:9" ht="12.75">
      <c r="A1086" s="874"/>
      <c r="B1086" s="874"/>
      <c r="C1086" s="874"/>
      <c r="D1086" s="875"/>
      <c r="E1086" s="875"/>
      <c r="F1086" s="875"/>
      <c r="G1086" s="875"/>
      <c r="H1086" s="227"/>
      <c r="I1086" s="227"/>
    </row>
    <row r="1087" spans="1:9" ht="14.25">
      <c r="A1087" s="231"/>
      <c r="B1087" s="517" t="s">
        <v>326</v>
      </c>
      <c r="C1087" s="874"/>
      <c r="D1087" s="942" t="s">
        <v>627</v>
      </c>
      <c r="E1087" s="942"/>
      <c r="F1087" s="942"/>
      <c r="G1087" s="875"/>
      <c r="H1087" s="227"/>
      <c r="I1087" s="227"/>
    </row>
    <row r="1088" spans="1:9" ht="12.75">
      <c r="A1088" s="874"/>
      <c r="B1088" s="874"/>
      <c r="C1088" s="874"/>
      <c r="D1088" s="942"/>
      <c r="E1088" s="942"/>
      <c r="F1088" s="942"/>
      <c r="G1088" s="875"/>
      <c r="H1088" s="227"/>
      <c r="I1088" s="227"/>
    </row>
    <row r="1089" spans="1:9" ht="12.75">
      <c r="A1089" s="874"/>
      <c r="B1089" s="874"/>
      <c r="C1089" s="874"/>
      <c r="D1089" s="942"/>
      <c r="E1089" s="942"/>
      <c r="F1089" s="942"/>
      <c r="G1089" s="875"/>
      <c r="H1089" s="227"/>
      <c r="I1089" s="227"/>
    </row>
    <row r="1090" spans="1:9" ht="12.75">
      <c r="A1090" s="874"/>
      <c r="B1090" s="874"/>
      <c r="C1090" s="874"/>
      <c r="D1090" s="942"/>
      <c r="E1090" s="942"/>
      <c r="F1090" s="942"/>
      <c r="G1090" s="875"/>
      <c r="H1090" s="227"/>
      <c r="I1090" s="227"/>
    </row>
    <row r="1091" spans="1:9" ht="12.75">
      <c r="A1091" s="874"/>
      <c r="B1091" s="874"/>
      <c r="C1091" s="874"/>
      <c r="D1091" s="875"/>
      <c r="E1091" s="875"/>
      <c r="F1091" s="875"/>
      <c r="G1091" s="875"/>
    </row>
    <row r="1092" spans="1:9" ht="12.75">
      <c r="A1092" s="874"/>
      <c r="B1092" s="517" t="s">
        <v>326</v>
      </c>
      <c r="C1092" s="874"/>
      <c r="D1092" s="995" t="s">
        <v>628</v>
      </c>
      <c r="E1092" s="995"/>
      <c r="F1092" s="995"/>
      <c r="G1092" s="875"/>
    </row>
    <row r="1093" spans="1:9" ht="12.75">
      <c r="A1093" s="874"/>
      <c r="B1093" s="874"/>
      <c r="C1093" s="874"/>
      <c r="D1093" s="995"/>
      <c r="E1093" s="995"/>
      <c r="F1093" s="995"/>
      <c r="G1093" s="875"/>
    </row>
    <row r="1094" spans="1:9" ht="12.75">
      <c r="A1094" s="874"/>
      <c r="B1094" s="874"/>
      <c r="C1094" s="874"/>
      <c r="D1094" s="995"/>
      <c r="E1094" s="995"/>
      <c r="F1094" s="995"/>
      <c r="G1094" s="875"/>
    </row>
    <row r="1095" spans="1:9" ht="12.75">
      <c r="A1095" s="874"/>
      <c r="B1095" s="874"/>
      <c r="C1095" s="874"/>
      <c r="D1095" s="875"/>
      <c r="E1095" s="875"/>
      <c r="F1095" s="875"/>
      <c r="G1095" s="875"/>
    </row>
    <row r="1096" spans="1:9" ht="14.25">
      <c r="A1096" s="231"/>
      <c r="B1096" s="517" t="s">
        <v>326</v>
      </c>
      <c r="C1096" s="351"/>
      <c r="D1096" s="996" t="s">
        <v>629</v>
      </c>
      <c r="E1096" s="996"/>
      <c r="F1096" s="996"/>
      <c r="G1096" s="368"/>
    </row>
    <row r="1097" spans="1:9" ht="12.75">
      <c r="A1097" s="351"/>
      <c r="B1097" s="351"/>
      <c r="C1097" s="351"/>
      <c r="D1097" s="996"/>
      <c r="E1097" s="996"/>
      <c r="F1097" s="996"/>
      <c r="G1097" s="368"/>
    </row>
    <row r="1098" spans="1:9" ht="12.75">
      <c r="A1098" s="351"/>
      <c r="B1098" s="351"/>
      <c r="C1098" s="351"/>
      <c r="D1098" s="996"/>
      <c r="E1098" s="996"/>
      <c r="F1098" s="996"/>
      <c r="G1098" s="368"/>
    </row>
    <row r="1099" spans="1:9" ht="12.75">
      <c r="A1099" s="874"/>
      <c r="B1099" s="874"/>
      <c r="C1099" s="874"/>
      <c r="D1099" s="875"/>
      <c r="E1099" s="875"/>
      <c r="F1099" s="875"/>
      <c r="G1099" s="875"/>
    </row>
    <row r="1100" spans="1:9" ht="12.75">
      <c r="A1100" s="403"/>
      <c r="B1100" s="403"/>
      <c r="C1100" s="874"/>
      <c r="D1100" s="968" t="s">
        <v>630</v>
      </c>
      <c r="E1100" s="968"/>
      <c r="F1100" s="968"/>
      <c r="G1100" s="875"/>
    </row>
    <row r="1101" spans="1:9" ht="12.75">
      <c r="A1101" s="403"/>
      <c r="B1101" s="403"/>
      <c r="C1101" s="874"/>
      <c r="D1101" s="167"/>
      <c r="E1101" s="875"/>
      <c r="F1101" s="875"/>
      <c r="G1101" s="875"/>
    </row>
    <row r="1102" spans="1:9" ht="12.75">
      <c r="A1102" s="874"/>
      <c r="B1102" s="517" t="s">
        <v>326</v>
      </c>
      <c r="C1102" s="874"/>
      <c r="D1102" s="942" t="s">
        <v>631</v>
      </c>
      <c r="E1102" s="942"/>
      <c r="F1102" s="942"/>
      <c r="G1102" s="875"/>
    </row>
    <row r="1103" spans="1:9" ht="12.75">
      <c r="A1103" s="874"/>
      <c r="B1103" s="874"/>
      <c r="C1103" s="874"/>
      <c r="D1103" s="942"/>
      <c r="E1103" s="942"/>
      <c r="F1103" s="942"/>
      <c r="G1103" s="875"/>
    </row>
    <row r="1104" spans="1:9" ht="12.75">
      <c r="A1104" s="874"/>
      <c r="B1104" s="874"/>
      <c r="C1104" s="874"/>
      <c r="D1104" s="942"/>
      <c r="E1104" s="942"/>
      <c r="F1104" s="942"/>
      <c r="G1104" s="875"/>
    </row>
    <row r="1105" spans="1:7" ht="12.75">
      <c r="A1105" s="874"/>
      <c r="B1105" s="874"/>
      <c r="C1105" s="874"/>
      <c r="D1105" s="875"/>
      <c r="E1105" s="875"/>
      <c r="F1105" s="875"/>
      <c r="G1105" s="875"/>
    </row>
    <row r="1106" spans="1:7" ht="14.25">
      <c r="A1106" s="231"/>
      <c r="B1106" s="517" t="s">
        <v>326</v>
      </c>
      <c r="C1106" s="874"/>
      <c r="D1106" s="942" t="s">
        <v>632</v>
      </c>
      <c r="E1106" s="942"/>
      <c r="F1106" s="942"/>
      <c r="G1106" s="875"/>
    </row>
    <row r="1107" spans="1:7" ht="12.75">
      <c r="A1107" s="874"/>
      <c r="B1107" s="874"/>
      <c r="C1107" s="874"/>
      <c r="D1107" s="942"/>
      <c r="E1107" s="942"/>
      <c r="F1107" s="942"/>
      <c r="G1107" s="875"/>
    </row>
    <row r="1108" spans="1:7" ht="12.75">
      <c r="A1108" s="874"/>
      <c r="B1108" s="874"/>
      <c r="C1108" s="874"/>
      <c r="D1108" s="942"/>
      <c r="E1108" s="942"/>
      <c r="F1108" s="942"/>
      <c r="G1108" s="875"/>
    </row>
    <row r="1109" spans="1:7" ht="12.75">
      <c r="A1109" s="874"/>
      <c r="B1109" s="874"/>
      <c r="C1109" s="874"/>
      <c r="D1109" s="875"/>
      <c r="E1109" s="875"/>
      <c r="F1109" s="875"/>
      <c r="G1109" s="875"/>
    </row>
    <row r="1110" spans="1:7" ht="12.75">
      <c r="A1110" s="874"/>
      <c r="B1110" s="874"/>
      <c r="C1110" s="874"/>
      <c r="D1110" s="968" t="s">
        <v>633</v>
      </c>
      <c r="E1110" s="968"/>
      <c r="F1110" s="968"/>
      <c r="G1110" s="875"/>
    </row>
    <row r="1111" spans="1:7" ht="12.75">
      <c r="A1111" s="874"/>
      <c r="B1111" s="874"/>
      <c r="C1111" s="874"/>
      <c r="D1111" s="963" t="s">
        <v>634</v>
      </c>
      <c r="E1111" s="963"/>
      <c r="F1111" s="963"/>
      <c r="G1111" s="875"/>
    </row>
    <row r="1112" spans="1:7" ht="12.75">
      <c r="A1112" s="874"/>
      <c r="B1112" s="874"/>
      <c r="C1112" s="874"/>
      <c r="D1112" s="341"/>
      <c r="E1112" s="875"/>
      <c r="F1112" s="875"/>
      <c r="G1112" s="875"/>
    </row>
    <row r="1113" spans="1:7" ht="14.25">
      <c r="A1113" s="231"/>
      <c r="B1113" s="517" t="s">
        <v>326</v>
      </c>
      <c r="C1113" s="874"/>
      <c r="D1113" s="942" t="s">
        <v>635</v>
      </c>
      <c r="E1113" s="942"/>
      <c r="F1113" s="942"/>
      <c r="G1113" s="875"/>
    </row>
    <row r="1114" spans="1:7" ht="12.75">
      <c r="A1114" s="874"/>
      <c r="B1114" s="874"/>
      <c r="C1114" s="874"/>
      <c r="D1114" s="942"/>
      <c r="E1114" s="942"/>
      <c r="F1114" s="942"/>
      <c r="G1114" s="875"/>
    </row>
    <row r="1115" spans="1:7" ht="12.75">
      <c r="A1115" s="874"/>
      <c r="B1115" s="874"/>
      <c r="C1115" s="874"/>
      <c r="D1115" s="875"/>
      <c r="E1115" s="875"/>
      <c r="F1115" s="875"/>
      <c r="G1115" s="875"/>
    </row>
    <row r="1116" spans="1:7" ht="14.25">
      <c r="A1116" s="231"/>
      <c r="B1116" s="517" t="s">
        <v>326</v>
      </c>
      <c r="C1116" s="874"/>
      <c r="D1116" s="942" t="s">
        <v>636</v>
      </c>
      <c r="E1116" s="942"/>
      <c r="F1116" s="942"/>
      <c r="G1116" s="875"/>
    </row>
    <row r="1117" spans="1:7" ht="12.75">
      <c r="A1117" s="874"/>
      <c r="B1117" s="874"/>
      <c r="C1117" s="874"/>
      <c r="D1117" s="942"/>
      <c r="E1117" s="942"/>
      <c r="F1117" s="942"/>
      <c r="G1117" s="875"/>
    </row>
    <row r="1118" spans="1:7" ht="12.75">
      <c r="A1118" s="874"/>
      <c r="B1118" s="874"/>
      <c r="C1118" s="874"/>
      <c r="D1118" s="37"/>
      <c r="E1118" s="875"/>
      <c r="F1118" s="875"/>
      <c r="G1118" s="875"/>
    </row>
    <row r="1119" spans="1:7" ht="12.75">
      <c r="A1119" s="874"/>
      <c r="B1119" s="874"/>
      <c r="C1119" s="874"/>
      <c r="D1119" s="968" t="s">
        <v>637</v>
      </c>
      <c r="E1119" s="968"/>
      <c r="F1119" s="968"/>
      <c r="G1119" s="875"/>
    </row>
    <row r="1120" spans="1:7" ht="12.75">
      <c r="A1120" s="874"/>
      <c r="B1120" s="874"/>
      <c r="C1120" s="874"/>
      <c r="D1120" s="167"/>
      <c r="E1120" s="875"/>
      <c r="F1120" s="875"/>
      <c r="G1120" s="875"/>
    </row>
    <row r="1121" spans="1:7" ht="14.25">
      <c r="A1121" s="231"/>
      <c r="B1121" s="517" t="s">
        <v>324</v>
      </c>
      <c r="C1121" s="874"/>
      <c r="D1121" s="942" t="s">
        <v>638</v>
      </c>
      <c r="E1121" s="942"/>
      <c r="F1121" s="942"/>
      <c r="G1121" s="875"/>
    </row>
    <row r="1122" spans="1:7" ht="12.75">
      <c r="A1122" s="874"/>
      <c r="B1122" s="874"/>
      <c r="C1122" s="874"/>
      <c r="D1122" s="942"/>
      <c r="E1122" s="942"/>
      <c r="F1122" s="942"/>
      <c r="G1122" s="875"/>
    </row>
    <row r="1123" spans="1:7" ht="12.75">
      <c r="A1123" s="874"/>
      <c r="B1123" s="874"/>
      <c r="C1123" s="874"/>
      <c r="D1123" s="942"/>
      <c r="E1123" s="942"/>
      <c r="F1123" s="942"/>
      <c r="G1123" s="875"/>
    </row>
    <row r="1124" spans="1:7" ht="12.75">
      <c r="A1124" s="874"/>
      <c r="B1124" s="874"/>
      <c r="C1124" s="874"/>
      <c r="D1124" s="942"/>
      <c r="E1124" s="942"/>
      <c r="F1124" s="942"/>
      <c r="G1124" s="875"/>
    </row>
    <row r="1125" spans="1:7" ht="12.75">
      <c r="A1125" s="874"/>
      <c r="B1125" s="874"/>
      <c r="C1125" s="874"/>
      <c r="D1125" s="942"/>
      <c r="E1125" s="942"/>
      <c r="F1125" s="942"/>
      <c r="G1125" s="875"/>
    </row>
    <row r="1126" spans="1:7" ht="12.75">
      <c r="A1126" s="874"/>
      <c r="B1126" s="874"/>
      <c r="C1126" s="874"/>
      <c r="D1126" s="942"/>
      <c r="E1126" s="942"/>
      <c r="F1126" s="942"/>
      <c r="G1126" s="875"/>
    </row>
    <row r="1127" spans="1:7" ht="12.75">
      <c r="A1127" s="874"/>
      <c r="B1127" s="874"/>
      <c r="C1127" s="874"/>
      <c r="D1127" s="942"/>
      <c r="E1127" s="942"/>
      <c r="F1127" s="942"/>
      <c r="G1127" s="875"/>
    </row>
    <row r="1128" spans="1:7" ht="12.75">
      <c r="A1128" s="874"/>
      <c r="B1128" s="874"/>
      <c r="C1128" s="874"/>
      <c r="D1128" s="875"/>
      <c r="E1128" s="875"/>
      <c r="F1128" s="875"/>
      <c r="G1128" s="875"/>
    </row>
    <row r="1129" spans="1:7" ht="14.25">
      <c r="A1129" s="231"/>
      <c r="B1129" s="517" t="s">
        <v>326</v>
      </c>
      <c r="C1129" s="874"/>
      <c r="D1129" s="942" t="s">
        <v>639</v>
      </c>
      <c r="E1129" s="942"/>
      <c r="F1129" s="942"/>
      <c r="G1129" s="875"/>
    </row>
    <row r="1130" spans="1:7" ht="12.75">
      <c r="A1130" s="874"/>
      <c r="B1130" s="874"/>
      <c r="C1130" s="874"/>
      <c r="D1130" s="942"/>
      <c r="E1130" s="942"/>
      <c r="F1130" s="942"/>
      <c r="G1130" s="875"/>
    </row>
    <row r="1131" spans="1:7" ht="12.75">
      <c r="A1131" s="874"/>
      <c r="B1131" s="874"/>
      <c r="C1131" s="874"/>
      <c r="D1131" s="942"/>
      <c r="E1131" s="942"/>
      <c r="F1131" s="942"/>
      <c r="G1131" s="875"/>
    </row>
    <row r="1132" spans="1:7" ht="12.75">
      <c r="A1132" s="874"/>
      <c r="B1132" s="874"/>
      <c r="C1132" s="874"/>
      <c r="D1132" s="942"/>
      <c r="E1132" s="942"/>
      <c r="F1132" s="942"/>
      <c r="G1132" s="875"/>
    </row>
    <row r="1133" spans="1:7" ht="12.75">
      <c r="A1133" s="874"/>
      <c r="B1133" s="874"/>
      <c r="C1133" s="874"/>
      <c r="D1133" s="942"/>
      <c r="E1133" s="942"/>
      <c r="F1133" s="942"/>
      <c r="G1133" s="875"/>
    </row>
    <row r="1134" spans="1:7" ht="12.75">
      <c r="A1134" s="874"/>
      <c r="B1134" s="874"/>
      <c r="C1134" s="874"/>
      <c r="D1134" s="942"/>
      <c r="E1134" s="942"/>
      <c r="F1134" s="942"/>
      <c r="G1134" s="875"/>
    </row>
    <row r="1135" spans="1:7" ht="12.75">
      <c r="A1135" s="874"/>
      <c r="B1135" s="874"/>
      <c r="C1135" s="874"/>
      <c r="D1135" s="942"/>
      <c r="E1135" s="942"/>
      <c r="F1135" s="942"/>
      <c r="G1135" s="875"/>
    </row>
    <row r="1136" spans="1:7" ht="12.75">
      <c r="A1136" s="874"/>
      <c r="B1136" s="874"/>
      <c r="C1136" s="874"/>
      <c r="D1136" s="176"/>
      <c r="E1136" s="176"/>
      <c r="F1136" s="176"/>
      <c r="G1136" s="875"/>
    </row>
    <row r="1137" spans="1:7" ht="12.6" customHeight="1">
      <c r="A1137" s="874"/>
      <c r="B1137" s="517" t="s">
        <v>326</v>
      </c>
      <c r="C1137" s="874"/>
      <c r="D1137" s="995" t="s">
        <v>640</v>
      </c>
      <c r="E1137" s="995"/>
      <c r="F1137" s="995"/>
      <c r="G1137" s="875"/>
    </row>
    <row r="1138" spans="1:7" ht="12.6" customHeight="1">
      <c r="A1138" s="874"/>
      <c r="B1138" s="874"/>
      <c r="C1138" s="874"/>
      <c r="D1138" s="995"/>
      <c r="E1138" s="995"/>
      <c r="F1138" s="995"/>
      <c r="G1138" s="875"/>
    </row>
    <row r="1139" spans="1:7" ht="12.75">
      <c r="A1139" s="874"/>
      <c r="B1139" s="874"/>
      <c r="C1139" s="874"/>
      <c r="D1139" s="995"/>
      <c r="E1139" s="995"/>
      <c r="F1139" s="995"/>
      <c r="G1139" s="875"/>
    </row>
    <row r="1140" spans="1:7" ht="12.75">
      <c r="A1140" s="874"/>
      <c r="B1140" s="874"/>
      <c r="C1140" s="874"/>
      <c r="D1140" s="864"/>
      <c r="E1140" s="864"/>
      <c r="F1140" s="864"/>
      <c r="G1140" s="875"/>
    </row>
    <row r="1141" spans="1:7" ht="12.75">
      <c r="A1141" s="403"/>
      <c r="B1141" s="403"/>
      <c r="C1141" s="403"/>
      <c r="D1141" s="968" t="s">
        <v>641</v>
      </c>
      <c r="E1141" s="968"/>
      <c r="F1141" s="968"/>
      <c r="G1141" s="37"/>
    </row>
    <row r="1142" spans="1:7" ht="12.75">
      <c r="A1142" s="403"/>
      <c r="B1142" s="403"/>
      <c r="C1142" s="403"/>
      <c r="D1142" s="167"/>
      <c r="E1142" s="37"/>
      <c r="F1142" s="37"/>
      <c r="G1142" s="37"/>
    </row>
    <row r="1143" spans="1:7" ht="14.25">
      <c r="A1143" s="231"/>
      <c r="B1143" s="517" t="s">
        <v>324</v>
      </c>
      <c r="C1143" s="403"/>
      <c r="D1143" s="942" t="s">
        <v>642</v>
      </c>
      <c r="E1143" s="942"/>
      <c r="F1143" s="942"/>
      <c r="G1143" s="37"/>
    </row>
    <row r="1144" spans="1:7" ht="12.75">
      <c r="A1144" s="403"/>
      <c r="B1144" s="403"/>
      <c r="C1144" s="403"/>
      <c r="D1144" s="942"/>
      <c r="E1144" s="942"/>
      <c r="F1144" s="942"/>
      <c r="G1144" s="37"/>
    </row>
    <row r="1145" spans="1:7" ht="12.75">
      <c r="A1145" s="403"/>
      <c r="B1145" s="403"/>
      <c r="C1145" s="403"/>
      <c r="D1145" s="37"/>
      <c r="E1145" s="37"/>
      <c r="F1145" s="37"/>
      <c r="G1145" s="37"/>
    </row>
    <row r="1146" spans="1:7" ht="14.25">
      <c r="A1146" s="231"/>
      <c r="B1146" s="517" t="s">
        <v>326</v>
      </c>
      <c r="C1146" s="403"/>
      <c r="D1146" s="942" t="s">
        <v>643</v>
      </c>
      <c r="E1146" s="942"/>
      <c r="F1146" s="942"/>
      <c r="G1146" s="37"/>
    </row>
    <row r="1147" spans="1:7" ht="12.75">
      <c r="A1147" s="403"/>
      <c r="B1147" s="403"/>
      <c r="C1147" s="403"/>
      <c r="D1147" s="942"/>
      <c r="E1147" s="942"/>
      <c r="F1147" s="942"/>
      <c r="G1147" s="37"/>
    </row>
    <row r="1148" spans="1:7" ht="12.75">
      <c r="A1148" s="403"/>
      <c r="B1148" s="403"/>
      <c r="C1148" s="403"/>
      <c r="D1148" s="37"/>
      <c r="E1148" s="37"/>
      <c r="F1148" s="37"/>
      <c r="G1148" s="37"/>
    </row>
    <row r="1149" spans="1:7" ht="12.75">
      <c r="A1149" s="403"/>
      <c r="B1149" s="403"/>
      <c r="C1149" s="403"/>
      <c r="D1149" s="968" t="s">
        <v>644</v>
      </c>
      <c r="E1149" s="968"/>
      <c r="F1149" s="968"/>
      <c r="G1149" s="37"/>
    </row>
    <row r="1150" spans="1:7" ht="12.75">
      <c r="A1150" s="403"/>
      <c r="B1150" s="403"/>
      <c r="C1150" s="403"/>
      <c r="D1150" s="167"/>
      <c r="E1150" s="37"/>
      <c r="F1150" s="37"/>
      <c r="G1150" s="37"/>
    </row>
    <row r="1151" spans="1:7" ht="14.25">
      <c r="A1151" s="231"/>
      <c r="B1151" s="517" t="s">
        <v>326</v>
      </c>
      <c r="C1151" s="403"/>
      <c r="D1151" s="963" t="s">
        <v>645</v>
      </c>
      <c r="E1151" s="963"/>
      <c r="F1151" s="963"/>
      <c r="G1151" s="37"/>
    </row>
    <row r="1152" spans="1:7" ht="12.75">
      <c r="A1152" s="403"/>
      <c r="B1152" s="403"/>
      <c r="C1152" s="403"/>
      <c r="D1152" s="37"/>
      <c r="E1152" s="37"/>
      <c r="F1152" s="37"/>
      <c r="G1152" s="37"/>
    </row>
    <row r="1153" spans="1:7" ht="14.25">
      <c r="A1153" s="231"/>
      <c r="B1153" s="517" t="s">
        <v>326</v>
      </c>
      <c r="C1153" s="403"/>
      <c r="D1153" s="942" t="s">
        <v>646</v>
      </c>
      <c r="E1153" s="942"/>
      <c r="F1153" s="942"/>
      <c r="G1153" s="37"/>
    </row>
    <row r="1154" spans="1:7" ht="14.25">
      <c r="A1154" s="231"/>
      <c r="B1154" s="231"/>
      <c r="C1154" s="403"/>
      <c r="D1154" s="942"/>
      <c r="E1154" s="942"/>
      <c r="F1154" s="942"/>
      <c r="G1154" s="37"/>
    </row>
    <row r="1155" spans="1:7" ht="14.25">
      <c r="A1155" s="231"/>
      <c r="B1155" s="231"/>
      <c r="C1155" s="403"/>
      <c r="D1155" s="176"/>
      <c r="E1155" s="176"/>
      <c r="F1155" s="176"/>
      <c r="G1155"/>
    </row>
    <row r="1156" spans="1:7" ht="12.75">
      <c r="A1156" s="403"/>
      <c r="B1156" s="403"/>
      <c r="C1156" s="403"/>
      <c r="D1156" s="968" t="s">
        <v>647</v>
      </c>
      <c r="E1156" s="968"/>
      <c r="F1156" s="968"/>
      <c r="G1156"/>
    </row>
    <row r="1157" spans="1:7" ht="12.75">
      <c r="A1157" s="403"/>
      <c r="B1157" s="403"/>
      <c r="C1157" s="403"/>
      <c r="D1157" s="167"/>
      <c r="E1157" s="37"/>
      <c r="F1157" s="37"/>
      <c r="G1157"/>
    </row>
    <row r="1158" spans="1:7" ht="14.45" customHeight="1">
      <c r="A1158" s="231"/>
      <c r="B1158" s="517" t="s">
        <v>326</v>
      </c>
      <c r="C1158" s="403"/>
      <c r="D1158" s="942" t="s">
        <v>648</v>
      </c>
      <c r="E1158" s="942"/>
      <c r="F1158" s="942"/>
      <c r="G1158"/>
    </row>
    <row r="1159" spans="1:7" ht="14.25">
      <c r="A1159" s="231"/>
      <c r="B1159" s="231"/>
      <c r="C1159" s="403"/>
      <c r="D1159" s="942"/>
      <c r="E1159" s="942"/>
      <c r="F1159" s="942"/>
      <c r="G1159"/>
    </row>
    <row r="1160" spans="1:7" ht="14.25">
      <c r="A1160" s="231"/>
      <c r="B1160" s="231"/>
      <c r="C1160" s="403"/>
      <c r="D1160" s="942"/>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38.25" customHeight="1">
      <c r="A1171" s="231"/>
      <c r="B1171" s="231"/>
      <c r="C1171" s="403"/>
      <c r="D1171" s="942"/>
      <c r="E1171" s="942"/>
      <c r="F1171" s="942"/>
      <c r="G1171" s="37"/>
    </row>
    <row r="1172" spans="1:7" ht="12.75">
      <c r="A1172" s="403"/>
      <c r="B1172" s="403"/>
      <c r="C1172" s="403"/>
      <c r="D1172" s="37"/>
      <c r="E1172" s="37"/>
      <c r="F1172" s="37"/>
      <c r="G1172" s="37"/>
    </row>
    <row r="1173" spans="1:7" ht="12.75">
      <c r="A1173" s="967" t="s">
        <v>649</v>
      </c>
      <c r="B1173" s="967"/>
      <c r="C1173" s="967"/>
      <c r="D1173" s="967"/>
      <c r="E1173" s="967"/>
      <c r="F1173" s="967"/>
      <c r="G1173" s="967"/>
    </row>
    <row r="1174" spans="1:7" ht="12.75">
      <c r="A1174" s="230"/>
      <c r="B1174" s="230"/>
      <c r="C1174" s="403"/>
      <c r="D1174" s="37"/>
      <c r="E1174" s="37"/>
      <c r="F1174" s="37"/>
      <c r="G1174" s="37"/>
    </row>
    <row r="1175" spans="1:7" ht="12.75">
      <c r="A1175" s="403"/>
      <c r="B1175" s="403"/>
      <c r="C1175" s="874"/>
      <c r="D1175" s="968" t="s">
        <v>650</v>
      </c>
      <c r="E1175" s="968"/>
      <c r="F1175" s="968"/>
      <c r="G1175" s="37"/>
    </row>
    <row r="1176" spans="1:7" ht="12.75">
      <c r="A1176" s="165"/>
      <c r="B1176" s="165"/>
      <c r="C1176" s="165"/>
      <c r="D1176" s="963" t="s">
        <v>651</v>
      </c>
      <c r="E1176" s="963"/>
      <c r="F1176" s="963"/>
      <c r="G1176" s="37"/>
    </row>
    <row r="1177" spans="1:7" ht="12.75">
      <c r="A1177" s="165"/>
      <c r="B1177" s="165"/>
      <c r="C1177" s="165"/>
      <c r="D1177" s="37"/>
      <c r="E1177" s="37"/>
      <c r="F1177" s="875"/>
      <c r="G1177"/>
    </row>
    <row r="1178" spans="1:7" ht="13.7" customHeight="1">
      <c r="A1178" s="403"/>
      <c r="B1178" s="517" t="s">
        <v>324</v>
      </c>
      <c r="C1178" s="403"/>
      <c r="D1178" s="961" t="s">
        <v>652</v>
      </c>
      <c r="E1178" s="961"/>
      <c r="F1178" s="961"/>
      <c r="G1178"/>
    </row>
    <row r="1179" spans="1:7" ht="12.75">
      <c r="A1179" s="403"/>
      <c r="B1179" s="403"/>
      <c r="C1179" s="403"/>
      <c r="D1179" s="961"/>
      <c r="E1179" s="961"/>
      <c r="F1179" s="961"/>
      <c r="G1179"/>
    </row>
    <row r="1180" spans="1:7" ht="12.75">
      <c r="A1180" s="403"/>
      <c r="B1180" s="403"/>
      <c r="C1180" s="403"/>
      <c r="D1180" s="15"/>
      <c r="E1180" s="815" t="s">
        <v>653</v>
      </c>
      <c r="F1180" s="15"/>
      <c r="G1180"/>
    </row>
    <row r="1181" spans="1:7" ht="12.75">
      <c r="A1181" s="403"/>
      <c r="B1181" s="403"/>
      <c r="C1181" s="403"/>
      <c r="D1181" s="15"/>
      <c r="E1181" s="15"/>
      <c r="F1181" s="15"/>
      <c r="G1181"/>
    </row>
    <row r="1182" spans="1:7" ht="12.75">
      <c r="A1182" s="403"/>
      <c r="B1182" s="403"/>
      <c r="C1182" s="403"/>
      <c r="D1182" s="945" t="s">
        <v>654</v>
      </c>
      <c r="E1182" s="945"/>
      <c r="F1182" s="945"/>
      <c r="G1182"/>
    </row>
    <row r="1183" spans="1:7" ht="12.75">
      <c r="A1183" s="166"/>
      <c r="B1183" s="166"/>
      <c r="C1183" s="166"/>
      <c r="D1183" s="945"/>
      <c r="E1183" s="945"/>
      <c r="F1183" s="945"/>
      <c r="G1183"/>
    </row>
    <row r="1184" spans="1:7" ht="14.45" customHeight="1">
      <c r="A1184" s="166"/>
      <c r="B1184" s="166"/>
      <c r="C1184" s="166"/>
      <c r="D1184" s="945"/>
      <c r="E1184" s="945"/>
      <c r="F1184" s="945"/>
      <c r="G1184"/>
    </row>
    <row r="1185" spans="1:7" ht="12.75">
      <c r="A1185" s="166"/>
      <c r="B1185" s="166"/>
      <c r="C1185" s="166"/>
      <c r="D1185" s="84"/>
      <c r="E1185" s="84"/>
      <c r="F1185" s="84"/>
      <c r="G1185"/>
    </row>
    <row r="1186" spans="1:7" ht="12.75">
      <c r="A1186" s="166"/>
      <c r="B1186" s="517" t="s">
        <v>326</v>
      </c>
      <c r="C1186" s="166"/>
      <c r="D1186" s="942" t="s">
        <v>655</v>
      </c>
      <c r="E1186" s="942"/>
      <c r="F1186" s="942"/>
      <c r="G1186"/>
    </row>
    <row r="1187" spans="1:7" ht="12.75">
      <c r="A1187" s="166"/>
      <c r="B1187" s="166"/>
      <c r="C1187" s="166"/>
      <c r="D1187" s="942"/>
      <c r="E1187" s="942"/>
      <c r="F1187" s="942"/>
      <c r="G1187"/>
    </row>
    <row r="1188" spans="1:7" ht="12.75">
      <c r="A1188" s="166"/>
      <c r="B1188" s="166"/>
      <c r="C1188" s="166"/>
      <c r="D1188" s="942"/>
      <c r="E1188" s="942"/>
      <c r="F1188" s="942"/>
      <c r="G1188"/>
    </row>
    <row r="1189" spans="1:7" ht="12.75">
      <c r="A1189" s="166"/>
      <c r="B1189" s="166"/>
      <c r="C1189" s="166"/>
      <c r="D1189" s="942"/>
      <c r="E1189" s="942"/>
      <c r="F1189" s="942"/>
      <c r="G1189"/>
    </row>
    <row r="1190" spans="1:7" ht="12.75">
      <c r="A1190" s="166"/>
      <c r="B1190" s="166"/>
      <c r="C1190" s="166"/>
      <c r="D1190" s="176"/>
      <c r="E1190" s="176"/>
      <c r="F1190" s="176"/>
      <c r="G1190"/>
    </row>
    <row r="1191" spans="1:7" ht="12.75">
      <c r="A1191" s="166"/>
      <c r="B1191" s="517" t="s">
        <v>326</v>
      </c>
      <c r="C1191" s="166"/>
      <c r="D1191" s="942" t="s">
        <v>656</v>
      </c>
      <c r="E1191" s="942"/>
      <c r="F1191" s="942"/>
      <c r="G1191"/>
    </row>
    <row r="1192" spans="1:7" ht="12.75">
      <c r="A1192" s="166"/>
      <c r="B1192" s="166"/>
      <c r="C1192" s="166"/>
      <c r="D1192" s="942"/>
      <c r="E1192" s="942"/>
      <c r="F1192" s="942"/>
      <c r="G1192"/>
    </row>
    <row r="1193" spans="1:7" ht="12.75">
      <c r="A1193" s="166"/>
      <c r="B1193" s="166"/>
      <c r="C1193" s="166"/>
      <c r="D1193" s="176"/>
      <c r="E1193" s="176"/>
      <c r="F1193" s="176"/>
      <c r="G1193"/>
    </row>
    <row r="1194" spans="1:7" ht="14.25">
      <c r="A1194" s="231"/>
      <c r="B1194" s="517" t="s">
        <v>324</v>
      </c>
      <c r="C1194" s="403"/>
      <c r="D1194" s="963" t="s">
        <v>657</v>
      </c>
      <c r="E1194" s="963"/>
      <c r="F1194" s="963"/>
      <c r="G1194"/>
    </row>
    <row r="1195" spans="1:7" ht="12.75">
      <c r="A1195" s="403"/>
      <c r="B1195" s="403"/>
      <c r="C1195" s="403"/>
      <c r="D1195" s="37"/>
      <c r="E1195" s="37"/>
      <c r="F1195" s="37"/>
      <c r="G1195"/>
    </row>
    <row r="1196" spans="1:7" ht="14.25">
      <c r="A1196" s="231"/>
      <c r="B1196" s="517" t="s">
        <v>326</v>
      </c>
      <c r="C1196" s="403"/>
      <c r="D1196" s="963" t="s">
        <v>658</v>
      </c>
      <c r="E1196" s="963"/>
      <c r="F1196" s="963"/>
      <c r="G1196"/>
    </row>
    <row r="1197" spans="1:7" ht="12.75">
      <c r="A1197" s="403"/>
      <c r="B1197" s="403"/>
      <c r="C1197" s="403"/>
      <c r="D1197" s="230"/>
      <c r="E1197" s="37"/>
      <c r="F1197" s="37"/>
      <c r="G1197"/>
    </row>
    <row r="1198" spans="1:7" ht="14.25">
      <c r="A1198" s="231"/>
      <c r="B1198" s="517" t="s">
        <v>326</v>
      </c>
      <c r="C1198" s="403"/>
      <c r="D1198" s="963" t="s">
        <v>659</v>
      </c>
      <c r="E1198" s="963"/>
      <c r="F1198" s="963"/>
      <c r="G1198"/>
    </row>
    <row r="1199" spans="1:7" ht="12.75">
      <c r="A1199" s="403"/>
      <c r="B1199" s="403"/>
      <c r="C1199" s="403"/>
      <c r="D1199" s="230"/>
      <c r="E1199" s="37"/>
      <c r="F1199" s="37"/>
      <c r="G1199"/>
    </row>
    <row r="1200" spans="1:7" ht="14.25">
      <c r="A1200" s="231"/>
      <c r="B1200" s="517" t="s">
        <v>326</v>
      </c>
      <c r="C1200" s="403"/>
      <c r="D1200" s="942" t="s">
        <v>660</v>
      </c>
      <c r="E1200" s="942"/>
      <c r="F1200" s="942"/>
      <c r="G1200"/>
    </row>
    <row r="1201" spans="1:7" ht="14.25">
      <c r="A1201" s="231"/>
      <c r="B1201" s="231"/>
      <c r="C1201" s="403"/>
      <c r="D1201" s="942"/>
      <c r="E1201" s="942"/>
      <c r="F1201" s="942"/>
      <c r="G1201"/>
    </row>
    <row r="1202" spans="1:7" ht="14.25">
      <c r="A1202" s="231"/>
      <c r="B1202" s="231"/>
      <c r="C1202" s="403"/>
      <c r="D1202" s="230"/>
      <c r="E1202" s="37"/>
      <c r="F1202" s="37"/>
      <c r="G1202" s="37"/>
    </row>
    <row r="1203" spans="1:7" s="367" customFormat="1" ht="14.25">
      <c r="A1203" s="247"/>
      <c r="B1203" s="517" t="s">
        <v>326</v>
      </c>
      <c r="C1203" s="690"/>
      <c r="D1203" s="981" t="s">
        <v>661</v>
      </c>
      <c r="E1203" s="981"/>
      <c r="F1203" s="981"/>
      <c r="G1203" s="691"/>
    </row>
    <row r="1204" spans="1:7" s="367" customFormat="1" ht="12.75">
      <c r="A1204" s="690"/>
      <c r="B1204" s="690"/>
      <c r="C1204" s="690"/>
      <c r="D1204" s="981"/>
      <c r="E1204" s="981"/>
      <c r="F1204" s="981"/>
      <c r="G1204" s="691"/>
    </row>
    <row r="1205" spans="1:7" s="367" customFormat="1" ht="12.75">
      <c r="A1205" s="690"/>
      <c r="B1205" s="690"/>
      <c r="C1205" s="690"/>
      <c r="D1205" s="867"/>
      <c r="E1205" s="691"/>
      <c r="F1205" s="691"/>
      <c r="G1205" s="691"/>
    </row>
    <row r="1206" spans="1:7" s="367" customFormat="1" ht="14.25">
      <c r="A1206" s="247"/>
      <c r="B1206" s="517" t="s">
        <v>326</v>
      </c>
      <c r="C1206" s="690"/>
      <c r="D1206" s="994" t="s">
        <v>662</v>
      </c>
      <c r="E1206" s="994"/>
      <c r="F1206" s="994"/>
      <c r="G1206" s="691"/>
    </row>
    <row r="1207" spans="1:7" s="367" customFormat="1" ht="12.75">
      <c r="A1207" s="690"/>
      <c r="B1207" s="690"/>
      <c r="C1207" s="690"/>
      <c r="D1207" s="867"/>
      <c r="E1207" s="691"/>
      <c r="F1207" s="691"/>
      <c r="G1207" s="691"/>
    </row>
    <row r="1208" spans="1:7" ht="14.25">
      <c r="A1208" s="231"/>
      <c r="B1208" s="517" t="s">
        <v>324</v>
      </c>
      <c r="C1208" s="403"/>
      <c r="D1208" s="963" t="s">
        <v>663</v>
      </c>
      <c r="E1208" s="963"/>
      <c r="F1208" s="963"/>
      <c r="G1208" s="37"/>
    </row>
    <row r="1209" spans="1:7" ht="14.25">
      <c r="A1209" s="231"/>
      <c r="B1209" s="231"/>
      <c r="C1209" s="403"/>
      <c r="D1209" s="230"/>
      <c r="E1209" s="37"/>
      <c r="F1209" s="37"/>
      <c r="G1209" s="37"/>
    </row>
    <row r="1210" spans="1:7" ht="14.25">
      <c r="A1210" s="231"/>
      <c r="B1210" s="517" t="s">
        <v>326</v>
      </c>
      <c r="C1210" s="403"/>
      <c r="D1210" s="942" t="s">
        <v>664</v>
      </c>
      <c r="E1210" s="942"/>
      <c r="F1210" s="942"/>
      <c r="G1210" s="37"/>
    </row>
    <row r="1211" spans="1:7" ht="14.25">
      <c r="A1211" s="231"/>
      <c r="B1211" s="231"/>
      <c r="C1211" s="403"/>
      <c r="D1211" s="942"/>
      <c r="E1211" s="942"/>
      <c r="F1211" s="942"/>
      <c r="G1211" s="37"/>
    </row>
    <row r="1212" spans="1:7" ht="12.75">
      <c r="A1212" s="403"/>
      <c r="B1212" s="403"/>
      <c r="C1212" s="403"/>
      <c r="D1212" s="37"/>
      <c r="E1212" s="37"/>
      <c r="F1212" s="37"/>
      <c r="G1212" s="37"/>
    </row>
    <row r="1213" spans="1:7" ht="12.75">
      <c r="A1213" s="967" t="s">
        <v>665</v>
      </c>
      <c r="B1213" s="967"/>
      <c r="C1213" s="967"/>
      <c r="D1213" s="967"/>
      <c r="E1213" s="967"/>
      <c r="F1213" s="967"/>
      <c r="G1213" s="967"/>
    </row>
    <row r="1214" spans="1:7" ht="12.75">
      <c r="A1214" s="403"/>
      <c r="B1214" s="403"/>
      <c r="C1214" s="403"/>
      <c r="D1214" s="37"/>
      <c r="E1214" s="37"/>
      <c r="F1214" s="37"/>
      <c r="G1214" s="37"/>
    </row>
    <row r="1215" spans="1:7" ht="12.75">
      <c r="A1215" s="967" t="s">
        <v>666</v>
      </c>
      <c r="B1215" s="967"/>
      <c r="C1215" s="967"/>
      <c r="D1215" s="967"/>
      <c r="E1215" s="967"/>
      <c r="F1215" s="967"/>
      <c r="G1215" s="967"/>
    </row>
    <row r="1216" spans="1:7" ht="12.75">
      <c r="A1216" s="403"/>
      <c r="B1216" s="403"/>
      <c r="C1216" s="403"/>
      <c r="D1216" s="37"/>
      <c r="E1216" s="37"/>
      <c r="F1216" s="37"/>
      <c r="G1216" s="37"/>
    </row>
    <row r="1217" spans="1:7" ht="12.75">
      <c r="A1217" s="403"/>
      <c r="B1217" s="403"/>
      <c r="C1217" s="403"/>
      <c r="D1217" s="993" t="s">
        <v>667</v>
      </c>
      <c r="E1217" s="993"/>
      <c r="F1217" s="993"/>
      <c r="G1217" s="37"/>
    </row>
    <row r="1218" spans="1:7" ht="12.75">
      <c r="A1218" s="403"/>
      <c r="B1218" s="403"/>
      <c r="C1218" s="403"/>
      <c r="D1218" s="994" t="s">
        <v>668</v>
      </c>
      <c r="E1218" s="994"/>
      <c r="F1218" s="994"/>
      <c r="G1218" s="37"/>
    </row>
    <row r="1219" spans="1:7" ht="12.75">
      <c r="A1219" s="165"/>
      <c r="B1219" s="165"/>
      <c r="C1219" s="165"/>
      <c r="D1219" s="37"/>
      <c r="E1219" s="37"/>
      <c r="F1219" s="37"/>
      <c r="G1219" s="37"/>
    </row>
    <row r="1220" spans="1:7" ht="14.25">
      <c r="A1220" s="231"/>
      <c r="B1220" s="231"/>
      <c r="C1220" s="166"/>
      <c r="D1220" s="993" t="s">
        <v>669</v>
      </c>
      <c r="E1220" s="993"/>
      <c r="F1220" s="993"/>
      <c r="G1220" s="37"/>
    </row>
    <row r="1221" spans="1:7" ht="12.75">
      <c r="A1221" s="403"/>
      <c r="B1221" s="517" t="s">
        <v>324</v>
      </c>
      <c r="C1221" s="403"/>
      <c r="D1221" s="994" t="s">
        <v>670</v>
      </c>
      <c r="E1221" s="994"/>
      <c r="F1221" s="994"/>
      <c r="G1221" s="37"/>
    </row>
    <row r="1222" spans="1:7" ht="12.75">
      <c r="A1222" s="403"/>
      <c r="B1222" s="403"/>
      <c r="C1222" s="403"/>
      <c r="D1222" s="994" t="s">
        <v>671</v>
      </c>
      <c r="E1222" s="994"/>
      <c r="F1222" s="994"/>
      <c r="G1222" s="37"/>
    </row>
    <row r="1223" spans="1:7" ht="12.75">
      <c r="A1223" s="403"/>
      <c r="B1223" s="403"/>
      <c r="C1223" s="403"/>
      <c r="D1223" s="37"/>
      <c r="E1223" s="37"/>
      <c r="F1223" s="37"/>
      <c r="G1223"/>
    </row>
    <row r="1224" spans="1:7" ht="12.75">
      <c r="A1224" s="967" t="s">
        <v>672</v>
      </c>
      <c r="B1224" s="967"/>
      <c r="C1224" s="967"/>
      <c r="D1224" s="967"/>
      <c r="E1224" s="967"/>
      <c r="F1224" s="967"/>
      <c r="G1224" s="967"/>
    </row>
    <row r="1225" spans="1:7" ht="12.75">
      <c r="A1225" s="230"/>
      <c r="B1225" s="230"/>
      <c r="C1225" s="403"/>
      <c r="D1225" s="37"/>
      <c r="E1225" s="37"/>
      <c r="F1225" s="37"/>
      <c r="G1225" s="37"/>
    </row>
    <row r="1226" spans="1:7" ht="12.75" customHeight="1">
      <c r="A1226" s="230"/>
      <c r="B1226" s="230"/>
      <c r="C1226" s="403"/>
      <c r="D1226" s="968" t="s">
        <v>673</v>
      </c>
      <c r="E1226" s="968"/>
      <c r="F1226" s="968"/>
      <c r="G1226" s="37"/>
    </row>
    <row r="1227" spans="1:7" ht="12.75" customHeight="1">
      <c r="A1227" s="230"/>
      <c r="B1227" s="230"/>
      <c r="C1227" s="403"/>
      <c r="D1227" s="963" t="s">
        <v>674</v>
      </c>
      <c r="E1227" s="963"/>
      <c r="F1227" s="963"/>
      <c r="G1227" s="37"/>
    </row>
    <row r="1228" spans="1:7" ht="12.75" customHeight="1">
      <c r="A1228" s="230"/>
      <c r="B1228" s="230"/>
      <c r="C1228" s="403"/>
      <c r="D1228" s="37"/>
      <c r="E1228" s="37"/>
      <c r="F1228" s="37"/>
      <c r="G1228" s="37"/>
    </row>
    <row r="1229" spans="1:7" ht="14.25">
      <c r="A1229" s="231"/>
      <c r="B1229" s="517" t="s">
        <v>326</v>
      </c>
      <c r="C1229" s="403"/>
      <c r="D1229" s="966" t="s">
        <v>675</v>
      </c>
      <c r="E1229" s="966"/>
      <c r="F1229" s="966"/>
      <c r="G1229" s="37"/>
    </row>
    <row r="1230" spans="1:7" ht="12.75">
      <c r="A1230" s="403"/>
      <c r="B1230" s="403"/>
      <c r="C1230" s="403"/>
      <c r="D1230" s="963" t="s">
        <v>534</v>
      </c>
      <c r="E1230" s="963"/>
      <c r="F1230" s="963"/>
      <c r="G1230" s="37"/>
    </row>
    <row r="1231" spans="1:7" ht="12.75">
      <c r="A1231" s="403"/>
      <c r="B1231" s="403"/>
      <c r="C1231" s="403"/>
      <c r="D1231" s="37"/>
      <c r="E1231" s="978" t="s">
        <v>676</v>
      </c>
      <c r="F1231" s="978"/>
      <c r="G1231" s="37"/>
    </row>
    <row r="1232" spans="1:7" ht="12.75">
      <c r="A1232" s="403"/>
      <c r="B1232" s="403"/>
      <c r="C1232" s="403"/>
      <c r="D1232" s="3"/>
      <c r="E1232" s="37"/>
      <c r="F1232" s="37"/>
      <c r="G1232" s="37"/>
    </row>
    <row r="1233" spans="1:7" ht="12.75">
      <c r="A1233" s="403"/>
      <c r="B1233" s="403"/>
      <c r="C1233" s="403"/>
      <c r="D1233" s="992" t="s">
        <v>677</v>
      </c>
      <c r="E1233" s="992"/>
      <c r="F1233" s="992"/>
      <c r="G1233" s="37"/>
    </row>
    <row r="1234" spans="1:7" ht="12.75">
      <c r="A1234" s="403"/>
      <c r="B1234" s="517" t="s">
        <v>326</v>
      </c>
      <c r="C1234" s="403"/>
      <c r="D1234" s="942" t="s">
        <v>678</v>
      </c>
      <c r="E1234" s="942"/>
      <c r="F1234" s="942"/>
      <c r="G1234"/>
    </row>
    <row r="1235" spans="1:7" ht="12.75">
      <c r="A1235" s="403"/>
      <c r="B1235" s="403"/>
      <c r="C1235" s="403"/>
      <c r="D1235" s="942"/>
      <c r="E1235" s="942"/>
      <c r="F1235" s="942"/>
      <c r="G1235"/>
    </row>
    <row r="1236" spans="1:7" ht="12.75">
      <c r="A1236" s="403"/>
      <c r="B1236" s="403"/>
      <c r="C1236" s="403"/>
      <c r="D1236" s="414" t="s">
        <v>679</v>
      </c>
      <c r="E1236"/>
      <c r="F1236"/>
      <c r="G1236"/>
    </row>
    <row r="1237" spans="1:7" ht="13.7" customHeight="1">
      <c r="A1237" s="403"/>
      <c r="B1237" s="403"/>
      <c r="C1237" s="403"/>
      <c r="D1237" s="942" t="s">
        <v>680</v>
      </c>
      <c r="E1237" s="942"/>
      <c r="F1237" s="942"/>
      <c r="G1237"/>
    </row>
    <row r="1238" spans="1:7" ht="12.75">
      <c r="A1238" s="403"/>
      <c r="B1238" s="403"/>
      <c r="C1238" s="403"/>
      <c r="D1238" s="942"/>
      <c r="E1238" s="942"/>
      <c r="F1238" s="942"/>
      <c r="G1238"/>
    </row>
    <row r="1239" spans="1:7" ht="12.75">
      <c r="A1239" s="403"/>
      <c r="B1239" s="403"/>
      <c r="C1239" s="403"/>
      <c r="D1239" s="942"/>
      <c r="E1239" s="942"/>
      <c r="F1239" s="942"/>
      <c r="G1239"/>
    </row>
    <row r="1240" spans="1:7" ht="12.75">
      <c r="A1240" s="403"/>
      <c r="B1240" s="403"/>
      <c r="C1240" s="403"/>
      <c r="D1240" s="942"/>
      <c r="E1240" s="942"/>
      <c r="F1240" s="942"/>
      <c r="G1240"/>
    </row>
    <row r="1241" spans="1:7" ht="12.75">
      <c r="A1241" s="403"/>
      <c r="B1241" s="403"/>
      <c r="C1241" s="403"/>
      <c r="D1241" s="978" t="s">
        <v>681</v>
      </c>
      <c r="E1241" s="978"/>
      <c r="F1241" s="978"/>
      <c r="G1241"/>
    </row>
    <row r="1242" spans="1:7" ht="12.75">
      <c r="A1242" s="403"/>
      <c r="B1242" s="517" t="s">
        <v>326</v>
      </c>
      <c r="C1242" s="403"/>
      <c r="D1242" s="966" t="s">
        <v>682</v>
      </c>
      <c r="E1242" s="966"/>
      <c r="F1242" s="966"/>
      <c r="G1242"/>
    </row>
    <row r="1243" spans="1:7" ht="12.75">
      <c r="A1243" s="403"/>
      <c r="B1243" s="403"/>
      <c r="C1243" s="403"/>
      <c r="D1243" s="37"/>
      <c r="E1243"/>
      <c r="F1243"/>
      <c r="G1243"/>
    </row>
    <row r="1244" spans="1:7" ht="12.75">
      <c r="A1244" s="403"/>
      <c r="B1244" s="403"/>
      <c r="C1244" s="403"/>
      <c r="D1244" s="980" t="s">
        <v>683</v>
      </c>
      <c r="E1244" s="980"/>
      <c r="F1244" s="980"/>
      <c r="G1244"/>
    </row>
    <row r="1245" spans="1:7" ht="12.75">
      <c r="A1245" s="403"/>
      <c r="B1245" s="403"/>
      <c r="C1245" s="403"/>
      <c r="D1245" s="3" t="s">
        <v>684</v>
      </c>
      <c r="E1245"/>
      <c r="F1245"/>
      <c r="G1245"/>
    </row>
    <row r="1246" spans="1:7" ht="14.45" customHeight="1">
      <c r="A1246" s="231"/>
      <c r="B1246" s="517" t="s">
        <v>326</v>
      </c>
      <c r="C1246" s="403"/>
      <c r="D1246" s="942" t="s">
        <v>685</v>
      </c>
      <c r="E1246" s="942"/>
      <c r="F1246" s="942"/>
      <c r="G1246"/>
    </row>
    <row r="1247" spans="1:7" ht="14.25">
      <c r="A1247" s="231"/>
      <c r="B1247" s="231"/>
      <c r="C1247" s="403"/>
      <c r="D1247" s="942"/>
      <c r="E1247" s="942"/>
      <c r="F1247" s="942"/>
      <c r="G1247"/>
    </row>
    <row r="1248" spans="1:7" ht="14.25">
      <c r="A1248" s="231"/>
      <c r="B1248" s="231"/>
      <c r="C1248" s="403"/>
      <c r="D1248" s="942"/>
      <c r="E1248" s="942"/>
      <c r="F1248" s="942"/>
      <c r="G1248"/>
    </row>
    <row r="1249" spans="1:7" ht="14.25">
      <c r="A1249" s="231"/>
      <c r="B1249" s="231"/>
      <c r="C1249" s="403"/>
      <c r="D1249" s="37"/>
      <c r="E1249"/>
      <c r="F1249"/>
      <c r="G1249"/>
    </row>
    <row r="1250" spans="1:7" ht="14.25">
      <c r="A1250" s="231"/>
      <c r="B1250" s="231"/>
      <c r="C1250" s="403"/>
      <c r="D1250" s="341" t="s">
        <v>686</v>
      </c>
      <c r="E1250" s="341"/>
      <c r="F1250" s="341"/>
      <c r="G1250" s="37"/>
    </row>
    <row r="1251" spans="1:7" ht="14.25">
      <c r="A1251" s="231"/>
      <c r="B1251" s="517" t="s">
        <v>326</v>
      </c>
      <c r="C1251" s="403"/>
      <c r="D1251" s="942" t="s">
        <v>687</v>
      </c>
      <c r="E1251" s="942"/>
      <c r="F1251" s="942"/>
      <c r="G1251" s="37"/>
    </row>
    <row r="1252" spans="1:7" ht="14.25">
      <c r="A1252" s="231"/>
      <c r="B1252" s="231"/>
      <c r="C1252" s="403"/>
      <c r="D1252" s="942"/>
      <c r="E1252" s="942"/>
      <c r="F1252" s="942"/>
      <c r="G1252" s="37"/>
    </row>
    <row r="1253" spans="1:7" ht="14.25">
      <c r="A1253" s="231"/>
      <c r="B1253" s="231"/>
      <c r="C1253" s="403"/>
      <c r="D1253" s="942"/>
      <c r="E1253" s="942"/>
      <c r="F1253" s="942"/>
      <c r="G1253" s="37"/>
    </row>
    <row r="1254" spans="1:7" ht="14.25">
      <c r="A1254" s="231"/>
      <c r="B1254" s="231"/>
      <c r="C1254" s="403"/>
      <c r="D1254" s="942"/>
      <c r="E1254" s="942"/>
      <c r="F1254" s="942"/>
      <c r="G1254" s="37"/>
    </row>
    <row r="1255" spans="1:7" ht="14.25">
      <c r="A1255" s="231"/>
      <c r="B1255" s="231"/>
      <c r="C1255" s="403"/>
      <c r="D1255" s="942"/>
      <c r="E1255" s="942"/>
      <c r="F1255" s="942"/>
      <c r="G1255" s="37"/>
    </row>
    <row r="1256" spans="1:7" ht="12.75" customHeight="1">
      <c r="A1256" s="230"/>
      <c r="B1256" s="230"/>
      <c r="C1256" s="403"/>
      <c r="D1256" s="37"/>
      <c r="E1256" s="37"/>
      <c r="F1256" s="37"/>
      <c r="G1256" s="37"/>
    </row>
    <row r="1257" spans="1:7" ht="12.75">
      <c r="A1257" s="967" t="s">
        <v>688</v>
      </c>
      <c r="B1257" s="967"/>
      <c r="C1257" s="967"/>
      <c r="D1257" s="967"/>
      <c r="E1257" s="967"/>
      <c r="F1257" s="967"/>
      <c r="G1257" s="967"/>
    </row>
    <row r="1258" spans="1:7" ht="12.75">
      <c r="A1258" s="230"/>
      <c r="B1258" s="230"/>
      <c r="C1258" s="403"/>
      <c r="D1258" s="37"/>
      <c r="E1258" s="37"/>
      <c r="F1258" s="37"/>
      <c r="G1258" s="37"/>
    </row>
    <row r="1259" spans="1:7" ht="12.75">
      <c r="A1259" s="230"/>
      <c r="B1259" s="230"/>
      <c r="C1259" s="403"/>
      <c r="D1259" s="975" t="s">
        <v>689</v>
      </c>
      <c r="E1259" s="975"/>
      <c r="F1259" s="975"/>
      <c r="G1259" s="37"/>
    </row>
    <row r="1260" spans="1:7" ht="12.75">
      <c r="A1260" s="228"/>
      <c r="B1260" s="228"/>
      <c r="C1260" s="228"/>
      <c r="D1260" s="966" t="s">
        <v>690</v>
      </c>
      <c r="E1260" s="966"/>
      <c r="F1260" s="966"/>
      <c r="G1260" s="229"/>
    </row>
    <row r="1261" spans="1:7" ht="10.5" customHeight="1">
      <c r="A1261" s="403"/>
      <c r="B1261" s="403"/>
      <c r="C1261" s="403"/>
      <c r="D1261" s="37"/>
      <c r="E1261" s="37"/>
      <c r="F1261" s="37"/>
      <c r="G1261" s="37"/>
    </row>
    <row r="1262" spans="1:7" ht="14.25">
      <c r="A1262" s="231"/>
      <c r="B1262" s="517" t="s">
        <v>326</v>
      </c>
      <c r="C1262" s="403"/>
      <c r="D1262" s="966" t="s">
        <v>691</v>
      </c>
      <c r="E1262" s="966"/>
      <c r="F1262" s="966"/>
      <c r="G1262" s="37"/>
    </row>
    <row r="1263" spans="1:7" ht="12.75">
      <c r="A1263" s="403"/>
      <c r="B1263" s="403"/>
      <c r="C1263" s="403"/>
      <c r="D1263" s="37"/>
      <c r="E1263" s="978" t="s">
        <v>692</v>
      </c>
      <c r="F1263" s="978"/>
      <c r="G1263" s="37"/>
    </row>
    <row r="1264" spans="1:7" ht="12.7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031" workbookViewId="0">
      <selection activeCell="G116" sqref="G11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27" t="s">
        <v>693</v>
      </c>
      <c r="B9" s="1027"/>
      <c r="C9" s="1027"/>
      <c r="D9" s="1027"/>
      <c r="E9" s="1027"/>
      <c r="F9" s="1027"/>
      <c r="G9" s="1027"/>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row>
    <row r="10" spans="1:46" s="562" customFormat="1" ht="12.95" customHeight="1">
      <c r="A10" s="1028" t="s">
        <v>694</v>
      </c>
      <c r="B10" s="1028"/>
      <c r="C10" s="1028"/>
      <c r="D10" s="1028"/>
      <c r="E10" s="1028"/>
      <c r="F10" s="1028"/>
      <c r="G10" s="1028"/>
      <c r="H10" s="1028"/>
      <c r="I10" s="1028"/>
      <c r="J10" s="1028"/>
      <c r="K10" s="1028"/>
      <c r="L10" s="1028"/>
      <c r="M10" s="1028"/>
      <c r="N10" s="1028"/>
      <c r="O10" s="1028"/>
      <c r="P10" s="1028"/>
      <c r="Q10" s="1028"/>
      <c r="R10" s="1028"/>
      <c r="S10" s="1028"/>
      <c r="T10" s="102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c r="AT10" s="1028"/>
    </row>
    <row r="11" spans="1:46" s="37" customFormat="1" ht="12.95" customHeight="1">
      <c r="A11" s="1029" t="s">
        <v>695</v>
      </c>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row>
    <row r="12" spans="1:46" ht="12.95"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287" t="s">
        <v>698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6" ht="12.95" customHeight="1">
      <c r="C16"/>
    </row>
    <row r="17" spans="1:46" ht="12.95" customHeight="1">
      <c r="A17" s="56" t="s">
        <v>699</v>
      </c>
      <c r="C17" s="37"/>
      <c r="D17" s="37"/>
      <c r="E17" s="37"/>
      <c r="F17" s="37"/>
      <c r="G17" s="37"/>
      <c r="H17" s="1016" t="s">
        <v>700</v>
      </c>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row>
    <row r="18" spans="1:46" ht="12.95" customHeight="1">
      <c r="C18"/>
    </row>
    <row r="19" spans="1:46" ht="12.95" customHeight="1">
      <c r="A19" s="956" t="s">
        <v>701</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row>
    <row r="20" spans="1:46" ht="12.95" customHeight="1">
      <c r="A20" s="1359" t="s">
        <v>702</v>
      </c>
      <c r="B20" s="1359"/>
      <c r="C20" s="1359"/>
      <c r="D20" s="1359"/>
      <c r="E20" s="1359"/>
      <c r="F20" s="1359"/>
      <c r="G20" s="1359"/>
      <c r="H20" s="1359"/>
      <c r="I20" s="1359"/>
      <c r="J20" s="1359"/>
      <c r="K20" s="1359"/>
      <c r="L20" s="1359"/>
      <c r="M20" s="1359"/>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c r="AL20" s="1359"/>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703</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60">
        <f>ROUND('Basis &amp; Credits'!AB55,0)</f>
        <v>1696412</v>
      </c>
      <c r="N25" s="1360"/>
      <c r="O25" s="1360"/>
      <c r="P25" s="1360"/>
      <c r="Q25" s="1360"/>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60">
        <f>'Basis &amp; Credits'!AB76</f>
        <v>0</v>
      </c>
      <c r="N27" s="1360"/>
      <c r="O27" s="1360"/>
      <c r="P27" s="1360"/>
      <c r="Q27" s="1360"/>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706</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hidden="1" customHeight="1">
      <c r="A33" s="264" t="s">
        <v>707</v>
      </c>
      <c r="B33"/>
      <c r="C33" s="264"/>
      <c r="D33" s="264"/>
      <c r="E33" s="264"/>
      <c r="F33" s="264"/>
      <c r="G33" s="264"/>
      <c r="H33" s="264"/>
      <c r="I33" s="264"/>
      <c r="J33" s="264"/>
      <c r="K33" s="264"/>
      <c r="L33" s="264"/>
      <c r="M33" s="264"/>
      <c r="N33" s="264"/>
      <c r="O33" s="1065" t="s">
        <v>708</v>
      </c>
      <c r="P33" s="1065"/>
      <c r="Q33" s="1030" t="s">
        <v>709</v>
      </c>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row>
    <row r="34" spans="1:46" ht="12.95" hidden="1" customHeight="1">
      <c r="A34" s="957" t="s">
        <v>710</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row>
    <row r="35" spans="1:46" ht="12.95" hidden="1" customHeight="1">
      <c r="A35" s="957"/>
      <c r="B35" s="957"/>
      <c r="C35" s="957"/>
      <c r="D35" s="957"/>
      <c r="E35" s="957"/>
      <c r="F35" s="957"/>
      <c r="G35" s="957"/>
      <c r="H35" s="957"/>
      <c r="I35" s="957"/>
      <c r="J35" s="957"/>
      <c r="K35" s="957"/>
      <c r="L35" s="957"/>
      <c r="M35" s="957"/>
      <c r="N35" s="957"/>
      <c r="O35" s="957"/>
      <c r="P35" s="957"/>
      <c r="Q35" s="957"/>
      <c r="R35" s="957"/>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row>
    <row r="36" spans="1:46" ht="12.95" hidden="1" customHeight="1">
      <c r="A36" s="957"/>
      <c r="B36" s="957"/>
      <c r="C36" s="957"/>
      <c r="D36" s="957"/>
      <c r="E36" s="957"/>
      <c r="F36" s="957"/>
      <c r="G36" s="957"/>
      <c r="H36" s="957"/>
      <c r="I36" s="957"/>
      <c r="J36" s="957"/>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row>
    <row r="37" spans="1:46" ht="12.95" hidden="1" customHeight="1">
      <c r="A37" s="957"/>
      <c r="B37" s="957"/>
      <c r="C37" s="957"/>
      <c r="D37" s="957"/>
      <c r="E37" s="957"/>
      <c r="F37" s="957"/>
      <c r="G37" s="957"/>
      <c r="H37" s="957"/>
      <c r="I37" s="957"/>
      <c r="J37" s="957"/>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row>
    <row r="38" spans="1:46" ht="12.95" hidden="1" customHeight="1">
      <c r="C38"/>
      <c r="AM38" s="19"/>
    </row>
    <row r="39" spans="1:46" s="670" customFormat="1" ht="12.95" customHeight="1">
      <c r="A39" s="945" t="s">
        <v>711</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712</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713</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715</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717</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719</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720</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2" t="s">
        <v>721</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722</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723</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5" t="s">
        <v>724</v>
      </c>
      <c r="B91" s="1015"/>
      <c r="C91" s="1015"/>
      <c r="D91" s="1015"/>
      <c r="E91" s="1015"/>
      <c r="F91" s="1015"/>
      <c r="G91" s="1015"/>
      <c r="H91" s="1015"/>
      <c r="I91" s="1015"/>
      <c r="J91" s="1015"/>
      <c r="K91" s="1015"/>
      <c r="L91" s="1015"/>
      <c r="M91" s="1015"/>
      <c r="N91" s="1015"/>
      <c r="O91" s="1015"/>
      <c r="P91" s="1015"/>
      <c r="Q91" s="1015"/>
      <c r="R91" s="1015"/>
      <c r="S91" s="1015"/>
      <c r="T91" s="1015"/>
      <c r="U91" s="1015"/>
      <c r="V91" s="1015"/>
      <c r="W91" s="1015"/>
      <c r="X91" s="1015"/>
      <c r="Y91" s="1015"/>
      <c r="Z91" s="1015"/>
      <c r="AA91" s="1015"/>
      <c r="AB91" s="1015"/>
      <c r="AC91" s="1015"/>
      <c r="AD91" s="1015"/>
      <c r="AE91" s="1015"/>
      <c r="AF91" s="1015"/>
      <c r="AG91" s="1015"/>
      <c r="AH91" s="1015"/>
      <c r="AI91" s="1015"/>
      <c r="AJ91" s="1015"/>
      <c r="AK91" s="1015"/>
      <c r="AL91" s="1015"/>
      <c r="AM91" s="1015"/>
      <c r="AN91" s="1015"/>
      <c r="AO91" s="1015"/>
      <c r="AP91" s="1015"/>
      <c r="AQ91" s="1015"/>
      <c r="AR91" s="1015"/>
      <c r="AS91" s="1015"/>
      <c r="AT91" s="1015"/>
    </row>
    <row r="92" spans="1:16384" ht="12.95" customHeight="1">
      <c r="A92" s="1015"/>
      <c r="B92" s="1015"/>
      <c r="C92" s="1015"/>
      <c r="D92" s="1015"/>
      <c r="E92" s="1015"/>
      <c r="F92" s="1015"/>
      <c r="G92" s="1015"/>
      <c r="H92" s="1015"/>
      <c r="I92" s="1015"/>
      <c r="J92" s="1015"/>
      <c r="K92" s="1015"/>
      <c r="L92" s="1015"/>
      <c r="M92" s="1015"/>
      <c r="N92" s="1015"/>
      <c r="O92" s="1015"/>
      <c r="P92" s="1015"/>
      <c r="Q92" s="1015"/>
      <c r="R92" s="1015"/>
      <c r="S92" s="1015"/>
      <c r="T92" s="1015"/>
      <c r="U92" s="1015"/>
      <c r="V92" s="1015"/>
      <c r="W92" s="1015"/>
      <c r="X92" s="1015"/>
      <c r="Y92" s="1015"/>
      <c r="Z92" s="1015"/>
      <c r="AA92" s="1015"/>
      <c r="AB92" s="1015"/>
      <c r="AC92" s="1015"/>
      <c r="AD92" s="1015"/>
      <c r="AE92" s="1015"/>
      <c r="AF92" s="1015"/>
      <c r="AG92" s="1015"/>
      <c r="AH92" s="1015"/>
      <c r="AI92" s="1015"/>
      <c r="AJ92" s="1015"/>
      <c r="AK92" s="1015"/>
      <c r="AL92" s="1015"/>
      <c r="AM92" s="1015"/>
      <c r="AN92" s="1015"/>
      <c r="AO92" s="1015"/>
      <c r="AP92" s="1015"/>
      <c r="AQ92" s="1015"/>
      <c r="AR92" s="1015"/>
      <c r="AS92" s="1015"/>
      <c r="AT92" s="1015"/>
    </row>
    <row r="93" spans="1:16384" ht="12.95" customHeight="1">
      <c r="A93" s="1015"/>
      <c r="B93" s="1015"/>
      <c r="C93" s="1015"/>
      <c r="D93" s="1015"/>
      <c r="E93" s="1015"/>
      <c r="F93" s="1015"/>
      <c r="G93" s="1015"/>
      <c r="H93" s="1015"/>
      <c r="I93" s="1015"/>
      <c r="J93" s="1015"/>
      <c r="K93" s="1015"/>
      <c r="L93" s="1015"/>
      <c r="M93" s="1015"/>
      <c r="N93" s="1015"/>
      <c r="O93" s="1015"/>
      <c r="P93" s="1015"/>
      <c r="Q93" s="1015"/>
      <c r="R93" s="1015"/>
      <c r="S93" s="1015"/>
      <c r="T93" s="1015"/>
      <c r="U93" s="1015"/>
      <c r="V93" s="1015"/>
      <c r="W93" s="1015"/>
      <c r="X93" s="1015"/>
      <c r="Y93" s="1015"/>
      <c r="Z93" s="1015"/>
      <c r="AA93" s="1015"/>
      <c r="AB93" s="1015"/>
      <c r="AC93" s="1015"/>
      <c r="AD93" s="1015"/>
      <c r="AE93" s="1015"/>
      <c r="AF93" s="1015"/>
      <c r="AG93" s="1015"/>
      <c r="AH93" s="1015"/>
      <c r="AI93" s="1015"/>
      <c r="AJ93" s="1015"/>
      <c r="AK93" s="1015"/>
      <c r="AL93" s="1015"/>
      <c r="AM93" s="1015"/>
      <c r="AN93" s="1015"/>
      <c r="AO93" s="1015"/>
      <c r="AP93" s="1015"/>
      <c r="AQ93" s="1015"/>
      <c r="AR93" s="1015"/>
      <c r="AS93" s="1015"/>
      <c r="AT93" s="1015"/>
    </row>
    <row r="94" spans="1:16384" ht="12.95" customHeight="1">
      <c r="A94" s="1015"/>
      <c r="B94" s="1015"/>
      <c r="C94" s="1015"/>
      <c r="D94" s="1015"/>
      <c r="E94" s="1015"/>
      <c r="F94" s="1015"/>
      <c r="G94" s="1015"/>
      <c r="H94" s="1015"/>
      <c r="I94" s="1015"/>
      <c r="J94" s="1015"/>
      <c r="K94" s="1015"/>
      <c r="L94" s="1015"/>
      <c r="M94" s="1015"/>
      <c r="N94" s="1015"/>
      <c r="O94" s="1015"/>
      <c r="P94" s="1015"/>
      <c r="Q94" s="1015"/>
      <c r="R94" s="1015"/>
      <c r="S94" s="1015"/>
      <c r="T94" s="1015"/>
      <c r="U94" s="1015"/>
      <c r="V94" s="1015"/>
      <c r="W94" s="1015"/>
      <c r="X94" s="1015"/>
      <c r="Y94" s="1015"/>
      <c r="Z94" s="1015"/>
      <c r="AA94" s="1015"/>
      <c r="AB94" s="1015"/>
      <c r="AC94" s="1015"/>
      <c r="AD94" s="1015"/>
      <c r="AE94" s="1015"/>
      <c r="AF94" s="1015"/>
      <c r="AG94" s="1015"/>
      <c r="AH94" s="1015"/>
      <c r="AI94" s="1015"/>
      <c r="AJ94" s="1015"/>
      <c r="AK94" s="1015"/>
      <c r="AL94" s="1015"/>
      <c r="AM94" s="1015"/>
      <c r="AN94" s="1015"/>
      <c r="AO94" s="1015"/>
      <c r="AP94" s="1015"/>
      <c r="AQ94" s="1015"/>
      <c r="AR94" s="1015"/>
      <c r="AS94" s="1015"/>
      <c r="AT94" s="1015"/>
    </row>
    <row r="95" spans="1:16384" ht="12.95" customHeight="1">
      <c r="A95" s="1015"/>
      <c r="B95" s="1015"/>
      <c r="C95" s="1015"/>
      <c r="D95" s="1015"/>
      <c r="E95" s="1015"/>
      <c r="F95" s="1015"/>
      <c r="G95" s="1015"/>
      <c r="H95" s="1015"/>
      <c r="I95" s="1015"/>
      <c r="J95" s="1015"/>
      <c r="K95" s="1015"/>
      <c r="L95" s="1015"/>
      <c r="M95" s="1015"/>
      <c r="N95" s="1015"/>
      <c r="O95" s="1015"/>
      <c r="P95" s="1015"/>
      <c r="Q95" s="1015"/>
      <c r="R95" s="1015"/>
      <c r="S95" s="1015"/>
      <c r="T95" s="1015"/>
      <c r="U95" s="1015"/>
      <c r="V95" s="1015"/>
      <c r="W95" s="1015"/>
      <c r="X95" s="1015"/>
      <c r="Y95" s="1015"/>
      <c r="Z95" s="1015"/>
      <c r="AA95" s="1015"/>
      <c r="AB95" s="1015"/>
      <c r="AC95" s="1015"/>
      <c r="AD95" s="1015"/>
      <c r="AE95" s="1015"/>
      <c r="AF95" s="1015"/>
      <c r="AG95" s="1015"/>
      <c r="AH95" s="1015"/>
      <c r="AI95" s="1015"/>
      <c r="AJ95" s="1015"/>
      <c r="AK95" s="1015"/>
      <c r="AL95" s="1015"/>
      <c r="AM95" s="1015"/>
      <c r="AN95" s="1015"/>
      <c r="AO95" s="1015"/>
      <c r="AP95" s="1015"/>
      <c r="AQ95" s="1015"/>
      <c r="AR95" s="1015"/>
      <c r="AS95" s="1015"/>
      <c r="AT95" s="1015"/>
    </row>
    <row r="96" spans="1:16384" ht="12.95" customHeight="1">
      <c r="A96" s="1015"/>
      <c r="B96" s="1015"/>
      <c r="C96" s="1015"/>
      <c r="D96" s="1015"/>
      <c r="E96" s="1015"/>
      <c r="F96" s="1015"/>
      <c r="G96" s="1015"/>
      <c r="H96" s="1015"/>
      <c r="I96" s="1015"/>
      <c r="J96" s="1015"/>
      <c r="K96" s="1015"/>
      <c r="L96" s="1015"/>
      <c r="M96" s="1015"/>
      <c r="N96" s="1015"/>
      <c r="O96" s="1015"/>
      <c r="P96" s="1015"/>
      <c r="Q96" s="1015"/>
      <c r="R96" s="1015"/>
      <c r="S96" s="1015"/>
      <c r="T96" s="1015"/>
      <c r="U96" s="1015"/>
      <c r="V96" s="1015"/>
      <c r="W96" s="1015"/>
      <c r="X96" s="1015"/>
      <c r="Y96" s="1015"/>
      <c r="Z96" s="1015"/>
      <c r="AA96" s="1015"/>
      <c r="AB96" s="1015"/>
      <c r="AC96" s="1015"/>
      <c r="AD96" s="1015"/>
      <c r="AE96" s="1015"/>
      <c r="AF96" s="1015"/>
      <c r="AG96" s="1015"/>
      <c r="AH96" s="1015"/>
      <c r="AI96" s="1015"/>
      <c r="AJ96" s="1015"/>
      <c r="AK96" s="1015"/>
      <c r="AL96" s="1015"/>
      <c r="AM96" s="1015"/>
      <c r="AN96" s="1015"/>
      <c r="AO96" s="1015"/>
      <c r="AP96" s="1015"/>
      <c r="AQ96" s="1015"/>
      <c r="AR96" s="1015"/>
      <c r="AS96" s="1015"/>
      <c r="AT96" s="1015"/>
    </row>
    <row r="97" spans="1:46" ht="12.95" customHeight="1">
      <c r="A97" s="1015"/>
      <c r="B97" s="1015"/>
      <c r="C97" s="1015"/>
      <c r="D97" s="1015"/>
      <c r="E97" s="1015"/>
      <c r="F97" s="1015"/>
      <c r="G97" s="1015"/>
      <c r="H97" s="1015"/>
      <c r="I97" s="1015"/>
      <c r="J97" s="1015"/>
      <c r="K97" s="1015"/>
      <c r="L97" s="1015"/>
      <c r="M97" s="1015"/>
      <c r="N97" s="1015"/>
      <c r="O97" s="1015"/>
      <c r="P97" s="1015"/>
      <c r="Q97" s="1015"/>
      <c r="R97" s="1015"/>
      <c r="S97" s="1015"/>
      <c r="T97" s="1015"/>
      <c r="U97" s="1015"/>
      <c r="V97" s="1015"/>
      <c r="W97" s="1015"/>
      <c r="X97" s="1015"/>
      <c r="Y97" s="1015"/>
      <c r="Z97" s="1015"/>
      <c r="AA97" s="1015"/>
      <c r="AB97" s="1015"/>
      <c r="AC97" s="1015"/>
      <c r="AD97" s="1015"/>
      <c r="AE97" s="1015"/>
      <c r="AF97" s="1015"/>
      <c r="AG97" s="1015"/>
      <c r="AH97" s="1015"/>
      <c r="AI97" s="1015"/>
      <c r="AJ97" s="1015"/>
      <c r="AK97" s="1015"/>
      <c r="AL97" s="1015"/>
      <c r="AM97" s="1015"/>
      <c r="AN97" s="1015"/>
      <c r="AO97" s="1015"/>
      <c r="AP97" s="1015"/>
      <c r="AQ97" s="1015"/>
      <c r="AR97" s="1015"/>
      <c r="AS97" s="1015"/>
      <c r="AT97" s="1015"/>
    </row>
    <row r="98" spans="1:46" ht="12.95" customHeight="1">
      <c r="A98" s="1015"/>
      <c r="B98" s="1015"/>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1015"/>
      <c r="Y98" s="1015"/>
      <c r="Z98" s="1015"/>
      <c r="AA98" s="1015"/>
      <c r="AB98" s="1015"/>
      <c r="AC98" s="1015"/>
      <c r="AD98" s="1015"/>
      <c r="AE98" s="1015"/>
      <c r="AF98" s="1015"/>
      <c r="AG98" s="1015"/>
      <c r="AH98" s="1015"/>
      <c r="AI98" s="1015"/>
      <c r="AJ98" s="1015"/>
      <c r="AK98" s="1015"/>
      <c r="AL98" s="1015"/>
      <c r="AM98" s="1015"/>
      <c r="AN98" s="1015"/>
      <c r="AO98" s="1015"/>
      <c r="AP98" s="1015"/>
      <c r="AQ98" s="1015"/>
      <c r="AR98" s="1015"/>
      <c r="AS98" s="1015"/>
      <c r="AT98" s="1015"/>
    </row>
    <row r="99" spans="1:46" ht="12.95" customHeight="1">
      <c r="A99" s="1015"/>
      <c r="B99" s="1015"/>
      <c r="C99" s="1015"/>
      <c r="D99" s="1015"/>
      <c r="E99" s="1015"/>
      <c r="F99" s="1015"/>
      <c r="G99" s="1015"/>
      <c r="H99" s="1015"/>
      <c r="I99" s="1015"/>
      <c r="J99" s="1015"/>
      <c r="K99" s="1015"/>
      <c r="L99" s="1015"/>
      <c r="M99" s="1015"/>
      <c r="N99" s="1015"/>
      <c r="O99" s="1015"/>
      <c r="P99" s="1015"/>
      <c r="Q99" s="1015"/>
      <c r="R99" s="1015"/>
      <c r="S99" s="1015"/>
      <c r="T99" s="1015"/>
      <c r="U99" s="1015"/>
      <c r="V99" s="1015"/>
      <c r="W99" s="1015"/>
      <c r="X99" s="1015"/>
      <c r="Y99" s="1015"/>
      <c r="Z99" s="1015"/>
      <c r="AA99" s="1015"/>
      <c r="AB99" s="1015"/>
      <c r="AC99" s="1015"/>
      <c r="AD99" s="1015"/>
      <c r="AE99" s="1015"/>
      <c r="AF99" s="1015"/>
      <c r="AG99" s="1015"/>
      <c r="AH99" s="1015"/>
      <c r="AI99" s="1015"/>
      <c r="AJ99" s="1015"/>
      <c r="AK99" s="1015"/>
      <c r="AL99" s="1015"/>
      <c r="AM99" s="1015"/>
      <c r="AN99" s="1015"/>
      <c r="AO99" s="1015"/>
      <c r="AP99" s="1015"/>
      <c r="AQ99" s="1015"/>
      <c r="AR99" s="1015"/>
      <c r="AS99" s="1015"/>
      <c r="AT99" s="1015"/>
    </row>
    <row r="100" spans="1:46" ht="20.100000000000001" customHeight="1">
      <c r="A100" s="1015"/>
      <c r="B100" s="1015"/>
      <c r="C100" s="1015"/>
      <c r="D100" s="1015"/>
      <c r="E100" s="1015"/>
      <c r="F100" s="1015"/>
      <c r="G100" s="1015"/>
      <c r="H100" s="1015"/>
      <c r="I100" s="1015"/>
      <c r="J100" s="1015"/>
      <c r="K100" s="1015"/>
      <c r="L100" s="1015"/>
      <c r="M100" s="1015"/>
      <c r="N100" s="1015"/>
      <c r="O100" s="1015"/>
      <c r="P100" s="1015"/>
      <c r="Q100" s="1015"/>
      <c r="R100" s="1015"/>
      <c r="S100" s="1015"/>
      <c r="T100" s="1015"/>
      <c r="U100" s="1015"/>
      <c r="V100" s="1015"/>
      <c r="W100" s="1015"/>
      <c r="X100" s="1015"/>
      <c r="Y100" s="1015"/>
      <c r="Z100" s="1015"/>
      <c r="AA100" s="1015"/>
      <c r="AB100" s="1015"/>
      <c r="AC100" s="1015"/>
      <c r="AD100" s="1015"/>
      <c r="AE100" s="1015"/>
      <c r="AF100" s="1015"/>
      <c r="AG100" s="1015"/>
      <c r="AH100" s="1015"/>
      <c r="AI100" s="1015"/>
      <c r="AJ100" s="1015"/>
      <c r="AK100" s="1015"/>
      <c r="AL100" s="1015"/>
      <c r="AM100" s="1015"/>
      <c r="AN100" s="1015"/>
      <c r="AO100" s="1015"/>
      <c r="AP100" s="1015"/>
      <c r="AQ100" s="1015"/>
      <c r="AR100" s="1015"/>
      <c r="AS100" s="1015"/>
      <c r="AT100" s="1015"/>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725</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5" t="s">
        <v>726</v>
      </c>
      <c r="B107" s="1015"/>
      <c r="C107" s="1015"/>
      <c r="D107" s="1015"/>
      <c r="E107" s="1015"/>
      <c r="F107" s="1015"/>
      <c r="G107" s="1015"/>
      <c r="H107" s="1015"/>
      <c r="I107" s="1015"/>
      <c r="J107" s="1015"/>
      <c r="K107" s="1015"/>
      <c r="L107" s="1015"/>
      <c r="M107" s="1015"/>
      <c r="N107" s="1015"/>
      <c r="O107" s="1015"/>
      <c r="P107" s="1015"/>
      <c r="Q107" s="1015"/>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c r="AQ107" s="1015"/>
      <c r="AR107" s="1015"/>
      <c r="AS107" s="1015"/>
      <c r="AT107" s="1015"/>
    </row>
    <row r="108" spans="1:46" ht="12.95" customHeight="1">
      <c r="A108" s="1015"/>
      <c r="B108" s="1015"/>
      <c r="C108" s="1015"/>
      <c r="D108" s="1015"/>
      <c r="E108" s="1015"/>
      <c r="F108" s="1015"/>
      <c r="G108" s="1015"/>
      <c r="H108" s="1015"/>
      <c r="I108" s="1015"/>
      <c r="J108" s="1015"/>
      <c r="K108" s="1015"/>
      <c r="L108" s="1015"/>
      <c r="M108" s="1015"/>
      <c r="N108" s="1015"/>
      <c r="O108" s="1015"/>
      <c r="P108" s="1015"/>
      <c r="Q108" s="1015"/>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c r="AQ108" s="1015"/>
      <c r="AR108" s="1015"/>
      <c r="AS108" s="1015"/>
      <c r="AT108" s="1015"/>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727</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063">
        <v>3</v>
      </c>
      <c r="H115" s="1063"/>
      <c r="I115" s="37" t="s">
        <v>729</v>
      </c>
      <c r="J115" s="37"/>
      <c r="L115" s="1288" t="s">
        <v>730</v>
      </c>
      <c r="M115" s="1288"/>
      <c r="N115" s="1288"/>
      <c r="O115" s="37" t="s">
        <v>731</v>
      </c>
      <c r="P115" s="37"/>
      <c r="Q115" s="37"/>
      <c r="R115" s="37"/>
      <c r="S115" s="264"/>
      <c r="T115" s="264"/>
      <c r="U115" s="264"/>
      <c r="V115" s="264"/>
      <c r="W115" s="264"/>
      <c r="X115" s="37" t="s">
        <v>732</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288" t="s">
        <v>734</v>
      </c>
      <c r="D117" s="1288"/>
      <c r="E117" s="1288"/>
      <c r="F117" s="1288"/>
      <c r="G117" s="1288"/>
      <c r="H117" s="1288"/>
      <c r="I117" s="1288"/>
      <c r="J117" s="1288"/>
      <c r="K117" s="1288"/>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6" t="s">
        <v>736</v>
      </c>
      <c r="Z118" s="1016"/>
      <c r="AA118" s="1016"/>
      <c r="AB118" s="1016"/>
      <c r="AC118" s="1016"/>
      <c r="AD118" s="1016"/>
      <c r="AE118" s="1016"/>
      <c r="AF118" s="1016"/>
      <c r="AG118" s="1016"/>
      <c r="AH118" s="1016"/>
      <c r="AI118" s="1016"/>
      <c r="AJ118" s="1016"/>
      <c r="AK118" s="1016"/>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6" t="s">
        <v>738</v>
      </c>
      <c r="Z121" s="1016"/>
      <c r="AA121" s="1016"/>
      <c r="AB121" s="1016"/>
      <c r="AC121" s="1016"/>
      <c r="AD121" s="1016"/>
      <c r="AE121" s="1016"/>
      <c r="AF121" s="1016"/>
      <c r="AG121" s="1016"/>
      <c r="AH121" s="1016"/>
      <c r="AI121" s="1016"/>
      <c r="AJ121" s="1016"/>
      <c r="AK121" s="1016"/>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1016" t="s">
        <v>741</v>
      </c>
      <c r="P156" s="1016"/>
      <c r="Q156" s="1016"/>
      <c r="R156" s="1016"/>
      <c r="S156" s="1016"/>
      <c r="T156" s="1016"/>
      <c r="U156" s="1016"/>
      <c r="V156" s="1016"/>
      <c r="W156" s="1016"/>
      <c r="X156" s="1016"/>
      <c r="Y156" s="1016"/>
      <c r="Z156" s="1016"/>
      <c r="AA156" s="1016"/>
      <c r="AB156" s="1016"/>
      <c r="AC156" s="1016"/>
      <c r="AD156" s="1016"/>
      <c r="AE156" s="1016"/>
      <c r="AF156" s="1016"/>
      <c r="AG156" s="1016"/>
      <c r="AH156" s="1016"/>
      <c r="BT156" t="s">
        <v>321</v>
      </c>
    </row>
    <row r="157" spans="1:72" ht="12.95" customHeight="1">
      <c r="C157"/>
      <c r="D157" s="278" t="s">
        <v>742</v>
      </c>
      <c r="O157" s="1279" t="s">
        <v>743</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744</v>
      </c>
      <c r="BN157" s="226" t="s">
        <v>745</v>
      </c>
      <c r="BT157" t="s">
        <v>746</v>
      </c>
    </row>
    <row r="158" spans="1:72" ht="12.95" customHeight="1">
      <c r="C158"/>
      <c r="D158" s="12" t="s">
        <v>747</v>
      </c>
      <c r="F158" s="12"/>
      <c r="G158" s="12"/>
      <c r="H158" s="12"/>
      <c r="I158" s="12"/>
      <c r="J158" s="12"/>
      <c r="K158" s="12"/>
      <c r="L158" s="12"/>
      <c r="M158" s="12"/>
      <c r="N158" s="12"/>
      <c r="O158" s="1361" t="s">
        <v>748</v>
      </c>
      <c r="P158" s="1361"/>
      <c r="Q158" s="1361"/>
      <c r="R158" s="1361"/>
      <c r="S158" s="1361"/>
      <c r="T158" s="1361"/>
      <c r="U158" s="1361"/>
      <c r="V158" s="1361"/>
      <c r="W158" s="1361"/>
      <c r="X158" s="1361"/>
      <c r="Y158" s="1361"/>
      <c r="Z158" s="1361"/>
      <c r="AA158" s="1361"/>
      <c r="AB158" s="1361"/>
      <c r="AC158" s="1361"/>
      <c r="AD158" s="1361"/>
      <c r="AE158" s="1361"/>
      <c r="AF158" s="1361"/>
      <c r="AG158" s="1361"/>
      <c r="AH158" s="1361"/>
      <c r="BN158" s="226" t="s">
        <v>749</v>
      </c>
      <c r="BT158" t="s">
        <v>750</v>
      </c>
    </row>
    <row r="159" spans="1:72" ht="12.95" customHeight="1">
      <c r="C159"/>
      <c r="D159" t="s">
        <v>751</v>
      </c>
      <c r="O159" s="1017" t="s">
        <v>752</v>
      </c>
      <c r="P159" s="1017"/>
      <c r="Q159" s="1017"/>
      <c r="R159" s="1017"/>
      <c r="S159" s="1017"/>
      <c r="T159" s="1017"/>
      <c r="U159" s="1017"/>
      <c r="V159" s="1017"/>
      <c r="W159" s="1017"/>
      <c r="X159" s="1017"/>
      <c r="Y159" s="1017"/>
      <c r="Z159" s="1017"/>
      <c r="AA159" s="1017"/>
      <c r="AB159" s="1017"/>
      <c r="AC159" s="1017"/>
      <c r="AD159" s="1017"/>
      <c r="AE159" s="1017"/>
      <c r="AF159" s="1017"/>
      <c r="AG159" s="1017"/>
      <c r="AH159" s="1017"/>
      <c r="BN159" s="226" t="s">
        <v>753</v>
      </c>
      <c r="BT159" t="s">
        <v>754</v>
      </c>
    </row>
    <row r="160" spans="1:72" ht="12.95" customHeight="1">
      <c r="C160"/>
      <c r="D160" t="s">
        <v>755</v>
      </c>
      <c r="O160" s="1119" t="s">
        <v>734</v>
      </c>
      <c r="P160" s="1119"/>
      <c r="Q160" s="1119"/>
      <c r="R160" s="1119"/>
      <c r="S160" s="1119"/>
      <c r="T160" s="1119"/>
      <c r="U160" s="1119"/>
      <c r="V160" s="1119"/>
      <c r="W160" s="1119"/>
      <c r="X160" s="1119"/>
      <c r="Y160" s="12"/>
      <c r="Z160" s="12"/>
      <c r="AA160" s="12"/>
      <c r="AB160" s="12"/>
      <c r="AC160" s="12"/>
      <c r="AD160" s="12"/>
      <c r="AE160" s="12"/>
      <c r="AF160" s="12"/>
      <c r="BN160" s="226" t="s">
        <v>756</v>
      </c>
      <c r="BT160" t="s">
        <v>757</v>
      </c>
    </row>
    <row r="161" spans="1:72" ht="12.95" customHeight="1">
      <c r="C161"/>
      <c r="D161" t="s">
        <v>758</v>
      </c>
      <c r="O161" s="1290" t="s">
        <v>759</v>
      </c>
      <c r="P161" s="1290"/>
      <c r="Q161" s="1290"/>
      <c r="R161" s="1290"/>
      <c r="S161" s="13"/>
      <c r="T161" s="13"/>
      <c r="U161" s="13"/>
      <c r="V161" s="13"/>
      <c r="W161" s="13"/>
      <c r="X161" s="13"/>
      <c r="Y161" s="13"/>
      <c r="Z161" s="13"/>
      <c r="AA161" s="13"/>
      <c r="AB161" s="13"/>
      <c r="AC161" s="13"/>
      <c r="AD161" s="13"/>
      <c r="AE161" s="13"/>
      <c r="AF161" s="13"/>
      <c r="BJ161" t="s">
        <v>708</v>
      </c>
      <c r="BN161" s="226" t="s">
        <v>760</v>
      </c>
      <c r="BT161" t="s">
        <v>761</v>
      </c>
    </row>
    <row r="162" spans="1:72" ht="12.95" customHeight="1">
      <c r="C162"/>
      <c r="D162" t="s">
        <v>762</v>
      </c>
      <c r="O162" s="1292" t="s">
        <v>763</v>
      </c>
      <c r="P162" s="1293"/>
      <c r="Q162" s="1293"/>
      <c r="R162" s="1293"/>
      <c r="S162" s="1293"/>
      <c r="T162" s="1293"/>
      <c r="V162" s="155" t="s">
        <v>764</v>
      </c>
      <c r="W162" s="1291"/>
      <c r="X162" s="1291"/>
      <c r="Y162" s="14"/>
      <c r="Z162" s="14"/>
      <c r="AA162" s="14"/>
      <c r="AB162" s="14"/>
      <c r="AC162" s="14"/>
      <c r="AD162" s="14"/>
      <c r="AE162" s="14"/>
      <c r="AF162" s="14"/>
      <c r="BJ162" t="s">
        <v>765</v>
      </c>
      <c r="BN162" s="226" t="s">
        <v>766</v>
      </c>
      <c r="BT162" t="s">
        <v>767</v>
      </c>
    </row>
    <row r="163" spans="1:72" ht="12.95" customHeight="1">
      <c r="C163"/>
      <c r="D163" t="s">
        <v>768</v>
      </c>
      <c r="O163" s="1298" t="s">
        <v>769</v>
      </c>
      <c r="P163" s="1298"/>
      <c r="Q163" s="1298"/>
      <c r="R163" s="1298"/>
      <c r="S163" s="1298"/>
      <c r="T163" s="1298"/>
      <c r="U163" s="14"/>
      <c r="V163" s="14"/>
      <c r="W163" s="14"/>
      <c r="X163" s="14"/>
      <c r="Y163" s="14"/>
      <c r="Z163" s="14"/>
      <c r="AA163" s="14"/>
      <c r="AB163" s="14"/>
      <c r="AC163" s="14"/>
      <c r="AD163" s="14"/>
      <c r="AE163" s="14"/>
      <c r="AF163" s="14"/>
      <c r="BN163" s="226" t="s">
        <v>770</v>
      </c>
      <c r="BT163" t="s">
        <v>771</v>
      </c>
    </row>
    <row r="164" spans="1:72" ht="12.95" customHeight="1">
      <c r="C164"/>
      <c r="D164" t="s">
        <v>772</v>
      </c>
      <c r="O164" s="1276" t="s">
        <v>773</v>
      </c>
      <c r="P164" s="1276"/>
      <c r="Q164" s="1276"/>
      <c r="R164" s="1276"/>
      <c r="S164" s="1276"/>
      <c r="T164" s="1276"/>
      <c r="U164" s="1276"/>
      <c r="V164" s="1276"/>
      <c r="W164" s="1276"/>
      <c r="X164" s="1276"/>
      <c r="Y164" s="1276"/>
      <c r="Z164" s="1276"/>
      <c r="AA164" s="1276"/>
      <c r="AB164" s="1276"/>
      <c r="AC164" s="1276"/>
      <c r="AD164" s="1276"/>
      <c r="AE164" s="1276"/>
      <c r="AF164" s="1276"/>
      <c r="AG164" s="1276"/>
      <c r="AH164" s="1276"/>
      <c r="BN164" s="226" t="s">
        <v>774</v>
      </c>
      <c r="BT164" t="s">
        <v>775</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776</v>
      </c>
      <c r="BT165" t="s">
        <v>777</v>
      </c>
    </row>
    <row r="166" spans="1:72" ht="12.95" customHeight="1">
      <c r="C166" s="31" t="s">
        <v>744</v>
      </c>
      <c r="D166" t="s">
        <v>778</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779</v>
      </c>
      <c r="BT166" t="s">
        <v>780</v>
      </c>
    </row>
    <row r="167" spans="1:72" ht="12.95" customHeight="1">
      <c r="C167" s="31"/>
      <c r="D167" s="1277" t="s">
        <v>781</v>
      </c>
      <c r="E167" s="1277"/>
      <c r="F167" s="1277"/>
      <c r="G167" s="1277"/>
      <c r="H167" s="1277"/>
      <c r="I167" s="1277"/>
      <c r="J167" s="1277"/>
      <c r="K167" s="1277"/>
      <c r="L167" s="1277"/>
      <c r="M167" s="1277"/>
      <c r="N167" s="1277"/>
      <c r="O167" s="1277"/>
      <c r="P167" s="1277"/>
      <c r="Q167" s="1277"/>
      <c r="R167" s="1277"/>
      <c r="S167" s="1277"/>
      <c r="T167" s="1277"/>
      <c r="U167" s="1277"/>
      <c r="V167" s="1277"/>
      <c r="W167" s="1277"/>
      <c r="X167" s="1277"/>
      <c r="Y167" s="1277"/>
      <c r="Z167" s="880"/>
      <c r="AA167" s="223"/>
      <c r="AB167" s="223"/>
      <c r="AC167" s="223"/>
      <c r="AD167" s="223"/>
      <c r="AE167" s="223"/>
      <c r="AF167" s="223"/>
      <c r="AG167" s="223"/>
      <c r="AH167" s="223"/>
      <c r="BN167" s="226" t="s">
        <v>782</v>
      </c>
      <c r="BT167" t="s">
        <v>783</v>
      </c>
    </row>
    <row r="168" spans="1:72" ht="12.95" customHeight="1">
      <c r="C168"/>
      <c r="BN168" s="226" t="s">
        <v>784</v>
      </c>
      <c r="BT168" t="s">
        <v>785</v>
      </c>
    </row>
    <row r="169" spans="1:72" s="847" customFormat="1" ht="12.95" customHeight="1">
      <c r="A169" s="1019" t="s">
        <v>786</v>
      </c>
      <c r="B169" s="1019"/>
      <c r="C169" s="1019"/>
      <c r="D169" s="1019"/>
      <c r="E169" s="1019"/>
      <c r="F169" s="1019"/>
      <c r="G169" s="1019"/>
      <c r="H169" s="1019"/>
      <c r="I169" s="1019"/>
      <c r="J169" s="1019"/>
      <c r="K169" s="1019"/>
      <c r="L169" s="1019"/>
      <c r="M169" s="1019"/>
      <c r="N169" s="1019"/>
      <c r="O169" s="1019"/>
      <c r="P169" s="1019"/>
      <c r="Q169" s="1019"/>
      <c r="R169" s="1019"/>
      <c r="S169" s="1019"/>
      <c r="T169" s="1019"/>
      <c r="U169" s="1019"/>
      <c r="V169" s="1019"/>
      <c r="W169" s="1019"/>
      <c r="X169" s="1019"/>
      <c r="Y169" s="1019"/>
      <c r="Z169" s="1019"/>
      <c r="AA169" s="1019"/>
      <c r="AB169" s="1019"/>
      <c r="AC169" s="1019"/>
      <c r="AD169" s="1019"/>
      <c r="AE169" s="1019"/>
      <c r="AF169" s="1019"/>
      <c r="AG169" s="1019"/>
      <c r="AH169" s="1019"/>
      <c r="AI169" s="1019"/>
      <c r="AJ169" s="1019"/>
      <c r="AK169" s="1019"/>
      <c r="AL169" s="1019"/>
      <c r="AM169" s="1019"/>
      <c r="AN169" s="1019"/>
      <c r="AO169" s="1019"/>
      <c r="AP169" s="1019"/>
      <c r="AQ169" s="1019"/>
      <c r="AR169" s="1019"/>
      <c r="AS169" s="1019"/>
      <c r="AT169" s="1019"/>
      <c r="AU169"/>
      <c r="BN169" s="226" t="s">
        <v>787</v>
      </c>
      <c r="BT169" t="s">
        <v>788</v>
      </c>
    </row>
    <row r="170" spans="1:72" s="847" customFormat="1" ht="12.95" customHeight="1">
      <c r="A170" s="1019"/>
      <c r="B170" s="1019"/>
      <c r="C170" s="1019"/>
      <c r="D170" s="1019"/>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D170" s="1019"/>
      <c r="AE170" s="1019"/>
      <c r="AF170" s="1019"/>
      <c r="AG170" s="1019"/>
      <c r="AH170" s="1019"/>
      <c r="AI170" s="1019"/>
      <c r="AJ170" s="1019"/>
      <c r="AK170" s="1019"/>
      <c r="AL170" s="1019"/>
      <c r="AM170" s="1019"/>
      <c r="AN170" s="1019"/>
      <c r="AO170" s="1019"/>
      <c r="AP170" s="1019"/>
      <c r="AQ170" s="1019"/>
      <c r="AR170" s="1019"/>
      <c r="AS170" s="1019"/>
      <c r="AT170" s="1019"/>
      <c r="AU170"/>
      <c r="BN170" s="226" t="s">
        <v>789</v>
      </c>
      <c r="BT170" t="s">
        <v>790</v>
      </c>
    </row>
    <row r="171" spans="1:72" ht="12.95" customHeight="1">
      <c r="C171"/>
      <c r="BN171" s="226" t="s">
        <v>791</v>
      </c>
      <c r="BT171" t="s">
        <v>792</v>
      </c>
    </row>
    <row r="172" spans="1:72" ht="12.95" customHeight="1">
      <c r="A172" s="3" t="s">
        <v>793</v>
      </c>
      <c r="C172" s="3" t="s">
        <v>101</v>
      </c>
      <c r="BN172" s="226" t="s">
        <v>794</v>
      </c>
      <c r="BT172" t="s">
        <v>795</v>
      </c>
    </row>
    <row r="173" spans="1:72" ht="12.95" customHeight="1">
      <c r="C173" s="28"/>
      <c r="D173" t="s">
        <v>796</v>
      </c>
      <c r="J173" s="1873" t="s">
        <v>797</v>
      </c>
      <c r="K173" s="1873"/>
      <c r="L173" s="1873"/>
      <c r="M173" s="1873"/>
      <c r="N173" s="1873"/>
      <c r="O173" s="1873"/>
      <c r="P173" s="1873"/>
      <c r="Q173" s="1873"/>
      <c r="R173" s="1873"/>
      <c r="S173" s="1873"/>
      <c r="U173" s="29"/>
      <c r="X173" s="29"/>
      <c r="BN173" s="226" t="s">
        <v>798</v>
      </c>
      <c r="BT173" t="s">
        <v>799</v>
      </c>
    </row>
    <row r="174" spans="1:72" ht="12.95" customHeight="1">
      <c r="C174" s="28"/>
      <c r="D174" t="s">
        <v>800</v>
      </c>
      <c r="U174" s="1065" t="s">
        <v>708</v>
      </c>
      <c r="V174" s="1065"/>
      <c r="BN174" s="226" t="s">
        <v>801</v>
      </c>
      <c r="BT174" t="s">
        <v>802</v>
      </c>
    </row>
    <row r="175" spans="1:72" ht="12.95" customHeight="1">
      <c r="C175" s="12"/>
      <c r="D175" s="30"/>
      <c r="E175" t="s">
        <v>803</v>
      </c>
      <c r="O175" s="31"/>
      <c r="P175" t="s">
        <v>804</v>
      </c>
      <c r="T175" s="31" t="s">
        <v>805</v>
      </c>
      <c r="U175" s="1075" t="s">
        <v>326</v>
      </c>
      <c r="V175" s="1075"/>
      <c r="W175" s="1" t="s">
        <v>806</v>
      </c>
      <c r="X175" s="1289"/>
      <c r="Y175" s="1289"/>
      <c r="BN175" s="226" t="s">
        <v>807</v>
      </c>
      <c r="BT175" t="s">
        <v>808</v>
      </c>
    </row>
    <row r="176" spans="1:72" ht="12.95" customHeight="1">
      <c r="C176" s="28"/>
      <c r="D176" t="s">
        <v>809</v>
      </c>
      <c r="U176" s="1065" t="s">
        <v>708</v>
      </c>
      <c r="V176" s="1065"/>
      <c r="BN176" s="226" t="s">
        <v>810</v>
      </c>
      <c r="BT176" t="s">
        <v>811</v>
      </c>
    </row>
    <row r="177" spans="1:72" ht="12.95" customHeight="1">
      <c r="C177" s="28"/>
      <c r="D177" s="293" t="s">
        <v>812</v>
      </c>
      <c r="BN177" s="226" t="s">
        <v>813</v>
      </c>
      <c r="BT177" t="s">
        <v>814</v>
      </c>
    </row>
    <row r="178" spans="1:72" ht="12.95" customHeight="1">
      <c r="C178" s="28"/>
      <c r="E178" s="293" t="s">
        <v>804</v>
      </c>
      <c r="F178" s="293"/>
      <c r="G178" s="293"/>
      <c r="I178" s="828" t="s">
        <v>805</v>
      </c>
      <c r="J178" s="1280" t="s">
        <v>326</v>
      </c>
      <c r="K178" s="1281"/>
      <c r="L178" s="297" t="s">
        <v>806</v>
      </c>
      <c r="M178" s="1064"/>
      <c r="N178" s="1064"/>
      <c r="O178" s="293"/>
      <c r="P178" s="293"/>
      <c r="Q178" s="293"/>
      <c r="R178" s="293"/>
      <c r="U178" s="293" t="s">
        <v>815</v>
      </c>
      <c r="V178" s="293"/>
      <c r="W178" s="293"/>
      <c r="X178" s="293"/>
      <c r="Y178" s="293"/>
      <c r="Z178" s="293"/>
      <c r="AA178" s="293"/>
      <c r="AB178" s="293"/>
      <c r="AD178" s="1282" t="s">
        <v>326</v>
      </c>
      <c r="AE178" s="1283"/>
      <c r="AF178" s="1283"/>
      <c r="AG178" s="1283"/>
      <c r="AH178" s="1283"/>
      <c r="BN178" s="226" t="s">
        <v>816</v>
      </c>
      <c r="BT178" t="s">
        <v>817</v>
      </c>
    </row>
    <row r="179" spans="1:72" ht="12.95" customHeight="1">
      <c r="C179" s="28"/>
      <c r="BN179" s="226" t="s">
        <v>818</v>
      </c>
      <c r="BT179" t="s">
        <v>819</v>
      </c>
    </row>
    <row r="180" spans="1:72" ht="12.95" customHeight="1">
      <c r="C180" s="12"/>
      <c r="D180" s="37" t="s">
        <v>820</v>
      </c>
      <c r="O180" s="293"/>
      <c r="P180" s="293"/>
      <c r="Q180" s="293"/>
      <c r="R180" s="293"/>
      <c r="Y180" s="1065" t="s">
        <v>708</v>
      </c>
      <c r="Z180" s="1874"/>
      <c r="BN180" s="226" t="s">
        <v>821</v>
      </c>
      <c r="BT180" t="s">
        <v>822</v>
      </c>
    </row>
    <row r="181" spans="1:72" ht="12.95" customHeight="1">
      <c r="C181" s="12"/>
      <c r="D181" s="32"/>
      <c r="E181" s="293" t="s">
        <v>823</v>
      </c>
      <c r="R181" s="293"/>
      <c r="BN181" s="226" t="s">
        <v>824</v>
      </c>
      <c r="BT181" t="s">
        <v>825</v>
      </c>
    </row>
    <row r="182" spans="1:72" ht="12.95" customHeight="1">
      <c r="C182" s="12"/>
      <c r="D182" s="32"/>
      <c r="BN182" s="226" t="s">
        <v>826</v>
      </c>
      <c r="BT182" t="s">
        <v>827</v>
      </c>
    </row>
    <row r="183" spans="1:72" ht="12.95" customHeight="1">
      <c r="A183" s="3" t="s">
        <v>828</v>
      </c>
      <c r="C183" s="3" t="s">
        <v>103</v>
      </c>
      <c r="BN183" s="226" t="s">
        <v>829</v>
      </c>
      <c r="BT183" t="s">
        <v>830</v>
      </c>
    </row>
    <row r="184" spans="1:72" ht="12.95" customHeight="1">
      <c r="C184" s="27"/>
      <c r="D184" t="s">
        <v>831</v>
      </c>
      <c r="I184" s="1180" t="str">
        <f>H17</f>
        <v>1510 North First</v>
      </c>
      <c r="J184" s="1180"/>
      <c r="K184" s="1180"/>
      <c r="L184" s="1180"/>
      <c r="M184" s="1180"/>
      <c r="N184" s="1180"/>
      <c r="O184" s="1180"/>
      <c r="P184" s="1180"/>
      <c r="Q184" s="1180"/>
      <c r="R184" s="1180"/>
      <c r="S184" s="1180"/>
      <c r="T184" s="1180"/>
      <c r="U184" s="1180"/>
      <c r="V184" s="1180"/>
      <c r="W184" s="1180"/>
      <c r="X184" s="1180"/>
      <c r="Y184" s="1180"/>
      <c r="Z184" s="1180"/>
      <c r="AA184" s="1180"/>
      <c r="AB184" s="1180"/>
      <c r="AC184" s="1180"/>
      <c r="AD184" s="1180"/>
      <c r="AE184" s="1180"/>
      <c r="BC184" t="s">
        <v>832</v>
      </c>
      <c r="BN184" s="226" t="s">
        <v>833</v>
      </c>
      <c r="BT184" t="s">
        <v>834</v>
      </c>
    </row>
    <row r="185" spans="1:72" ht="12.95" customHeight="1">
      <c r="C185" s="27"/>
      <c r="D185" t="s">
        <v>835</v>
      </c>
      <c r="I185" s="1018" t="s">
        <v>836</v>
      </c>
      <c r="J185" s="1018"/>
      <c r="K185" s="1018"/>
      <c r="L185" s="1018"/>
      <c r="M185" s="1018"/>
      <c r="N185" s="1018"/>
      <c r="O185" s="1018"/>
      <c r="P185" s="1018"/>
      <c r="Q185" s="1018"/>
      <c r="R185" s="1018"/>
      <c r="S185" s="1018"/>
      <c r="T185" s="1018"/>
      <c r="U185" s="1018"/>
      <c r="V185" s="1018"/>
      <c r="W185" s="1018"/>
      <c r="X185" s="1018"/>
      <c r="Y185" s="1018"/>
      <c r="Z185" s="1018"/>
      <c r="AA185" s="1018"/>
      <c r="AB185" s="1018"/>
      <c r="AC185" s="1018"/>
      <c r="AD185" s="1018"/>
      <c r="AE185" s="1018"/>
      <c r="BC185" s="37" t="s">
        <v>837</v>
      </c>
      <c r="BN185" s="226" t="s">
        <v>838</v>
      </c>
      <c r="BT185" t="s">
        <v>839</v>
      </c>
    </row>
    <row r="186" spans="1:72" ht="12.95" customHeight="1">
      <c r="C186" s="27"/>
      <c r="E186" t="s">
        <v>840</v>
      </c>
      <c r="BN186" s="226" t="s">
        <v>841</v>
      </c>
      <c r="BT186" t="s">
        <v>842</v>
      </c>
    </row>
    <row r="187" spans="1:72" ht="12.95" customHeight="1">
      <c r="C187" s="27"/>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BN187" s="226" t="s">
        <v>843</v>
      </c>
      <c r="BT187" t="s">
        <v>844</v>
      </c>
    </row>
    <row r="188" spans="1:72" ht="12.95" customHeight="1">
      <c r="C188" s="27"/>
      <c r="E188" s="1285"/>
      <c r="F188" s="1285"/>
      <c r="G188" s="1285"/>
      <c r="H188" s="1285"/>
      <c r="I188" s="1285"/>
      <c r="J188" s="1285"/>
      <c r="K188" s="1285"/>
      <c r="L188" s="1285"/>
      <c r="M188" s="1285"/>
      <c r="N188" s="1285"/>
      <c r="O188" s="1285"/>
      <c r="P188" s="1285"/>
      <c r="Q188" s="1285"/>
      <c r="R188" s="1285"/>
      <c r="S188" s="1285"/>
      <c r="T188" s="1285"/>
      <c r="U188" s="1285"/>
      <c r="V188" s="1285"/>
      <c r="W188" s="1285"/>
      <c r="X188" s="1285"/>
      <c r="Y188" s="1285"/>
      <c r="Z188" s="1285"/>
      <c r="AA188" s="1285"/>
      <c r="AB188" s="1285"/>
      <c r="AC188" s="1285"/>
      <c r="AD188" s="1285"/>
      <c r="AE188" s="1285"/>
      <c r="BN188" s="226" t="s">
        <v>845</v>
      </c>
      <c r="BT188" t="s">
        <v>846</v>
      </c>
    </row>
    <row r="189" spans="1:72" ht="12.95" customHeight="1">
      <c r="C189" s="27"/>
      <c r="D189" t="s">
        <v>847</v>
      </c>
      <c r="I189" s="1020" t="s">
        <v>734</v>
      </c>
      <c r="J189" s="1020"/>
      <c r="K189" s="1020"/>
      <c r="L189" s="1020"/>
      <c r="M189" s="1020"/>
      <c r="N189" s="1020"/>
      <c r="O189" s="1020"/>
      <c r="P189" s="1020"/>
      <c r="Q189" t="s">
        <v>848</v>
      </c>
      <c r="T189" s="1020" t="s">
        <v>849</v>
      </c>
      <c r="U189" s="1020"/>
      <c r="V189" s="1020"/>
      <c r="W189" s="1020"/>
      <c r="X189" s="1020"/>
      <c r="Y189" s="1020"/>
      <c r="Z189" s="1020"/>
      <c r="AA189" s="1020"/>
      <c r="AB189" s="1020"/>
      <c r="AC189" s="1020"/>
      <c r="AD189" s="1020"/>
      <c r="AE189" s="1020"/>
      <c r="BC189" t="s">
        <v>321</v>
      </c>
      <c r="BH189" s="37" t="s">
        <v>326</v>
      </c>
      <c r="BN189" s="226" t="s">
        <v>850</v>
      </c>
      <c r="BT189" t="s">
        <v>851</v>
      </c>
    </row>
    <row r="190" spans="1:72" ht="12.95" customHeight="1">
      <c r="C190" s="27"/>
      <c r="D190" t="s">
        <v>852</v>
      </c>
      <c r="I190" s="1018">
        <v>95112</v>
      </c>
      <c r="J190" s="1018"/>
      <c r="K190" s="1018"/>
      <c r="L190" s="1018"/>
      <c r="M190" s="1018"/>
      <c r="N190" s="1018"/>
      <c r="O190" t="s">
        <v>853</v>
      </c>
      <c r="T190" s="1294">
        <v>5051</v>
      </c>
      <c r="U190" s="1294"/>
      <c r="V190" s="1294"/>
      <c r="W190" s="1294"/>
      <c r="X190" s="1294"/>
      <c r="Y190" s="1294"/>
      <c r="Z190" s="1294"/>
      <c r="AA190" s="1294"/>
      <c r="AB190" s="1294"/>
      <c r="AC190" s="1294"/>
      <c r="AD190" s="1294"/>
      <c r="AE190" s="1294"/>
      <c r="BC190" t="s">
        <v>854</v>
      </c>
      <c r="BH190" t="s">
        <v>854</v>
      </c>
      <c r="BN190" s="226" t="s">
        <v>855</v>
      </c>
      <c r="BT190" t="s">
        <v>856</v>
      </c>
    </row>
    <row r="191" spans="1:72" ht="12.95" customHeight="1">
      <c r="C191" s="27"/>
      <c r="D191" t="s">
        <v>857</v>
      </c>
      <c r="N191" s="1284" t="s">
        <v>858</v>
      </c>
      <c r="O191" s="1284"/>
      <c r="P191" s="1284"/>
      <c r="Q191" s="1284"/>
      <c r="R191" s="1284"/>
      <c r="S191" s="1284"/>
      <c r="T191" s="1284"/>
      <c r="U191" s="1284"/>
      <c r="V191" s="1284"/>
      <c r="W191" s="1284"/>
      <c r="X191" s="1284"/>
      <c r="Y191" s="1284"/>
      <c r="Z191" s="1284"/>
      <c r="AA191" s="1284"/>
      <c r="AB191" s="1284"/>
      <c r="AC191" s="1284"/>
      <c r="AD191" s="1284"/>
      <c r="AE191" s="1284"/>
      <c r="BC191" t="s">
        <v>859</v>
      </c>
      <c r="BH191" t="s">
        <v>859</v>
      </c>
      <c r="BN191" s="226" t="s">
        <v>860</v>
      </c>
      <c r="BT191" t="s">
        <v>861</v>
      </c>
    </row>
    <row r="192" spans="1:72" ht="12.95" customHeight="1">
      <c r="C192" s="27"/>
      <c r="M192" s="42"/>
      <c r="N192" s="1285"/>
      <c r="O192" s="1285"/>
      <c r="P192" s="1285"/>
      <c r="Q192" s="1285"/>
      <c r="R192" s="1285"/>
      <c r="S192" s="1285"/>
      <c r="T192" s="1285"/>
      <c r="U192" s="1285"/>
      <c r="V192" s="1285"/>
      <c r="W192" s="1285"/>
      <c r="X192" s="1285"/>
      <c r="Y192" s="1285"/>
      <c r="Z192" s="1285"/>
      <c r="AA192" s="1285"/>
      <c r="AB192" s="1285"/>
      <c r="AC192" s="1285"/>
      <c r="AD192" s="1285"/>
      <c r="AE192" s="1285"/>
      <c r="BC192" t="s">
        <v>862</v>
      </c>
      <c r="BH192" t="s">
        <v>863</v>
      </c>
      <c r="BN192" s="226" t="s">
        <v>864</v>
      </c>
      <c r="BT192" t="s">
        <v>865</v>
      </c>
    </row>
    <row r="193" spans="1:73" ht="12.95" customHeight="1">
      <c r="C193" s="27"/>
      <c r="D193" t="s">
        <v>866</v>
      </c>
      <c r="T193" s="1065" t="s">
        <v>708</v>
      </c>
      <c r="U193" s="1065"/>
      <c r="W193" s="37" t="s">
        <v>867</v>
      </c>
      <c r="AA193" s="1273"/>
      <c r="AB193" s="1273"/>
      <c r="AC193" s="1273"/>
      <c r="BC193" t="s">
        <v>868</v>
      </c>
      <c r="BH193" s="37" t="s">
        <v>869</v>
      </c>
      <c r="BN193" s="226" t="s">
        <v>870</v>
      </c>
      <c r="BT193" t="s">
        <v>871</v>
      </c>
    </row>
    <row r="194" spans="1:73" ht="12.95" customHeight="1">
      <c r="C194" s="27"/>
      <c r="D194" t="s">
        <v>872</v>
      </c>
      <c r="T194" s="1095" t="s">
        <v>708</v>
      </c>
      <c r="U194" s="1095"/>
      <c r="W194" t="s">
        <v>873</v>
      </c>
      <c r="AI194" s="1065" t="s">
        <v>708</v>
      </c>
      <c r="AJ194" s="1065"/>
      <c r="AX194" s="37" t="s">
        <v>326</v>
      </c>
      <c r="BC194" t="s">
        <v>863</v>
      </c>
      <c r="BN194" s="226" t="s">
        <v>874</v>
      </c>
      <c r="BT194" t="s">
        <v>875</v>
      </c>
    </row>
    <row r="195" spans="1:73" ht="12.95" customHeight="1">
      <c r="C195" s="27"/>
      <c r="D195" s="37" t="s">
        <v>876</v>
      </c>
      <c r="T195" s="1095" t="s">
        <v>708</v>
      </c>
      <c r="U195" s="1095"/>
      <c r="X195" s="689" t="s">
        <v>877</v>
      </c>
      <c r="AX195" s="37" t="s">
        <v>878</v>
      </c>
      <c r="BN195" s="226" t="s">
        <v>879</v>
      </c>
      <c r="BT195" t="s">
        <v>880</v>
      </c>
    </row>
    <row r="196" spans="1:73" ht="12.95" customHeight="1">
      <c r="C196" s="27"/>
      <c r="D196" s="37" t="s">
        <v>881</v>
      </c>
      <c r="T196" s="1095" t="s">
        <v>765</v>
      </c>
      <c r="U196" s="1095"/>
      <c r="AK196" s="1272"/>
      <c r="AL196" s="1272"/>
      <c r="AX196" s="37" t="s">
        <v>882</v>
      </c>
      <c r="BN196" s="226" t="s">
        <v>883</v>
      </c>
      <c r="BT196" t="s">
        <v>884</v>
      </c>
    </row>
    <row r="197" spans="1:73" ht="12.95" customHeight="1">
      <c r="C197" s="27"/>
      <c r="D197" s="37" t="s">
        <v>885</v>
      </c>
      <c r="T197" s="1065" t="s">
        <v>708</v>
      </c>
      <c r="U197" s="1065"/>
      <c r="AX197" s="37" t="s">
        <v>886</v>
      </c>
      <c r="BC197" t="s">
        <v>321</v>
      </c>
      <c r="BN197" s="226" t="s">
        <v>887</v>
      </c>
      <c r="BT197" t="s">
        <v>888</v>
      </c>
    </row>
    <row r="198" spans="1:73" ht="12.95" customHeight="1">
      <c r="C198" s="27"/>
      <c r="D198" s="37" t="s">
        <v>889</v>
      </c>
      <c r="W198" s="1063" t="s">
        <v>708</v>
      </c>
      <c r="X198" s="1065"/>
      <c r="AX198" s="37" t="s">
        <v>890</v>
      </c>
      <c r="BC198" s="37" t="s">
        <v>326</v>
      </c>
      <c r="BN198" s="226" t="s">
        <v>891</v>
      </c>
      <c r="BT198" t="s">
        <v>892</v>
      </c>
    </row>
    <row r="199" spans="1:73" ht="12.95" customHeight="1">
      <c r="C199" s="27"/>
      <c r="L199" s="261"/>
      <c r="M199" s="261"/>
      <c r="N199" s="261"/>
      <c r="O199" s="261"/>
      <c r="P199" s="261"/>
      <c r="Q199" s="810" t="s">
        <v>893</v>
      </c>
      <c r="R199" s="1016" t="s">
        <v>894</v>
      </c>
      <c r="S199" s="1016"/>
      <c r="T199" s="1016"/>
      <c r="U199" s="1016"/>
      <c r="V199" s="1016"/>
      <c r="W199" s="1016"/>
      <c r="X199" s="1016"/>
      <c r="Y199" s="1016"/>
      <c r="Z199" s="1016"/>
      <c r="AA199" s="1016"/>
      <c r="AB199" s="1016"/>
      <c r="AH199" s="1"/>
      <c r="AI199" s="1"/>
      <c r="AX199" s="37" t="s">
        <v>895</v>
      </c>
      <c r="BC199" s="37" t="s">
        <v>896</v>
      </c>
      <c r="BN199" s="226" t="s">
        <v>897</v>
      </c>
      <c r="BO199" s="35"/>
      <c r="BP199" s="36"/>
      <c r="BQ199" s="36"/>
      <c r="BR199" s="36"/>
      <c r="BS199" s="36"/>
      <c r="BT199" s="36" t="s">
        <v>849</v>
      </c>
    </row>
    <row r="200" spans="1:73" ht="12.95" customHeight="1">
      <c r="C200" s="27"/>
      <c r="AC200" s="31" t="s">
        <v>898</v>
      </c>
      <c r="AD200" s="862" t="s">
        <v>899</v>
      </c>
      <c r="AH200" s="1"/>
      <c r="AI200" s="1"/>
      <c r="AX200" s="37" t="s">
        <v>900</v>
      </c>
      <c r="BC200" s="37" t="s">
        <v>901</v>
      </c>
      <c r="BN200" s="226" t="s">
        <v>902</v>
      </c>
      <c r="BO200" s="21"/>
      <c r="BP200" s="36"/>
      <c r="BQ200" s="36"/>
      <c r="BR200" s="36"/>
      <c r="BS200" s="36"/>
      <c r="BT200" s="36" t="s">
        <v>903</v>
      </c>
    </row>
    <row r="201" spans="1:73" ht="12.95" customHeight="1">
      <c r="C201" s="27"/>
      <c r="AX201" s="37" t="s">
        <v>904</v>
      </c>
      <c r="BC201" s="37" t="s">
        <v>905</v>
      </c>
      <c r="BN201" s="226" t="s">
        <v>906</v>
      </c>
      <c r="BO201" s="21"/>
      <c r="BP201" s="36"/>
      <c r="BQ201" s="36"/>
      <c r="BR201" s="36"/>
      <c r="BS201" s="36"/>
      <c r="BT201" s="36" t="s">
        <v>907</v>
      </c>
    </row>
    <row r="202" spans="1:73" ht="12.95" customHeight="1">
      <c r="A202" s="3" t="s">
        <v>908</v>
      </c>
      <c r="C202" s="3" t="s">
        <v>909</v>
      </c>
      <c r="AX202" s="37" t="s">
        <v>910</v>
      </c>
      <c r="BC202" t="s">
        <v>911</v>
      </c>
      <c r="BN202" s="226" t="s">
        <v>912</v>
      </c>
      <c r="BT202" s="36" t="s">
        <v>913</v>
      </c>
      <c r="BU202" s="21"/>
    </row>
    <row r="203" spans="1:73" ht="12.95" customHeight="1">
      <c r="C203"/>
      <c r="D203" s="1180" t="str">
        <f>IF(AND(M25&gt;0,M27&gt;0),"Federal and State","Federal Only")</f>
        <v>Federal Only</v>
      </c>
      <c r="E203" s="1180"/>
      <c r="F203" s="1180"/>
      <c r="G203" s="1180"/>
      <c r="H203" s="1180"/>
      <c r="I203" s="1180"/>
      <c r="J203" s="1180"/>
      <c r="K203" s="1180"/>
      <c r="L203" s="1180"/>
      <c r="M203" s="1180"/>
      <c r="P203" s="1278">
        <f>M25</f>
        <v>1696412</v>
      </c>
      <c r="Q203" s="1278"/>
      <c r="R203" s="1278"/>
      <c r="S203" s="1278"/>
      <c r="T203" s="1278"/>
      <c r="U203" s="1278"/>
      <c r="W203" s="1278">
        <f>M27</f>
        <v>0</v>
      </c>
      <c r="X203" s="1278"/>
      <c r="Y203" s="1278"/>
      <c r="Z203" s="1278"/>
      <c r="AA203" s="1278"/>
      <c r="AB203" s="1278"/>
      <c r="AV203" t="s">
        <v>326</v>
      </c>
      <c r="AX203" s="37" t="s">
        <v>868</v>
      </c>
      <c r="BC203" t="s">
        <v>914</v>
      </c>
      <c r="BN203" s="226" t="s">
        <v>915</v>
      </c>
      <c r="BT203" s="36" t="s">
        <v>916</v>
      </c>
      <c r="BU203" s="21"/>
    </row>
    <row r="204" spans="1:73" ht="12.95" customHeight="1">
      <c r="C204" s="27"/>
      <c r="P204" s="1296" t="s">
        <v>917</v>
      </c>
      <c r="Q204" s="1296"/>
      <c r="R204" s="1296"/>
      <c r="S204" s="1296"/>
      <c r="T204" s="1296"/>
      <c r="U204" s="1296"/>
      <c r="V204" s="4"/>
      <c r="W204" s="1296" t="s">
        <v>918</v>
      </c>
      <c r="X204" s="1296"/>
      <c r="Y204" s="1296"/>
      <c r="Z204" s="1296"/>
      <c r="AA204" s="1296"/>
      <c r="AB204" s="1296"/>
      <c r="AV204" t="s">
        <v>765</v>
      </c>
      <c r="AX204" s="37" t="s">
        <v>862</v>
      </c>
      <c r="BC204" t="s">
        <v>919</v>
      </c>
      <c r="BN204" s="226" t="s">
        <v>920</v>
      </c>
      <c r="BT204" s="36" t="s">
        <v>921</v>
      </c>
      <c r="BU204" s="21"/>
    </row>
    <row r="205" spans="1:73" ht="12.95" customHeight="1" thickBot="1">
      <c r="C205"/>
      <c r="D205" s="379" t="s">
        <v>922</v>
      </c>
      <c r="E205" s="33"/>
      <c r="F205" s="33"/>
      <c r="G205" s="33"/>
      <c r="H205" s="33"/>
      <c r="I205" s="33"/>
      <c r="J205" s="33"/>
      <c r="K205" s="33"/>
      <c r="L205" s="33"/>
      <c r="M205" s="33"/>
      <c r="N205" s="33"/>
      <c r="O205" s="33"/>
      <c r="P205" s="33"/>
      <c r="AV205" t="s">
        <v>708</v>
      </c>
      <c r="AX205" s="37" t="s">
        <v>923</v>
      </c>
      <c r="BC205" t="s">
        <v>924</v>
      </c>
      <c r="BN205" s="226" t="s">
        <v>925</v>
      </c>
      <c r="BT205" s="36" t="s">
        <v>926</v>
      </c>
    </row>
    <row r="206" spans="1:73" ht="12.95" customHeight="1">
      <c r="C206"/>
      <c r="X206" s="692"/>
      <c r="Y206" s="693"/>
      <c r="Z206" s="693"/>
      <c r="AA206" s="693"/>
      <c r="AB206" s="693"/>
      <c r="AC206" s="693"/>
      <c r="AD206" s="693"/>
      <c r="AE206" s="693"/>
      <c r="AF206" s="693"/>
      <c r="AG206" s="693"/>
      <c r="AH206" s="693"/>
      <c r="AI206" s="693"/>
      <c r="AJ206" s="693"/>
      <c r="AK206" s="694"/>
      <c r="BC206" t="s">
        <v>927</v>
      </c>
      <c r="BN206" s="226" t="s">
        <v>928</v>
      </c>
      <c r="BT206" s="36" t="s">
        <v>929</v>
      </c>
    </row>
    <row r="207" spans="1:73" ht="12.95" customHeight="1">
      <c r="A207" s="3" t="s">
        <v>930</v>
      </c>
      <c r="C207" s="3" t="s">
        <v>931</v>
      </c>
      <c r="X207" s="695"/>
      <c r="Y207" s="802"/>
      <c r="Z207" s="696"/>
      <c r="AA207" s="696"/>
      <c r="AB207" s="696"/>
      <c r="AC207" s="696"/>
      <c r="AD207" s="696"/>
      <c r="AE207" s="696"/>
      <c r="AF207" s="696"/>
      <c r="AG207" s="696"/>
      <c r="AH207" s="696"/>
      <c r="AI207" s="696"/>
      <c r="AJ207" s="696"/>
      <c r="AK207" s="697"/>
      <c r="BC207" s="156" t="s">
        <v>932</v>
      </c>
      <c r="BN207" s="226" t="s">
        <v>933</v>
      </c>
      <c r="BT207" s="36" t="s">
        <v>934</v>
      </c>
    </row>
    <row r="208" spans="1:73" ht="12.95" customHeight="1">
      <c r="C208" s="27"/>
      <c r="D208" s="1016" t="s">
        <v>935</v>
      </c>
      <c r="E208" s="1016"/>
      <c r="F208" s="1016"/>
      <c r="G208" s="1016"/>
      <c r="H208" s="1016"/>
      <c r="I208" s="1016"/>
      <c r="J208" s="1016"/>
      <c r="K208" s="1016"/>
      <c r="L208" s="1016"/>
      <c r="M208" s="1016"/>
      <c r="X208" s="695"/>
      <c r="Y208" s="803"/>
      <c r="Z208" s="696"/>
      <c r="AA208" s="696"/>
      <c r="AB208" s="696"/>
      <c r="AC208" s="696"/>
      <c r="AD208" s="696"/>
      <c r="AE208" s="696"/>
      <c r="AF208" s="696"/>
      <c r="AG208" s="696"/>
      <c r="AH208" s="696"/>
      <c r="AI208" s="696"/>
      <c r="AJ208" s="696"/>
      <c r="AK208" s="697"/>
      <c r="BC208" t="s">
        <v>936</v>
      </c>
      <c r="BN208" s="226" t="s">
        <v>937</v>
      </c>
      <c r="BT208" s="36" t="s">
        <v>938</v>
      </c>
    </row>
    <row r="209" spans="1:72" ht="12.95" customHeight="1">
      <c r="C209" s="12"/>
      <c r="X209" s="695"/>
      <c r="Y209" s="803"/>
      <c r="Z209" s="696"/>
      <c r="AA209" s="696"/>
      <c r="AB209" s="696"/>
      <c r="AC209" s="696"/>
      <c r="AD209" s="696"/>
      <c r="AE209" s="696"/>
      <c r="AF209" s="696"/>
      <c r="AG209" s="696"/>
      <c r="AH209" s="696"/>
      <c r="AI209" s="696"/>
      <c r="AJ209" s="696"/>
      <c r="AK209" s="697"/>
      <c r="BC209" t="s">
        <v>939</v>
      </c>
      <c r="BN209" s="226" t="s">
        <v>940</v>
      </c>
      <c r="BT209" s="36" t="s">
        <v>941</v>
      </c>
    </row>
    <row r="210" spans="1:72" ht="12.95" customHeight="1">
      <c r="A210" s="3" t="s">
        <v>942</v>
      </c>
      <c r="C210" s="3" t="s">
        <v>943</v>
      </c>
      <c r="X210" s="695"/>
      <c r="Y210" s="803"/>
      <c r="Z210" s="696"/>
      <c r="AA210" s="696"/>
      <c r="AB210" s="696"/>
      <c r="AC210" s="696"/>
      <c r="AD210" s="696"/>
      <c r="AE210" s="696"/>
      <c r="AF210" s="696"/>
      <c r="AG210" s="696"/>
      <c r="AH210" s="696"/>
      <c r="AI210" s="696"/>
      <c r="AJ210" s="696"/>
      <c r="AK210" s="697"/>
      <c r="BC210" t="s">
        <v>944</v>
      </c>
      <c r="BN210" s="226" t="s">
        <v>945</v>
      </c>
      <c r="BT210" s="36" t="s">
        <v>946</v>
      </c>
    </row>
    <row r="211" spans="1:72" ht="12.95" customHeight="1">
      <c r="C211" s="27"/>
      <c r="D211" s="1016" t="s">
        <v>882</v>
      </c>
      <c r="E211" s="1016"/>
      <c r="F211" s="1016"/>
      <c r="G211" s="1016"/>
      <c r="H211" s="1016"/>
      <c r="I211" s="1016"/>
      <c r="J211" s="1016"/>
      <c r="K211" s="1016"/>
      <c r="L211" s="1016"/>
      <c r="M211" s="1016"/>
      <c r="N211" s="1016"/>
      <c r="O211" s="1016"/>
      <c r="P211" s="1016"/>
      <c r="X211" s="695"/>
      <c r="Y211" s="1295" t="s">
        <v>708</v>
      </c>
      <c r="Z211" s="1295"/>
      <c r="AA211" s="696"/>
      <c r="AB211" s="696"/>
      <c r="AC211" s="696"/>
      <c r="AD211" s="696"/>
      <c r="AE211" s="696"/>
      <c r="AF211" s="696"/>
      <c r="AG211" s="696"/>
      <c r="AH211" s="696"/>
      <c r="AI211" s="696"/>
      <c r="AJ211" s="696"/>
      <c r="AK211" s="697"/>
      <c r="BN211" s="226" t="s">
        <v>947</v>
      </c>
      <c r="BT211" s="36" t="s">
        <v>948</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949</v>
      </c>
      <c r="BT212" s="36" t="s">
        <v>950</v>
      </c>
    </row>
    <row r="213" spans="1:72" ht="12.95" customHeight="1">
      <c r="A213" s="3" t="s">
        <v>951</v>
      </c>
      <c r="C213" s="3" t="s">
        <v>952</v>
      </c>
      <c r="AX213" t="s">
        <v>953</v>
      </c>
      <c r="BC213" t="s">
        <v>954</v>
      </c>
      <c r="BN213" s="226" t="s">
        <v>955</v>
      </c>
      <c r="BT213" s="36" t="s">
        <v>956</v>
      </c>
    </row>
    <row r="214" spans="1:72" ht="12.95" customHeight="1">
      <c r="C214" s="27"/>
      <c r="D214" s="1875" t="s">
        <v>862</v>
      </c>
      <c r="E214" s="1875"/>
      <c r="F214" s="1875"/>
      <c r="G214" s="1875"/>
      <c r="H214" s="1875"/>
      <c r="I214" s="1875"/>
      <c r="J214" s="1875"/>
      <c r="AX214" t="s">
        <v>957</v>
      </c>
      <c r="BC214" t="s">
        <v>958</v>
      </c>
      <c r="BN214" s="226" t="s">
        <v>959</v>
      </c>
      <c r="BT214" s="36" t="s">
        <v>960</v>
      </c>
    </row>
    <row r="215" spans="1:72" ht="12.95" customHeight="1">
      <c r="C215"/>
      <c r="D215" s="32"/>
      <c r="E215" s="37" t="s">
        <v>961</v>
      </c>
      <c r="S215" s="1275">
        <v>57</v>
      </c>
      <c r="T215" s="1275"/>
      <c r="V215" s="1286">
        <f>IFERROR(S215/AG441,"")</f>
        <v>1</v>
      </c>
      <c r="W215" s="1286"/>
      <c r="AX215" t="s">
        <v>962</v>
      </c>
      <c r="BC215" t="s">
        <v>963</v>
      </c>
    </row>
    <row r="216" spans="1:72" ht="12.95" customHeight="1">
      <c r="C216"/>
      <c r="D216" s="32"/>
      <c r="E216" s="826" t="s">
        <v>964</v>
      </c>
      <c r="AX216" t="s">
        <v>894</v>
      </c>
      <c r="BC216" t="s">
        <v>965</v>
      </c>
    </row>
    <row r="217" spans="1:72" ht="12.95" customHeight="1">
      <c r="C217"/>
      <c r="E217" s="1297" t="s">
        <v>326</v>
      </c>
      <c r="F217" s="1297"/>
      <c r="G217" s="1297"/>
      <c r="H217" s="1297"/>
      <c r="I217" s="1297"/>
      <c r="J217" s="1297"/>
      <c r="K217" s="1297"/>
      <c r="L217" s="1297"/>
      <c r="M217" s="1297"/>
      <c r="N217" s="1297"/>
      <c r="O217" s="1297"/>
      <c r="P217" s="1297"/>
      <c r="Q217" s="1297"/>
      <c r="R217" s="1297"/>
      <c r="S217" s="1297"/>
      <c r="T217" s="1297"/>
      <c r="U217" s="1297"/>
      <c r="V217" s="1297"/>
      <c r="W217" s="1297"/>
      <c r="X217" s="1297"/>
      <c r="Y217" s="1297"/>
      <c r="Z217" s="1297"/>
      <c r="AA217" s="42"/>
      <c r="AB217" s="42"/>
      <c r="AC217" s="42"/>
      <c r="AD217" s="42"/>
      <c r="AE217" s="42"/>
      <c r="AF217" s="42"/>
      <c r="AX217" s="37" t="s">
        <v>966</v>
      </c>
      <c r="BC217" t="s">
        <v>967</v>
      </c>
    </row>
    <row r="218" spans="1:72" ht="12.95" customHeight="1">
      <c r="C218"/>
      <c r="E218" s="37" t="s">
        <v>968</v>
      </c>
      <c r="AA218" s="42"/>
      <c r="AC218" s="1101"/>
      <c r="AD218" s="1101"/>
      <c r="AE218" s="1101"/>
      <c r="AF218" s="1101"/>
      <c r="AG218" s="1101"/>
      <c r="AH218" s="1101"/>
      <c r="AI218" s="1101"/>
      <c r="AJ218" s="1101"/>
      <c r="AK218" s="1101"/>
      <c r="AL218" s="1101"/>
      <c r="AM218" s="1101"/>
      <c r="BC218" t="s">
        <v>969</v>
      </c>
      <c r="BI218" s="35"/>
    </row>
    <row r="219" spans="1:72" ht="12.95" customHeight="1">
      <c r="C219"/>
      <c r="E219" s="37" t="s">
        <v>970</v>
      </c>
      <c r="AA219" s="42"/>
      <c r="AC219" s="1101"/>
      <c r="AD219" s="1101"/>
      <c r="AE219" s="1101"/>
      <c r="AF219" s="1101"/>
      <c r="AG219" s="1101"/>
      <c r="AH219" s="1101"/>
      <c r="AI219" s="1101"/>
      <c r="AJ219" s="1101"/>
      <c r="AK219" s="1101"/>
      <c r="AL219" s="1101"/>
      <c r="AM219" s="1101"/>
      <c r="BC219" t="s">
        <v>971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6" t="s">
        <v>927</v>
      </c>
      <c r="E223" s="1016"/>
      <c r="F223" s="1016"/>
      <c r="G223" s="1016"/>
      <c r="H223" s="1016"/>
      <c r="I223" s="1016"/>
      <c r="J223" s="1016"/>
      <c r="K223" s="1016"/>
      <c r="L223" s="1016"/>
      <c r="M223" s="1016"/>
      <c r="N223" s="1016"/>
      <c r="O223" s="1016"/>
      <c r="P223" s="1016"/>
      <c r="Q223" s="1016"/>
      <c r="R223" s="1016"/>
      <c r="S223" s="1016"/>
      <c r="T223" s="1016"/>
      <c r="U223" s="1016"/>
      <c r="V223" s="1016"/>
      <c r="W223" s="1016"/>
      <c r="X223" s="1016"/>
      <c r="Y223" s="1016"/>
      <c r="Z223" s="1016"/>
      <c r="AA223" s="1016"/>
      <c r="AB223" s="1016"/>
      <c r="AC223" s="1016"/>
      <c r="AD223" s="1016"/>
      <c r="AE223" s="1016"/>
      <c r="AF223" s="1016"/>
      <c r="AG223" s="1016"/>
      <c r="AH223" s="1016"/>
      <c r="AI223" s="1016"/>
      <c r="AJ223" s="21"/>
      <c r="AK223" s="21"/>
      <c r="AL223" s="21"/>
    </row>
    <row r="224" spans="1:72" ht="12.95" customHeight="1">
      <c r="C224"/>
      <c r="AJ224" s="37"/>
    </row>
    <row r="225" spans="1:59" ht="12.95" customHeight="1">
      <c r="C225"/>
      <c r="D225" t="s">
        <v>975</v>
      </c>
      <c r="O225" s="1065">
        <v>17</v>
      </c>
      <c r="P225" s="1065"/>
    </row>
    <row r="226" spans="1:59" ht="12.95" customHeight="1">
      <c r="C226"/>
      <c r="D226" t="s">
        <v>976</v>
      </c>
      <c r="O226" s="1065">
        <v>25</v>
      </c>
      <c r="P226" s="1065"/>
      <c r="BB226" s="37" t="s">
        <v>977</v>
      </c>
      <c r="BG226" s="336">
        <f>IF(AND(AND($M$251="for profit",$M$259="for profit",$M$267="nonprofit")),2,0)</f>
        <v>0</v>
      </c>
    </row>
    <row r="227" spans="1:59" ht="12.95" customHeight="1">
      <c r="C227"/>
      <c r="D227" t="s">
        <v>978</v>
      </c>
      <c r="O227" s="1065">
        <v>15</v>
      </c>
      <c r="P227" s="1065"/>
      <c r="BB227" s="37" t="s">
        <v>977</v>
      </c>
      <c r="BG227" s="336">
        <f>IF(AND(AND($M$251="for profit",$M$259="nonprofit",$M$267="for profit")),2,0)</f>
        <v>0</v>
      </c>
    </row>
    <row r="228" spans="1:59" ht="12.95" customHeight="1">
      <c r="C228"/>
      <c r="D228" t="s">
        <v>898</v>
      </c>
      <c r="BB228" t="s">
        <v>977</v>
      </c>
      <c r="BG228" s="336">
        <f>IF(AND(AND($M$251="nonprofit",$M$259="for profit",$M$267="for profit")),2,0)</f>
        <v>0</v>
      </c>
    </row>
    <row r="229" spans="1:59" ht="12.95" customHeight="1">
      <c r="C229"/>
      <c r="D229" s="292" t="s">
        <v>979</v>
      </c>
      <c r="U229" s="292" t="s">
        <v>980</v>
      </c>
      <c r="BB229" t="s">
        <v>977</v>
      </c>
      <c r="BG229" s="336">
        <f>IF(AND(AND($M$251="for profit",$M$259="nonprofit",$M$267="(select one)")),2,0)</f>
        <v>0</v>
      </c>
    </row>
    <row r="230" spans="1:59" ht="12.95" customHeight="1">
      <c r="C230"/>
      <c r="BB230" t="s">
        <v>977</v>
      </c>
      <c r="BG230" s="337">
        <f>IF(AND(AND($M$251="nonprofit",$M$259="for profit",$M$267="(select one)")),2,0)</f>
        <v>0</v>
      </c>
    </row>
    <row r="231" spans="1:59" ht="12.95" customHeight="1">
      <c r="A231" s="1019" t="s">
        <v>981</v>
      </c>
      <c r="B231" s="1019"/>
      <c r="C231" s="1019"/>
      <c r="D231" s="1019"/>
      <c r="E231" s="1019"/>
      <c r="F231" s="1019"/>
      <c r="G231" s="1019"/>
      <c r="H231" s="1019"/>
      <c r="I231" s="1019"/>
      <c r="J231" s="1019"/>
      <c r="K231" s="1019"/>
      <c r="L231" s="1019"/>
      <c r="M231" s="1019"/>
      <c r="N231" s="1019"/>
      <c r="O231" s="1019"/>
      <c r="P231" s="1019"/>
      <c r="Q231" s="1019"/>
      <c r="R231" s="1019"/>
      <c r="S231" s="1019"/>
      <c r="T231" s="1019"/>
      <c r="U231" s="1019"/>
      <c r="V231" s="1019"/>
      <c r="W231" s="1019"/>
      <c r="X231" s="1019"/>
      <c r="Y231" s="1019"/>
      <c r="Z231" s="1019"/>
      <c r="AA231" s="1019"/>
      <c r="AB231" s="1019"/>
      <c r="AC231" s="1019"/>
      <c r="AD231" s="1019"/>
      <c r="AE231" s="1019"/>
      <c r="AF231" s="1019"/>
      <c r="AG231" s="1019"/>
      <c r="AH231" s="1019"/>
      <c r="AI231" s="1019"/>
      <c r="AJ231" s="1019"/>
      <c r="AK231" s="1019"/>
      <c r="AL231" s="1019"/>
      <c r="AM231" s="1019"/>
      <c r="AN231" s="1019"/>
      <c r="AO231" s="1019"/>
      <c r="AP231" s="1019"/>
      <c r="AQ231" s="1019"/>
      <c r="AR231" s="1019"/>
      <c r="AS231" s="1019"/>
      <c r="AT231" s="1019"/>
    </row>
    <row r="232" spans="1:59" ht="12.95" customHeight="1">
      <c r="A232" s="1019"/>
      <c r="B232" s="1019"/>
      <c r="C232" s="1019"/>
      <c r="D232" s="1019"/>
      <c r="E232" s="1019"/>
      <c r="F232" s="1019"/>
      <c r="G232" s="1019"/>
      <c r="H232" s="1019"/>
      <c r="I232" s="1019"/>
      <c r="J232" s="1019"/>
      <c r="K232" s="1019"/>
      <c r="L232" s="1019"/>
      <c r="M232" s="1019"/>
      <c r="N232" s="1019"/>
      <c r="O232" s="1019"/>
      <c r="P232" s="1019"/>
      <c r="Q232" s="1019"/>
      <c r="R232" s="1019"/>
      <c r="S232" s="1019"/>
      <c r="T232" s="1019"/>
      <c r="U232" s="1019"/>
      <c r="V232" s="1019"/>
      <c r="W232" s="1019"/>
      <c r="X232" s="1019"/>
      <c r="Y232" s="1019"/>
      <c r="Z232" s="1019"/>
      <c r="AA232" s="1019"/>
      <c r="AB232" s="1019"/>
      <c r="AC232" s="1019"/>
      <c r="AD232" s="1019"/>
      <c r="AE232" s="1019"/>
      <c r="AF232" s="1019"/>
      <c r="AG232" s="1019"/>
      <c r="AH232" s="1019"/>
      <c r="AI232" s="1019"/>
      <c r="AJ232" s="1019"/>
      <c r="AK232" s="1019"/>
      <c r="AL232" s="1019"/>
      <c r="AM232" s="1019"/>
      <c r="AN232" s="1019"/>
      <c r="AO232" s="1019"/>
      <c r="AP232" s="1019"/>
      <c r="AQ232" s="1019"/>
      <c r="AR232" s="1019"/>
      <c r="AS232" s="1019"/>
      <c r="AT232" s="1019"/>
      <c r="BB232" s="3" t="s">
        <v>977</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6">
        <f>IF(AND(AND($M$251="nonprofit",$M$259="for profit",$M$267="nonprofit")),2,0)</f>
        <v>0</v>
      </c>
    </row>
    <row r="234" spans="1:59" ht="12.95" customHeight="1">
      <c r="A234" s="3" t="s">
        <v>793</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7">
        <f>IF(AND(AND($M$251="for profit",$M$259="nonprofit",$M$267="nonprofit")),2,0)</f>
        <v>0</v>
      </c>
    </row>
    <row r="235" spans="1:59" ht="12.95" customHeight="1">
      <c r="C235"/>
      <c r="D235" s="37" t="s">
        <v>982</v>
      </c>
      <c r="E235" s="37"/>
      <c r="F235" s="37"/>
      <c r="G235" s="37"/>
      <c r="H235" s="37"/>
      <c r="I235" s="37"/>
      <c r="J235" s="37"/>
      <c r="K235" s="37"/>
      <c r="M235" s="1366" t="str">
        <f>H15</f>
        <v>1510 North First LP</v>
      </c>
      <c r="N235" s="1366"/>
      <c r="O235" s="1366"/>
      <c r="P235" s="1366"/>
      <c r="Q235" s="1366"/>
      <c r="R235" s="1366"/>
      <c r="S235" s="1366"/>
      <c r="T235" s="1366"/>
      <c r="U235" s="1366"/>
      <c r="V235" s="1366"/>
      <c r="W235" s="1366"/>
      <c r="X235" s="1366"/>
      <c r="Y235" s="1366"/>
      <c r="Z235" s="1366"/>
      <c r="AA235" s="1366"/>
      <c r="AB235" s="1366"/>
      <c r="AC235" s="1366"/>
      <c r="AD235" s="1366"/>
      <c r="AE235" s="1366"/>
      <c r="AF235" s="1366"/>
      <c r="AG235" s="1366"/>
      <c r="AH235" s="1366"/>
      <c r="AI235" s="1366"/>
      <c r="AJ235" s="1366"/>
      <c r="AK235" s="1366"/>
      <c r="BB235" s="3"/>
      <c r="BG235" s="37"/>
    </row>
    <row r="236" spans="1:59" ht="12.95" customHeight="1">
      <c r="C236"/>
      <c r="D236" s="37" t="s">
        <v>983</v>
      </c>
      <c r="E236" s="37"/>
      <c r="F236" s="37"/>
      <c r="G236" s="37"/>
      <c r="H236" s="37"/>
      <c r="I236" s="37"/>
      <c r="J236" s="37"/>
      <c r="K236" s="37"/>
      <c r="M236" s="1016" t="s">
        <v>984</v>
      </c>
      <c r="N236" s="1016"/>
      <c r="O236" s="1016"/>
      <c r="P236" s="1016"/>
      <c r="Q236" s="1016"/>
      <c r="R236" s="1016"/>
      <c r="S236" s="1016"/>
      <c r="T236" s="1016"/>
      <c r="U236" s="1016"/>
      <c r="V236" s="1016"/>
      <c r="W236" s="1016"/>
      <c r="X236" s="1016"/>
      <c r="Y236" s="1016"/>
      <c r="Z236" s="1016"/>
      <c r="AA236" s="1016"/>
      <c r="AB236" s="1016"/>
      <c r="AC236" s="1016"/>
      <c r="AD236" s="1016"/>
      <c r="AE236" s="1016"/>
      <c r="AM236" s="37"/>
      <c r="AN236" s="37"/>
      <c r="BB236" t="s">
        <v>985</v>
      </c>
      <c r="BG236" s="336">
        <f>IF(AND(AND($M$251="nonprofit",$M$259="nonprofit",$M$267="nonprofit")),1,0)</f>
        <v>0</v>
      </c>
    </row>
    <row r="237" spans="1:59" ht="12.95" customHeight="1">
      <c r="C237"/>
      <c r="D237" s="37" t="s">
        <v>847</v>
      </c>
      <c r="E237" s="37"/>
      <c r="M237" s="1016" t="s">
        <v>734</v>
      </c>
      <c r="N237" s="1016"/>
      <c r="O237" s="1016"/>
      <c r="P237" s="1016"/>
      <c r="Q237" s="1016"/>
      <c r="R237" s="1016"/>
      <c r="S237" s="1016"/>
      <c r="T237" s="1016"/>
      <c r="V237" s="810" t="s">
        <v>986</v>
      </c>
      <c r="W237" s="1279" t="s">
        <v>987</v>
      </c>
      <c r="X237" s="1279"/>
      <c r="Y237" s="37" t="s">
        <v>852</v>
      </c>
      <c r="AC237" s="1016">
        <v>95110</v>
      </c>
      <c r="AD237" s="1016"/>
      <c r="AE237" s="1016"/>
      <c r="AN237" s="37"/>
      <c r="BB237" t="s">
        <v>985</v>
      </c>
      <c r="BG237" s="336">
        <f>IF(AND(AND($M$251="nonprofit",$M$259="nonprofit",$M$267="(select one)")),1,0)</f>
        <v>0</v>
      </c>
    </row>
    <row r="238" spans="1:59" ht="12.95" customHeight="1">
      <c r="C238"/>
      <c r="D238" s="37" t="s">
        <v>988</v>
      </c>
      <c r="E238" s="37"/>
      <c r="F238" s="37"/>
      <c r="G238" s="37"/>
      <c r="H238" s="37"/>
      <c r="I238" s="37"/>
      <c r="J238" s="37"/>
      <c r="K238" s="871"/>
      <c r="M238" s="1016" t="s">
        <v>989</v>
      </c>
      <c r="N238" s="1016"/>
      <c r="O238" s="1016"/>
      <c r="P238" s="1016"/>
      <c r="Q238" s="1016"/>
      <c r="R238" s="1016"/>
      <c r="S238" s="1016"/>
      <c r="T238" s="1016"/>
      <c r="U238" s="1016"/>
      <c r="V238" s="1016"/>
      <c r="W238" s="1016"/>
      <c r="X238" s="1016"/>
      <c r="Y238" s="1016"/>
      <c r="Z238" s="1016"/>
      <c r="AA238" s="1016"/>
      <c r="AB238" s="1016"/>
      <c r="AC238" s="1016"/>
      <c r="AD238" s="1016"/>
      <c r="AE238" s="1016"/>
      <c r="AI238" s="37"/>
      <c r="AJ238" s="37"/>
      <c r="AK238" s="37"/>
      <c r="AL238" s="37"/>
      <c r="AN238" s="37"/>
      <c r="BB238" t="s">
        <v>985</v>
      </c>
      <c r="BG238" s="336">
        <f>IF(AND(AND($M$251="nonprofit",$M$259="(select one)",$M$267="(select one)")),1,0)</f>
        <v>1</v>
      </c>
    </row>
    <row r="239" spans="1:59" ht="12.95" customHeight="1">
      <c r="C239"/>
      <c r="D239" s="37" t="s">
        <v>990</v>
      </c>
      <c r="E239" s="37"/>
      <c r="F239" s="37"/>
      <c r="M239" s="1023" t="s">
        <v>991</v>
      </c>
      <c r="N239" s="1023"/>
      <c r="O239" s="1023"/>
      <c r="P239" s="1023"/>
      <c r="Q239" s="1023"/>
      <c r="R239" s="1023"/>
      <c r="S239" s="37" t="s">
        <v>992</v>
      </c>
      <c r="T239" s="37"/>
      <c r="U239" s="1279"/>
      <c r="V239" s="1279"/>
      <c r="W239" s="1279"/>
      <c r="X239" s="37" t="s">
        <v>993</v>
      </c>
      <c r="Z239" s="1023" t="s">
        <v>994</v>
      </c>
      <c r="AA239" s="1023"/>
      <c r="AB239" s="1023"/>
      <c r="AC239" s="1023"/>
      <c r="AD239" s="1023"/>
      <c r="AE239" s="1023"/>
      <c r="AM239" s="37"/>
      <c r="AN239" s="37"/>
      <c r="BB239" t="s">
        <v>995</v>
      </c>
      <c r="BG239" s="336">
        <f>IF(AND(AND($M$251="for profit",$M$259="for profit",$M$267="for profit")),3,0)</f>
        <v>0</v>
      </c>
    </row>
    <row r="240" spans="1:59" ht="12.95" customHeight="1">
      <c r="C240"/>
      <c r="D240" s="37" t="s">
        <v>996</v>
      </c>
      <c r="E240" s="37"/>
      <c r="F240" s="37"/>
      <c r="M240" s="1276" t="s">
        <v>997</v>
      </c>
      <c r="N240" s="1276"/>
      <c r="O240" s="1276"/>
      <c r="P240" s="1276"/>
      <c r="Q240" s="1276"/>
      <c r="R240" s="1276"/>
      <c r="S240" s="1276"/>
      <c r="T240" s="1276"/>
      <c r="U240" s="1276"/>
      <c r="V240" s="1276"/>
      <c r="W240" s="1276"/>
      <c r="X240" s="1276"/>
      <c r="Y240" s="1276"/>
      <c r="Z240" s="1276"/>
      <c r="AA240" s="1276"/>
      <c r="AB240" s="1276"/>
      <c r="AC240" s="1276"/>
      <c r="AD240" s="1276"/>
      <c r="AE240" s="1276"/>
      <c r="AF240" s="37"/>
      <c r="AG240" s="37"/>
      <c r="AH240" s="37"/>
      <c r="AI240" s="37"/>
      <c r="AJ240" s="37"/>
      <c r="AK240" s="37"/>
      <c r="AL240" s="37"/>
      <c r="AN240" s="37"/>
      <c r="AO240" s="37"/>
      <c r="BB240" t="s">
        <v>995</v>
      </c>
      <c r="BG240" s="337">
        <f>IF(AND(AND($M$251="for profit",$M$259="for profit",$M$267="(select one)")),3,0)</f>
        <v>0</v>
      </c>
    </row>
    <row r="241" spans="1:67" ht="12.95" customHeight="1">
      <c r="A241" s="3" t="s">
        <v>828</v>
      </c>
      <c r="C241" s="3" t="s">
        <v>998</v>
      </c>
      <c r="M241" s="1018" t="s">
        <v>967</v>
      </c>
      <c r="N241" s="1018"/>
      <c r="O241" s="1018"/>
      <c r="P241" s="1018"/>
      <c r="Q241" s="1018"/>
      <c r="R241" s="1018"/>
      <c r="S241" s="1018"/>
      <c r="T241" s="1018"/>
      <c r="U241" s="37" t="s">
        <v>999</v>
      </c>
      <c r="AA241" s="1271" t="s">
        <v>1000</v>
      </c>
      <c r="AB241" s="1271"/>
      <c r="AC241" s="1271"/>
      <c r="AD241" s="1271"/>
      <c r="AE241" s="1271"/>
      <c r="AF241" s="1271"/>
      <c r="AG241" s="1271"/>
      <c r="AH241" s="1271"/>
      <c r="AI241" s="1271"/>
      <c r="AJ241" s="1271"/>
      <c r="AK241" s="1271"/>
      <c r="AL241" s="37"/>
      <c r="AM241" s="37"/>
      <c r="AN241" s="37"/>
      <c r="AO241" s="37"/>
      <c r="BB241" t="s">
        <v>995</v>
      </c>
      <c r="BG241" s="337">
        <f>IF(AND(AND($M$251="for profit",$M$259="(select one)",$M$267="(select one)")),3,0)</f>
        <v>0</v>
      </c>
    </row>
    <row r="242" spans="1:67" ht="12.95" customHeight="1">
      <c r="C242"/>
      <c r="D242" t="s">
        <v>1001</v>
      </c>
      <c r="M242" s="1016"/>
      <c r="N242" s="1020"/>
      <c r="O242" s="1020"/>
      <c r="P242" s="1020"/>
      <c r="Q242" s="1020"/>
      <c r="R242" s="1020"/>
      <c r="S242" s="1020"/>
      <c r="T242" s="1020"/>
      <c r="U242" s="1020"/>
      <c r="V242" s="1020"/>
      <c r="W242" s="1020"/>
      <c r="X242" s="1020"/>
      <c r="Y242" s="1020"/>
      <c r="Z242" s="1020"/>
      <c r="AA242" s="1020"/>
      <c r="AB242" s="1020"/>
      <c r="AC242" s="1020"/>
      <c r="AD242" s="1020"/>
      <c r="AE242" s="1020"/>
      <c r="AF242" s="827" t="str">
        <f>IF(AND(M241="other",M242=""),"!","")</f>
        <v/>
      </c>
      <c r="AG242" s="827"/>
      <c r="AH242" s="37"/>
      <c r="AI242" s="37"/>
      <c r="AJ242" s="37"/>
      <c r="AK242" s="37"/>
      <c r="AL242" s="37"/>
    </row>
    <row r="243" spans="1:67" ht="12.95" customHeight="1">
      <c r="C243"/>
      <c r="D243" s="37"/>
      <c r="AM243" s="37"/>
    </row>
    <row r="244" spans="1:67" ht="12.95" customHeight="1">
      <c r="A244" s="3" t="s">
        <v>908</v>
      </c>
      <c r="C244" s="3" t="s">
        <v>129</v>
      </c>
      <c r="D244" s="37"/>
      <c r="L244" s="12"/>
      <c r="M244" s="12"/>
      <c r="N244" s="12"/>
      <c r="AN244" s="37"/>
      <c r="BB244" t="s">
        <v>321</v>
      </c>
      <c r="BH244">
        <v>1</v>
      </c>
      <c r="BI244" t="s">
        <v>1002</v>
      </c>
    </row>
    <row r="245" spans="1:67" ht="12.95" customHeight="1">
      <c r="A245" s="871"/>
      <c r="C245" s="55" t="s">
        <v>1003</v>
      </c>
      <c r="D245" s="37" t="s">
        <v>1004</v>
      </c>
      <c r="E245" s="37"/>
      <c r="F245" s="37"/>
      <c r="G245" s="37"/>
      <c r="H245" s="37"/>
      <c r="I245" s="37"/>
      <c r="J245" s="37"/>
      <c r="K245" s="37"/>
      <c r="L245" s="37"/>
      <c r="M245" s="1287" t="s">
        <v>1000</v>
      </c>
      <c r="N245" s="1287"/>
      <c r="O245" s="1287"/>
      <c r="P245" s="1287"/>
      <c r="Q245" s="1287"/>
      <c r="R245" s="1287"/>
      <c r="S245" s="1287"/>
      <c r="T245" s="1287"/>
      <c r="U245" s="1287"/>
      <c r="V245" s="1287"/>
      <c r="W245" s="1287"/>
      <c r="X245" s="1287"/>
      <c r="Y245" s="1287"/>
      <c r="Z245" s="1287"/>
      <c r="AA245" s="1287"/>
      <c r="AB245" s="1287"/>
      <c r="AC245" s="1287"/>
      <c r="AD245" s="1287"/>
      <c r="AE245" s="1287"/>
      <c r="AF245" s="1287" t="s">
        <v>1005</v>
      </c>
      <c r="AG245" s="1287"/>
      <c r="AH245" s="1287"/>
      <c r="AI245" s="1287"/>
      <c r="AJ245" s="1287"/>
      <c r="AK245" s="1287"/>
      <c r="AM245" s="37"/>
      <c r="AN245" s="37"/>
      <c r="BB245" s="37" t="s">
        <v>1006</v>
      </c>
      <c r="BH245">
        <v>2</v>
      </c>
      <c r="BI245" t="s">
        <v>965</v>
      </c>
      <c r="BO245" s="881" t="str">
        <f>IFERROR(VLOOKUP(AZ260,BH244:BI246,2,FALSE),"")</f>
        <v>Nonprofit</v>
      </c>
    </row>
    <row r="246" spans="1:67" ht="12.95" customHeight="1">
      <c r="A246" s="871"/>
      <c r="B246" s="37"/>
      <c r="C246" s="37"/>
      <c r="D246" s="37" t="s">
        <v>983</v>
      </c>
      <c r="E246" s="37"/>
      <c r="F246" s="37"/>
      <c r="G246" s="37"/>
      <c r="H246" s="37"/>
      <c r="I246" s="37"/>
      <c r="J246" s="37"/>
      <c r="K246" s="37"/>
      <c r="L246" s="37"/>
      <c r="M246" s="1016" t="s">
        <v>984</v>
      </c>
      <c r="N246" s="1016"/>
      <c r="O246" s="1016"/>
      <c r="P246" s="1016"/>
      <c r="Q246" s="1016"/>
      <c r="R246" s="1016"/>
      <c r="S246" s="1016"/>
      <c r="T246" s="1016"/>
      <c r="U246" s="1016"/>
      <c r="V246" s="1016"/>
      <c r="W246" s="1016"/>
      <c r="X246" s="1016"/>
      <c r="Y246" s="1016"/>
      <c r="Z246" s="1016"/>
      <c r="AA246" s="1016"/>
      <c r="AB246" s="1016"/>
      <c r="AC246" s="1016"/>
      <c r="AD246" s="1016"/>
      <c r="AE246" s="1016"/>
      <c r="AL246" s="37"/>
      <c r="AN246" s="37"/>
      <c r="BB246" s="37" t="s">
        <v>1007</v>
      </c>
      <c r="BH246">
        <v>3</v>
      </c>
      <c r="BI246" t="s">
        <v>1008</v>
      </c>
    </row>
    <row r="247" spans="1:67" ht="12.95" customHeight="1">
      <c r="A247" s="871"/>
      <c r="B247" s="37"/>
      <c r="C247" s="37"/>
      <c r="D247" s="37" t="s">
        <v>847</v>
      </c>
      <c r="E247" s="37"/>
      <c r="M247" s="1016" t="s">
        <v>734</v>
      </c>
      <c r="N247" s="1016"/>
      <c r="O247" s="1016"/>
      <c r="P247" s="1016"/>
      <c r="Q247" s="1016"/>
      <c r="R247" s="1016"/>
      <c r="S247" s="1016"/>
      <c r="T247" s="1016"/>
      <c r="V247" s="810" t="s">
        <v>986</v>
      </c>
      <c r="W247" s="1279" t="s">
        <v>987</v>
      </c>
      <c r="X247" s="1279"/>
      <c r="Y247" s="37" t="s">
        <v>852</v>
      </c>
      <c r="AC247" s="1016">
        <v>95110</v>
      </c>
      <c r="AD247" s="1016"/>
      <c r="AE247" s="1016"/>
      <c r="AN247" s="37"/>
    </row>
    <row r="248" spans="1:67" ht="12.95" customHeight="1">
      <c r="A248" s="871"/>
      <c r="B248" s="37"/>
      <c r="C248" s="37"/>
      <c r="D248" s="37" t="s">
        <v>988</v>
      </c>
      <c r="E248" s="37"/>
      <c r="F248" s="37"/>
      <c r="G248" s="37"/>
      <c r="H248" s="37"/>
      <c r="I248" s="37"/>
      <c r="J248" s="37"/>
      <c r="K248" s="37"/>
      <c r="L248" s="871"/>
      <c r="M248" s="1016" t="s">
        <v>736</v>
      </c>
      <c r="N248" s="1016"/>
      <c r="O248" s="1016"/>
      <c r="P248" s="1016"/>
      <c r="Q248" s="1016"/>
      <c r="R248" s="1016"/>
      <c r="S248" s="1016"/>
      <c r="T248" s="1016"/>
      <c r="U248" s="1016"/>
      <c r="V248" s="1016"/>
      <c r="W248" s="1016"/>
      <c r="X248" s="1016"/>
      <c r="Y248" s="1016"/>
      <c r="Z248" s="1016"/>
      <c r="AA248" s="1016"/>
      <c r="AB248" s="1016"/>
      <c r="AC248" s="1016"/>
      <c r="AD248" s="1016"/>
      <c r="AE248" s="1016"/>
      <c r="AJ248" s="37"/>
      <c r="AK248" s="37"/>
      <c r="AL248" s="37"/>
      <c r="AN248" s="37"/>
    </row>
    <row r="249" spans="1:67" ht="12.95" customHeight="1">
      <c r="A249" s="871"/>
      <c r="B249" s="37"/>
      <c r="C249" s="37"/>
      <c r="D249" s="37" t="s">
        <v>990</v>
      </c>
      <c r="E249" s="37"/>
      <c r="F249" s="37"/>
      <c r="M249" s="1023" t="s">
        <v>1009</v>
      </c>
      <c r="N249" s="1023"/>
      <c r="O249" s="1023"/>
      <c r="P249" s="1023"/>
      <c r="Q249" s="1023"/>
      <c r="R249" s="1023"/>
      <c r="S249" s="37" t="s">
        <v>992</v>
      </c>
      <c r="T249" s="37"/>
      <c r="U249" s="1279"/>
      <c r="V249" s="1279"/>
      <c r="W249" s="1279"/>
      <c r="X249" s="37" t="s">
        <v>993</v>
      </c>
      <c r="Z249" s="1023" t="s">
        <v>1010</v>
      </c>
      <c r="AA249" s="1023"/>
      <c r="AB249" s="1023"/>
      <c r="AC249" s="1023"/>
      <c r="AD249" s="1023"/>
      <c r="AE249" s="1023"/>
      <c r="AM249" s="37"/>
      <c r="AN249" s="37"/>
    </row>
    <row r="250" spans="1:67" ht="12.95" customHeight="1">
      <c r="A250" s="871"/>
      <c r="B250" s="37"/>
      <c r="C250" s="37"/>
      <c r="D250" s="37" t="s">
        <v>996</v>
      </c>
      <c r="E250" s="37"/>
      <c r="F250" s="37"/>
      <c r="M250" s="1276" t="s">
        <v>1011</v>
      </c>
      <c r="N250" s="1276"/>
      <c r="O250" s="1276"/>
      <c r="P250" s="1276"/>
      <c r="Q250" s="1276"/>
      <c r="R250" s="1276"/>
      <c r="S250" s="1276"/>
      <c r="T250" s="1276"/>
      <c r="U250" s="1276"/>
      <c r="V250" s="1276"/>
      <c r="W250" s="1276"/>
      <c r="X250" s="1276"/>
      <c r="Y250" s="1276"/>
      <c r="Z250" s="1276"/>
      <c r="AA250" s="1276"/>
      <c r="AB250" s="1276"/>
      <c r="AC250" s="1276"/>
      <c r="AD250" s="1276"/>
      <c r="AE250" s="1276"/>
      <c r="AG250" s="37"/>
      <c r="AH250" s="37"/>
      <c r="AI250" s="37"/>
      <c r="AJ250" s="37"/>
      <c r="AK250" s="37"/>
      <c r="AL250" s="37"/>
    </row>
    <row r="251" spans="1:67" ht="12.95" customHeight="1">
      <c r="A251" s="18"/>
      <c r="B251" s="37"/>
      <c r="C251" s="55"/>
      <c r="D251" s="37" t="s">
        <v>1012</v>
      </c>
      <c r="E251" s="37"/>
      <c r="F251" s="37"/>
      <c r="G251" s="37"/>
      <c r="H251" s="37"/>
      <c r="I251" s="37"/>
      <c r="J251" s="37"/>
      <c r="K251" s="37"/>
      <c r="L251" s="37"/>
      <c r="M251" s="1018" t="s">
        <v>1002</v>
      </c>
      <c r="N251" s="1018"/>
      <c r="O251" s="1018"/>
      <c r="P251" s="1018"/>
      <c r="Q251" s="1018"/>
      <c r="R251" s="1018"/>
      <c r="S251" s="1018"/>
      <c r="T251" s="1018"/>
      <c r="U251" s="37" t="s">
        <v>999</v>
      </c>
      <c r="AA251" s="1271" t="s">
        <v>1013</v>
      </c>
      <c r="AB251" s="1271"/>
      <c r="AC251" s="1271"/>
      <c r="AD251" s="1271"/>
      <c r="AE251" s="1271"/>
      <c r="AF251" s="1271"/>
      <c r="AG251" s="1271"/>
      <c r="AH251" s="1271"/>
      <c r="AI251" s="1271"/>
      <c r="AJ251" s="1271"/>
      <c r="AK251" s="1271"/>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1014</v>
      </c>
      <c r="D253" s="37" t="s">
        <v>1015</v>
      </c>
      <c r="E253" s="37"/>
      <c r="F253" s="37"/>
      <c r="G253" s="37"/>
      <c r="H253" s="37"/>
      <c r="I253" s="37"/>
      <c r="J253" s="37"/>
      <c r="K253" s="37"/>
      <c r="L253" s="3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t="s">
        <v>321</v>
      </c>
      <c r="AG253" s="1287"/>
      <c r="AH253" s="1287"/>
      <c r="AI253" s="1287"/>
      <c r="AJ253" s="1287"/>
      <c r="AK253" s="1287"/>
      <c r="AM253" s="37"/>
    </row>
    <row r="254" spans="1:67" ht="12.95" customHeight="1">
      <c r="A254" s="871"/>
      <c r="B254" s="37"/>
      <c r="C254" s="37"/>
      <c r="D254" s="37" t="s">
        <v>983</v>
      </c>
      <c r="E254" s="37"/>
      <c r="F254" s="37"/>
      <c r="G254" s="37"/>
      <c r="H254" s="37"/>
      <c r="I254" s="37"/>
      <c r="J254" s="37"/>
      <c r="K254" s="37"/>
      <c r="L254" s="37"/>
      <c r="M254" s="1016"/>
      <c r="N254" s="1016"/>
      <c r="O254" s="1016"/>
      <c r="P254" s="1016"/>
      <c r="Q254" s="1016"/>
      <c r="R254" s="1016"/>
      <c r="S254" s="1016"/>
      <c r="T254" s="1016"/>
      <c r="U254" s="1016"/>
      <c r="V254" s="1016"/>
      <c r="W254" s="1016"/>
      <c r="X254" s="1016"/>
      <c r="Y254" s="1016"/>
      <c r="Z254" s="1016"/>
      <c r="AA254" s="1016"/>
      <c r="AB254" s="1016"/>
      <c r="AC254" s="1016"/>
      <c r="AD254" s="1016"/>
      <c r="AE254" s="1016"/>
      <c r="AL254" s="37"/>
    </row>
    <row r="255" spans="1:67" ht="12.95" customHeight="1">
      <c r="A255" s="871"/>
      <c r="B255" s="37"/>
      <c r="C255" s="37"/>
      <c r="D255" s="37" t="s">
        <v>847</v>
      </c>
      <c r="E255" s="37"/>
      <c r="M255" s="1016"/>
      <c r="N255" s="1016"/>
      <c r="O255" s="1016"/>
      <c r="P255" s="1016"/>
      <c r="Q255" s="1016"/>
      <c r="R255" s="1016"/>
      <c r="S255" s="1016"/>
      <c r="T255" s="1016"/>
      <c r="V255" s="810" t="s">
        <v>986</v>
      </c>
      <c r="W255" s="1279"/>
      <c r="X255" s="1279"/>
      <c r="Y255" s="37" t="s">
        <v>852</v>
      </c>
      <c r="AC255" s="1016"/>
      <c r="AD255" s="1016"/>
      <c r="AE255" s="1016"/>
    </row>
    <row r="256" spans="1:67" ht="12.95" customHeight="1">
      <c r="A256" s="871"/>
      <c r="B256" s="37"/>
      <c r="C256" s="37"/>
      <c r="D256" s="37" t="s">
        <v>988</v>
      </c>
      <c r="E256" s="37"/>
      <c r="F256" s="37"/>
      <c r="G256" s="37"/>
      <c r="H256" s="37"/>
      <c r="I256" s="37"/>
      <c r="J256" s="37"/>
      <c r="K256" s="37"/>
      <c r="L256" s="871"/>
      <c r="M256" s="1016"/>
      <c r="N256" s="1016"/>
      <c r="O256" s="1016"/>
      <c r="P256" s="1016"/>
      <c r="Q256" s="1016"/>
      <c r="R256" s="1016"/>
      <c r="S256" s="1016"/>
      <c r="T256" s="1016"/>
      <c r="U256" s="1016"/>
      <c r="V256" s="1016"/>
      <c r="W256" s="1016"/>
      <c r="X256" s="1016"/>
      <c r="Y256" s="1016"/>
      <c r="Z256" s="1016"/>
      <c r="AA256" s="1016"/>
      <c r="AB256" s="1016"/>
      <c r="AC256" s="1016"/>
      <c r="AD256" s="1016"/>
      <c r="AE256" s="1016"/>
      <c r="AJ256" s="37"/>
      <c r="AK256" s="37"/>
      <c r="AL256" s="37"/>
    </row>
    <row r="257" spans="1:53" ht="12.95" customHeight="1">
      <c r="A257" s="871"/>
      <c r="B257" s="37"/>
      <c r="C257" s="37"/>
      <c r="D257" s="37" t="s">
        <v>990</v>
      </c>
      <c r="E257" s="37"/>
      <c r="F257" s="37"/>
      <c r="M257" s="1024"/>
      <c r="N257" s="1024"/>
      <c r="O257" s="1024"/>
      <c r="P257" s="1024"/>
      <c r="Q257" s="1024"/>
      <c r="R257" s="1024"/>
      <c r="S257" s="37" t="s">
        <v>992</v>
      </c>
      <c r="T257" s="37"/>
      <c r="U257" s="1279"/>
      <c r="V257" s="1279"/>
      <c r="W257" s="1279"/>
      <c r="X257" s="37" t="s">
        <v>993</v>
      </c>
      <c r="Z257" s="1024"/>
      <c r="AA257" s="1024"/>
      <c r="AB257" s="1024"/>
      <c r="AC257" s="1024"/>
      <c r="AD257" s="1024"/>
      <c r="AE257" s="1024"/>
      <c r="BA257" s="37"/>
    </row>
    <row r="258" spans="1:53" ht="12.95" customHeight="1">
      <c r="A258" s="871"/>
      <c r="B258" s="37"/>
      <c r="C258" s="37"/>
      <c r="D258" s="37" t="s">
        <v>996</v>
      </c>
      <c r="E258" s="37"/>
      <c r="F258" s="37"/>
      <c r="M258" s="1026"/>
      <c r="N258" s="1026"/>
      <c r="O258" s="1026"/>
      <c r="P258" s="1026"/>
      <c r="Q258" s="1026"/>
      <c r="R258" s="1026"/>
      <c r="S258" s="1026"/>
      <c r="T258" s="1026"/>
      <c r="U258" s="1026"/>
      <c r="V258" s="1026"/>
      <c r="W258" s="1026"/>
      <c r="X258" s="1026"/>
      <c r="Y258" s="1026"/>
      <c r="Z258" s="1026"/>
      <c r="AA258" s="1026"/>
      <c r="AB258" s="1026"/>
      <c r="AC258" s="1026"/>
      <c r="AD258" s="1026"/>
      <c r="AE258" s="1026"/>
      <c r="AG258" s="37"/>
      <c r="AH258" s="37"/>
      <c r="AI258" s="37"/>
      <c r="AJ258" s="37"/>
      <c r="AK258" s="37"/>
      <c r="AL258" s="37"/>
    </row>
    <row r="259" spans="1:53" ht="12.95" customHeight="1">
      <c r="A259" s="18"/>
      <c r="B259" s="37"/>
      <c r="C259" s="55"/>
      <c r="D259" s="37" t="s">
        <v>1012</v>
      </c>
      <c r="E259" s="37"/>
      <c r="F259" s="37"/>
      <c r="G259" s="37"/>
      <c r="H259" s="37"/>
      <c r="I259" s="37"/>
      <c r="J259" s="37"/>
      <c r="K259" s="37"/>
      <c r="L259" s="37"/>
      <c r="M259" s="1018" t="s">
        <v>321</v>
      </c>
      <c r="N259" s="1018"/>
      <c r="O259" s="1018"/>
      <c r="P259" s="1018"/>
      <c r="Q259" s="1018"/>
      <c r="R259" s="1018"/>
      <c r="S259" s="1018"/>
      <c r="T259" s="1018"/>
      <c r="U259" s="37" t="s">
        <v>999</v>
      </c>
      <c r="AA259" s="1021"/>
      <c r="AB259" s="1021"/>
      <c r="AC259" s="1021"/>
      <c r="AD259" s="1021"/>
      <c r="AE259" s="1021"/>
      <c r="AF259" s="1021"/>
      <c r="AG259" s="1021"/>
      <c r="AH259" s="1021"/>
      <c r="AI259" s="1021"/>
      <c r="AJ259" s="1021"/>
      <c r="AK259" s="102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1016</v>
      </c>
      <c r="D261" s="37" t="s">
        <v>1004</v>
      </c>
      <c r="E261" s="37"/>
      <c r="F261" s="37"/>
      <c r="G261" s="37"/>
      <c r="H261" s="37"/>
      <c r="I261" s="37"/>
      <c r="J261" s="37"/>
      <c r="K261" s="37"/>
      <c r="L261" s="3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321</v>
      </c>
      <c r="AG261" s="1287"/>
      <c r="AH261" s="1287"/>
      <c r="AI261" s="1287"/>
      <c r="AJ261" s="1287"/>
      <c r="AK261" s="1287"/>
      <c r="AL261" s="37"/>
    </row>
    <row r="262" spans="1:53" ht="12.95" customHeight="1">
      <c r="A262" s="18"/>
      <c r="B262" s="37"/>
      <c r="C262" s="37"/>
      <c r="D262" s="37" t="s">
        <v>983</v>
      </c>
      <c r="E262" s="37"/>
      <c r="F262" s="37"/>
      <c r="G262" s="37"/>
      <c r="H262" s="37"/>
      <c r="I262" s="37"/>
      <c r="J262" s="37"/>
      <c r="K262" s="37"/>
      <c r="L262" s="37"/>
      <c r="M262" s="1016"/>
      <c r="N262" s="1016"/>
      <c r="O262" s="1016"/>
      <c r="P262" s="1016"/>
      <c r="Q262" s="1016"/>
      <c r="R262" s="1016"/>
      <c r="S262" s="1016"/>
      <c r="T262" s="1016"/>
      <c r="U262" s="1016"/>
      <c r="V262" s="1016"/>
      <c r="W262" s="1016"/>
      <c r="X262" s="1016"/>
      <c r="Y262" s="1016"/>
      <c r="Z262" s="1016"/>
      <c r="AA262" s="1016"/>
      <c r="AB262" s="1016"/>
      <c r="AC262" s="1016"/>
      <c r="AD262" s="1016"/>
      <c r="AE262" s="1016"/>
      <c r="AL262" s="37"/>
      <c r="BA262" s="37"/>
    </row>
    <row r="263" spans="1:53" ht="12.95" customHeight="1">
      <c r="A263" s="18"/>
      <c r="B263" s="37"/>
      <c r="C263" s="37"/>
      <c r="D263" s="37" t="s">
        <v>847</v>
      </c>
      <c r="E263" s="37"/>
      <c r="M263" s="1016"/>
      <c r="N263" s="1016"/>
      <c r="O263" s="1016"/>
      <c r="P263" s="1016"/>
      <c r="Q263" s="1016"/>
      <c r="R263" s="1016"/>
      <c r="S263" s="1016"/>
      <c r="T263" s="1016"/>
      <c r="V263" s="810" t="s">
        <v>986</v>
      </c>
      <c r="W263" s="1279"/>
      <c r="X263" s="1279"/>
      <c r="Y263" s="37" t="s">
        <v>852</v>
      </c>
      <c r="AC263" s="1016"/>
      <c r="AD263" s="1016"/>
      <c r="AE263" s="1016"/>
      <c r="AL263" s="37"/>
      <c r="BA263" s="37"/>
    </row>
    <row r="264" spans="1:53" ht="12.95" customHeight="1">
      <c r="A264" s="18"/>
      <c r="B264" s="37"/>
      <c r="C264" s="37"/>
      <c r="D264" s="37" t="s">
        <v>988</v>
      </c>
      <c r="E264" s="37"/>
      <c r="F264" s="37"/>
      <c r="G264" s="37"/>
      <c r="H264" s="37"/>
      <c r="I264" s="37"/>
      <c r="J264" s="37"/>
      <c r="K264" s="37"/>
      <c r="L264" s="871"/>
      <c r="M264" s="1016"/>
      <c r="N264" s="1016"/>
      <c r="O264" s="1016"/>
      <c r="P264" s="1016"/>
      <c r="Q264" s="1016"/>
      <c r="R264" s="1016"/>
      <c r="S264" s="1016"/>
      <c r="T264" s="1016"/>
      <c r="U264" s="1016"/>
      <c r="V264" s="1016"/>
      <c r="W264" s="1016"/>
      <c r="X264" s="1016"/>
      <c r="Y264" s="1016"/>
      <c r="Z264" s="1016"/>
      <c r="AA264" s="1016"/>
      <c r="AB264" s="1016"/>
      <c r="AC264" s="1016"/>
      <c r="AD264" s="1016"/>
      <c r="AE264" s="1016"/>
      <c r="AJ264" s="37"/>
      <c r="AK264" s="37"/>
      <c r="AL264" s="37"/>
      <c r="BA264" s="37"/>
    </row>
    <row r="265" spans="1:53" ht="12.95" customHeight="1">
      <c r="A265" s="18"/>
      <c r="B265" s="37"/>
      <c r="C265" s="37"/>
      <c r="D265" s="37" t="s">
        <v>990</v>
      </c>
      <c r="E265" s="37"/>
      <c r="F265" s="37"/>
      <c r="M265" s="1024"/>
      <c r="N265" s="1024"/>
      <c r="O265" s="1024"/>
      <c r="P265" s="1024"/>
      <c r="Q265" s="1024"/>
      <c r="R265" s="1024"/>
      <c r="S265" s="37" t="s">
        <v>992</v>
      </c>
      <c r="T265" s="37"/>
      <c r="U265" s="1279"/>
      <c r="V265" s="1279"/>
      <c r="W265" s="1279"/>
      <c r="X265" s="37" t="s">
        <v>993</v>
      </c>
      <c r="Z265" s="1024"/>
      <c r="AA265" s="1024"/>
      <c r="AB265" s="1024"/>
      <c r="AC265" s="1024"/>
      <c r="AD265" s="1024"/>
      <c r="AE265" s="1024"/>
      <c r="AL265" s="37"/>
      <c r="BA265" s="37"/>
    </row>
    <row r="266" spans="1:53" ht="12.95" customHeight="1">
      <c r="A266" s="18"/>
      <c r="B266" s="37"/>
      <c r="C266" s="37"/>
      <c r="D266" s="37" t="s">
        <v>996</v>
      </c>
      <c r="E266" s="37"/>
      <c r="F266" s="37"/>
      <c r="M266" s="1026"/>
      <c r="N266" s="1026"/>
      <c r="O266" s="1026"/>
      <c r="P266" s="1026"/>
      <c r="Q266" s="1026"/>
      <c r="R266" s="1026"/>
      <c r="S266" s="1026"/>
      <c r="T266" s="1026"/>
      <c r="U266" s="1026"/>
      <c r="V266" s="1026"/>
      <c r="W266" s="1026"/>
      <c r="X266" s="1026"/>
      <c r="Y266" s="1026"/>
      <c r="Z266" s="1026"/>
      <c r="AA266" s="1026"/>
      <c r="AB266" s="1026"/>
      <c r="AC266" s="1026"/>
      <c r="AD266" s="1026"/>
      <c r="AE266" s="1026"/>
      <c r="AG266" s="37"/>
      <c r="AH266" s="37"/>
      <c r="AI266" s="37"/>
      <c r="AJ266" s="37"/>
      <c r="AK266" s="37"/>
      <c r="AL266" s="37"/>
      <c r="BA266" s="37"/>
    </row>
    <row r="267" spans="1:53" ht="12.95" customHeight="1">
      <c r="A267" s="18"/>
      <c r="B267" s="37"/>
      <c r="C267" s="55"/>
      <c r="D267" s="37" t="s">
        <v>1012</v>
      </c>
      <c r="E267" s="37"/>
      <c r="F267" s="37"/>
      <c r="G267" s="37"/>
      <c r="H267" s="37"/>
      <c r="I267" s="37"/>
      <c r="J267" s="37"/>
      <c r="K267" s="37"/>
      <c r="L267" s="37"/>
      <c r="M267" s="1018" t="s">
        <v>321</v>
      </c>
      <c r="N267" s="1018"/>
      <c r="O267" s="1018"/>
      <c r="P267" s="1018"/>
      <c r="Q267" s="1018"/>
      <c r="R267" s="1018"/>
      <c r="S267" s="1018"/>
      <c r="T267" s="1018"/>
      <c r="U267" s="37" t="s">
        <v>999</v>
      </c>
      <c r="AA267" s="1021"/>
      <c r="AB267" s="1021"/>
      <c r="AC267" s="1021"/>
      <c r="AD267" s="1021"/>
      <c r="AE267" s="1021"/>
      <c r="AF267" s="1021"/>
      <c r="AG267" s="1021"/>
      <c r="AH267" s="1021"/>
      <c r="AI267" s="1021"/>
      <c r="AJ267" s="1021"/>
      <c r="AK267" s="1021"/>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930</v>
      </c>
      <c r="B269" s="37"/>
      <c r="C269" s="3" t="s">
        <v>1017</v>
      </c>
      <c r="D269" s="37"/>
      <c r="E269" s="37"/>
      <c r="F269" s="37"/>
      <c r="G269" s="37"/>
      <c r="H269" s="37"/>
      <c r="I269" s="37"/>
      <c r="J269" s="37"/>
      <c r="K269" s="37"/>
      <c r="L269" s="37"/>
      <c r="M269" s="230"/>
      <c r="N269" s="230"/>
      <c r="O269" s="230"/>
      <c r="P269" s="230"/>
      <c r="Q269" s="230"/>
      <c r="T269" s="1025" t="str">
        <f>BO245</f>
        <v>Nonprofit</v>
      </c>
      <c r="U269" s="1025"/>
      <c r="V269" s="1025"/>
      <c r="W269" s="1025"/>
      <c r="X269" s="1025"/>
      <c r="Z269" s="388" t="s">
        <v>1018</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1019</v>
      </c>
      <c r="AF270" s="37"/>
      <c r="AG270" s="37"/>
      <c r="AH270" s="37"/>
      <c r="AI270" s="37"/>
      <c r="AJ270" s="37"/>
      <c r="AL270" s="63"/>
      <c r="BA270" s="37"/>
    </row>
    <row r="271" spans="1:53" ht="12.95" customHeight="1">
      <c r="A271" s="3" t="s">
        <v>942</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1020</v>
      </c>
      <c r="AA271" s="47"/>
      <c r="AB271" s="47"/>
      <c r="AC271" s="47"/>
      <c r="AD271" s="336"/>
      <c r="AE271" s="336"/>
      <c r="AF271" s="336"/>
      <c r="AG271" s="336"/>
      <c r="AH271" s="336"/>
      <c r="AI271" s="336"/>
      <c r="AJ271" s="336"/>
      <c r="AK271" s="336"/>
      <c r="AL271" s="391"/>
    </row>
    <row r="272" spans="1:53" ht="12.95" customHeight="1">
      <c r="A272" s="37"/>
      <c r="B272" s="38">
        <v>0</v>
      </c>
      <c r="C272"/>
      <c r="D272" s="1016" t="s">
        <v>1006</v>
      </c>
      <c r="E272" s="1016"/>
      <c r="F272" s="1016"/>
      <c r="G272" s="1016"/>
      <c r="H272" s="1016"/>
      <c r="J272" t="s">
        <v>1021</v>
      </c>
      <c r="X272" s="1365"/>
      <c r="Y272" s="1365"/>
      <c r="Z272" s="1365"/>
      <c r="AA272" s="1365"/>
      <c r="AB272" s="1365"/>
      <c r="AC272" s="1365"/>
      <c r="BA272" s="37"/>
    </row>
    <row r="273" spans="1:53" ht="12.95" customHeight="1">
      <c r="A273" s="37"/>
      <c r="B273" s="871"/>
      <c r="C273"/>
      <c r="D273" s="39" t="s">
        <v>1022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951</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75" customHeight="1">
      <c r="C276"/>
      <c r="D276" s="37" t="s">
        <v>1023</v>
      </c>
      <c r="E276" s="37"/>
      <c r="F276" s="37"/>
      <c r="G276" s="37"/>
      <c r="H276" s="37"/>
      <c r="I276" s="37"/>
      <c r="J276" s="37"/>
      <c r="K276" s="37"/>
      <c r="L276" s="1274" t="s">
        <v>1024</v>
      </c>
      <c r="M276" s="1274"/>
      <c r="N276" s="1274"/>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37"/>
      <c r="AL276" s="37"/>
      <c r="BA276" s="37"/>
    </row>
    <row r="277" spans="1:53" ht="12.95" customHeight="1">
      <c r="C277"/>
      <c r="D277" s="37" t="s">
        <v>983</v>
      </c>
      <c r="E277" s="37"/>
      <c r="F277" s="37"/>
      <c r="G277" s="37"/>
      <c r="H277" s="37"/>
      <c r="I277" s="37"/>
      <c r="J277" s="37"/>
      <c r="K277" s="37"/>
      <c r="L277" s="1119" t="s">
        <v>1025</v>
      </c>
      <c r="M277" s="1119"/>
      <c r="N277" s="1119"/>
      <c r="O277" s="1119"/>
      <c r="P277" s="1119"/>
      <c r="Q277" s="1119"/>
      <c r="R277" s="1119"/>
      <c r="S277" s="1119"/>
      <c r="T277" s="1119"/>
      <c r="U277" s="1119"/>
      <c r="V277" s="1119"/>
      <c r="W277" s="1119"/>
      <c r="X277" s="1119"/>
      <c r="Y277" s="1119"/>
      <c r="Z277" s="1119"/>
      <c r="AA277" s="1119"/>
      <c r="AB277" s="1119"/>
      <c r="AC277" s="1119"/>
      <c r="AD277" s="1119"/>
      <c r="AK277" s="37"/>
      <c r="AL277" s="37"/>
      <c r="BA277" s="37"/>
    </row>
    <row r="278" spans="1:53" ht="12.95" customHeight="1">
      <c r="C278"/>
      <c r="D278" s="37" t="s">
        <v>847</v>
      </c>
      <c r="E278" s="37"/>
      <c r="L278" s="1119" t="s">
        <v>734</v>
      </c>
      <c r="M278" s="1119"/>
      <c r="N278" s="1119"/>
      <c r="O278" s="1119"/>
      <c r="P278" s="1119"/>
      <c r="Q278" s="1119"/>
      <c r="R278" s="1119"/>
      <c r="S278" s="1119"/>
      <c r="U278" s="810" t="s">
        <v>986</v>
      </c>
      <c r="V278" s="1119" t="s">
        <v>987</v>
      </c>
      <c r="W278" s="1119"/>
      <c r="X278" s="37" t="s">
        <v>852</v>
      </c>
      <c r="AB278" s="1119">
        <v>95110</v>
      </c>
      <c r="AC278" s="1119"/>
      <c r="AD278" s="1119"/>
      <c r="AK278" s="37"/>
      <c r="AL278" s="37"/>
      <c r="BA278" s="37"/>
    </row>
    <row r="279" spans="1:53" ht="12.95" customHeight="1">
      <c r="C279"/>
      <c r="D279" s="37" t="s">
        <v>988</v>
      </c>
      <c r="E279" s="37"/>
      <c r="F279" s="37"/>
      <c r="G279" s="37"/>
      <c r="H279" s="37"/>
      <c r="I279" s="37"/>
      <c r="J279" s="37"/>
      <c r="K279" s="871"/>
      <c r="L279" s="1086" t="s">
        <v>989</v>
      </c>
      <c r="M279" s="1086"/>
      <c r="N279" s="1086"/>
      <c r="O279" s="1086"/>
      <c r="P279" s="1086"/>
      <c r="Q279" s="1086"/>
      <c r="R279" s="1086"/>
      <c r="S279" s="1086"/>
      <c r="T279" s="1086"/>
      <c r="U279" s="1086"/>
      <c r="V279" s="1086"/>
      <c r="W279" s="1086"/>
      <c r="X279" s="1086"/>
      <c r="Y279" s="1086"/>
      <c r="Z279" s="1086"/>
      <c r="AA279" s="1086"/>
      <c r="AB279" s="1086"/>
      <c r="AC279" s="1086"/>
      <c r="AD279" s="1086"/>
      <c r="AI279" s="37"/>
      <c r="AJ279" s="37"/>
      <c r="AK279" s="37"/>
      <c r="AL279" s="37"/>
      <c r="BA279" s="37"/>
    </row>
    <row r="280" spans="1:53" ht="12.95" customHeight="1">
      <c r="C280"/>
      <c r="D280" s="37" t="s">
        <v>990</v>
      </c>
      <c r="E280" s="37"/>
      <c r="F280" s="37"/>
      <c r="L280" s="1023" t="s">
        <v>991</v>
      </c>
      <c r="M280" s="1023"/>
      <c r="N280" s="1023"/>
      <c r="O280" s="1023"/>
      <c r="P280" s="1023"/>
      <c r="Q280" s="1023"/>
      <c r="R280" s="37" t="s">
        <v>992</v>
      </c>
      <c r="S280" s="37"/>
      <c r="T280" s="1279"/>
      <c r="U280" s="1279"/>
      <c r="V280" s="1279"/>
      <c r="W280" s="37" t="s">
        <v>993</v>
      </c>
      <c r="Y280" s="1023" t="s">
        <v>994</v>
      </c>
      <c r="Z280" s="1023"/>
      <c r="AA280" s="1023"/>
      <c r="AB280" s="1023"/>
      <c r="AC280" s="1023"/>
      <c r="AD280" s="1023"/>
      <c r="BA280" s="37"/>
    </row>
    <row r="281" spans="1:53" ht="12.95" customHeight="1">
      <c r="C281"/>
      <c r="D281" s="37" t="s">
        <v>996</v>
      </c>
      <c r="E281" s="37"/>
      <c r="F281" s="37"/>
      <c r="L281" s="1276" t="s">
        <v>997</v>
      </c>
      <c r="M281" s="1276"/>
      <c r="N281" s="1276"/>
      <c r="O281" s="1276"/>
      <c r="P281" s="1276"/>
      <c r="Q281" s="1276"/>
      <c r="R281" s="1276"/>
      <c r="S281" s="1276"/>
      <c r="T281" s="1276"/>
      <c r="U281" s="1276"/>
      <c r="V281" s="1276"/>
      <c r="W281" s="1276"/>
      <c r="X281" s="1276"/>
      <c r="Y281" s="1276"/>
      <c r="Z281" s="1276"/>
      <c r="AA281" s="1276"/>
      <c r="AB281" s="1276"/>
      <c r="AC281" s="1276"/>
      <c r="AD281" s="1276"/>
      <c r="AF281" s="37"/>
      <c r="AG281" s="37"/>
      <c r="AH281" s="37"/>
      <c r="AI281" s="37"/>
      <c r="AJ281" s="37"/>
      <c r="BA281" s="37"/>
    </row>
    <row r="282" spans="1:53" ht="12.95" customHeight="1">
      <c r="C282"/>
      <c r="D282" s="37" t="s">
        <v>1026</v>
      </c>
      <c r="E282" s="37"/>
      <c r="F282" s="37"/>
      <c r="G282" s="37"/>
      <c r="H282" s="37"/>
      <c r="I282" s="37"/>
      <c r="L282" s="1119" t="s">
        <v>1027</v>
      </c>
      <c r="M282" s="1119"/>
      <c r="N282" s="1119"/>
      <c r="O282" s="1119"/>
      <c r="P282" s="1119"/>
      <c r="Q282" s="1119"/>
      <c r="R282" s="1119"/>
      <c r="S282" s="1119"/>
      <c r="T282" s="1119"/>
      <c r="U282" s="1119"/>
      <c r="V282" s="1119"/>
      <c r="W282" s="1119"/>
      <c r="X282" s="1119"/>
      <c r="Y282" s="1119"/>
      <c r="Z282" s="1119"/>
      <c r="AA282" s="1119"/>
      <c r="AB282" s="1119"/>
      <c r="AC282" s="1119"/>
      <c r="AD282" s="1119"/>
      <c r="AK282" s="37"/>
      <c r="AL282" s="37"/>
      <c r="BA282" s="37"/>
    </row>
    <row r="283" spans="1:53" ht="12.95" customHeight="1">
      <c r="C283"/>
      <c r="L283" s="4" t="s">
        <v>1028</v>
      </c>
      <c r="BA283" s="37"/>
    </row>
    <row r="284" spans="1:53" ht="12.95" customHeight="1">
      <c r="A284" s="1019" t="s">
        <v>1029</v>
      </c>
      <c r="B284" s="1019"/>
      <c r="C284" s="1019"/>
      <c r="D284" s="1019"/>
      <c r="E284" s="1019"/>
      <c r="F284" s="1019"/>
      <c r="G284" s="1019"/>
      <c r="H284" s="1019"/>
      <c r="I284" s="1019"/>
      <c r="J284" s="1019"/>
      <c r="K284" s="1019"/>
      <c r="L284" s="1019"/>
      <c r="M284" s="1019"/>
      <c r="N284" s="1019"/>
      <c r="O284" s="1019"/>
      <c r="P284" s="1019"/>
      <c r="Q284" s="1019"/>
      <c r="R284" s="1019"/>
      <c r="S284" s="1019"/>
      <c r="T284" s="1019"/>
      <c r="U284" s="1019"/>
      <c r="V284" s="1019"/>
      <c r="W284" s="1019"/>
      <c r="X284" s="1019"/>
      <c r="Y284" s="1019"/>
      <c r="Z284" s="1019"/>
      <c r="AA284" s="1019"/>
      <c r="AB284" s="1019"/>
      <c r="AC284" s="1019"/>
      <c r="AD284" s="1019"/>
      <c r="AE284" s="1019"/>
      <c r="AF284" s="1019"/>
      <c r="AG284" s="1019"/>
      <c r="AH284" s="1019"/>
      <c r="AI284" s="1019"/>
      <c r="AJ284" s="1019"/>
      <c r="AK284" s="1019"/>
      <c r="AL284" s="1019"/>
      <c r="AM284" s="1019"/>
      <c r="AN284" s="1019"/>
      <c r="AO284" s="1019"/>
      <c r="AP284" s="1019"/>
      <c r="AQ284" s="1019"/>
      <c r="AR284" s="1019"/>
      <c r="AS284" s="1019"/>
      <c r="AT284" s="1019"/>
      <c r="BA284" s="37"/>
    </row>
    <row r="285" spans="1:53" ht="12.95" customHeight="1">
      <c r="A285" s="1019"/>
      <c r="B285" s="1019"/>
      <c r="C285" s="1019"/>
      <c r="D285" s="1019"/>
      <c r="E285" s="1019"/>
      <c r="F285" s="1019"/>
      <c r="G285" s="1019"/>
      <c r="H285" s="1019"/>
      <c r="I285" s="1019"/>
      <c r="J285" s="1019"/>
      <c r="K285" s="1019"/>
      <c r="L285" s="1019"/>
      <c r="M285" s="1019"/>
      <c r="N285" s="1019"/>
      <c r="O285" s="1019"/>
      <c r="P285" s="1019"/>
      <c r="Q285" s="1019"/>
      <c r="R285" s="1019"/>
      <c r="S285" s="1019"/>
      <c r="T285" s="1019"/>
      <c r="U285" s="1019"/>
      <c r="V285" s="1019"/>
      <c r="W285" s="1019"/>
      <c r="X285" s="1019"/>
      <c r="Y285" s="1019"/>
      <c r="Z285" s="1019"/>
      <c r="AA285" s="1019"/>
      <c r="AB285" s="1019"/>
      <c r="AC285" s="1019"/>
      <c r="AD285" s="1019"/>
      <c r="AE285" s="1019"/>
      <c r="AF285" s="1019"/>
      <c r="AG285" s="1019"/>
      <c r="AH285" s="1019"/>
      <c r="AI285" s="1019"/>
      <c r="AJ285" s="1019"/>
      <c r="AK285" s="1019"/>
      <c r="AL285" s="1019"/>
      <c r="AM285" s="1019"/>
      <c r="AN285" s="1019"/>
      <c r="AO285" s="1019"/>
      <c r="AP285" s="1019"/>
      <c r="AQ285" s="1019"/>
      <c r="AR285" s="1019"/>
      <c r="AS285" s="1019"/>
      <c r="AT285" s="1019"/>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793</v>
      </c>
      <c r="C287" s="3" t="s">
        <v>1030</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1031</v>
      </c>
      <c r="C289" s="37"/>
      <c r="D289" s="37"/>
      <c r="E289" s="37"/>
      <c r="F289" s="37"/>
      <c r="H289" s="1086" t="s">
        <v>1013</v>
      </c>
      <c r="I289" s="1086"/>
      <c r="J289" s="1086"/>
      <c r="K289" s="1086"/>
      <c r="L289" s="1086"/>
      <c r="M289" s="1086"/>
      <c r="N289" s="1086"/>
      <c r="O289" s="1086"/>
      <c r="P289" s="1086"/>
      <c r="Q289" s="1086"/>
      <c r="R289" s="1086"/>
      <c r="T289" s="37" t="s">
        <v>1032</v>
      </c>
      <c r="V289" s="37"/>
      <c r="W289" s="37"/>
      <c r="X289" s="37"/>
      <c r="Y289" s="37"/>
      <c r="AA289" s="1086" t="s">
        <v>1033</v>
      </c>
      <c r="AB289" s="1086"/>
      <c r="AC289" s="1086"/>
      <c r="AD289" s="1086"/>
      <c r="AE289" s="1086"/>
      <c r="AF289" s="1086"/>
      <c r="AG289" s="1086"/>
      <c r="AH289" s="1086"/>
      <c r="AI289" s="1086"/>
      <c r="AJ289" s="1086"/>
      <c r="AK289" s="1086"/>
      <c r="BA289" s="37"/>
    </row>
    <row r="290" spans="2:53" ht="12.95" customHeight="1">
      <c r="B290" s="37" t="s">
        <v>1034</v>
      </c>
      <c r="C290" s="37"/>
      <c r="D290" s="37"/>
      <c r="E290" s="37"/>
      <c r="F290" s="37"/>
      <c r="H290" s="1119" t="s">
        <v>1025</v>
      </c>
      <c r="I290" s="1119"/>
      <c r="J290" s="1119"/>
      <c r="K290" s="1119"/>
      <c r="L290" s="1119"/>
      <c r="M290" s="1119"/>
      <c r="N290" s="1119"/>
      <c r="O290" s="1119"/>
      <c r="P290" s="1119"/>
      <c r="Q290" s="1119"/>
      <c r="R290" s="1119"/>
      <c r="T290" s="37" t="s">
        <v>1034</v>
      </c>
      <c r="V290" s="37"/>
      <c r="W290" s="37"/>
      <c r="X290" s="37"/>
      <c r="Y290" s="37"/>
      <c r="AA290" s="1017" t="s">
        <v>1035</v>
      </c>
      <c r="AB290" s="1017"/>
      <c r="AC290" s="1017"/>
      <c r="AD290" s="1017"/>
      <c r="AE290" s="1017"/>
      <c r="AF290" s="1017"/>
      <c r="AG290" s="1017"/>
      <c r="AH290" s="1017"/>
      <c r="AI290" s="1017"/>
      <c r="AJ290" s="1017"/>
      <c r="AK290" s="1017"/>
      <c r="BA290" s="37"/>
    </row>
    <row r="291" spans="2:53" ht="12.95" customHeight="1">
      <c r="B291" s="37" t="s">
        <v>1036</v>
      </c>
      <c r="C291" s="37"/>
      <c r="D291" s="37"/>
      <c r="E291" s="37"/>
      <c r="F291" s="37"/>
      <c r="H291" s="1119" t="s">
        <v>1037</v>
      </c>
      <c r="I291" s="1119"/>
      <c r="J291" s="1119"/>
      <c r="K291" s="1119"/>
      <c r="L291" s="1119"/>
      <c r="M291" s="1119"/>
      <c r="N291" s="1119"/>
      <c r="O291" s="1119"/>
      <c r="P291" s="1119"/>
      <c r="Q291" s="1119"/>
      <c r="R291" s="1119"/>
      <c r="T291" s="37" t="s">
        <v>1038</v>
      </c>
      <c r="V291" s="37"/>
      <c r="W291" s="37"/>
      <c r="X291" s="37"/>
      <c r="Y291" s="37"/>
      <c r="AA291" s="1017" t="s">
        <v>1039</v>
      </c>
      <c r="AB291" s="1017"/>
      <c r="AC291" s="1017"/>
      <c r="AD291" s="1017"/>
      <c r="AE291" s="1017"/>
      <c r="AF291" s="1017"/>
      <c r="AG291" s="1017"/>
      <c r="AH291" s="1017"/>
      <c r="AI291" s="1017"/>
      <c r="AJ291" s="1017"/>
      <c r="AK291" s="1017"/>
      <c r="BA291" s="37"/>
    </row>
    <row r="292" spans="2:53" ht="12.95" customHeight="1">
      <c r="B292" s="37" t="s">
        <v>988</v>
      </c>
      <c r="C292" s="37"/>
      <c r="D292" s="37"/>
      <c r="E292" s="37"/>
      <c r="F292" s="37"/>
      <c r="H292" s="1017" t="s">
        <v>989</v>
      </c>
      <c r="I292" s="1017"/>
      <c r="J292" s="1017"/>
      <c r="K292" s="1017"/>
      <c r="L292" s="1017"/>
      <c r="M292" s="1017"/>
      <c r="N292" s="1017"/>
      <c r="O292" s="1017"/>
      <c r="P292" s="1017"/>
      <c r="Q292" s="1017"/>
      <c r="R292" s="1017"/>
      <c r="T292" s="37" t="s">
        <v>988</v>
      </c>
      <c r="V292" s="37"/>
      <c r="W292" s="37"/>
      <c r="X292" s="37"/>
      <c r="Y292" s="37"/>
      <c r="AA292" s="1018" t="s">
        <v>1040</v>
      </c>
      <c r="AB292" s="1018"/>
      <c r="AC292" s="1018"/>
      <c r="AD292" s="1018"/>
      <c r="AE292" s="1018"/>
      <c r="AF292" s="1018"/>
      <c r="AG292" s="1018"/>
      <c r="AH292" s="1018"/>
      <c r="AI292" s="1018"/>
      <c r="AJ292" s="1018"/>
      <c r="AK292" s="1018"/>
      <c r="BA292" s="37"/>
    </row>
    <row r="293" spans="2:53" ht="12.95" customHeight="1">
      <c r="B293" s="37" t="s">
        <v>990</v>
      </c>
      <c r="C293" s="37"/>
      <c r="D293" s="37"/>
      <c r="E293" s="37"/>
      <c r="F293" s="37"/>
      <c r="G293" s="37"/>
      <c r="H293" s="1023" t="s">
        <v>991</v>
      </c>
      <c r="I293" s="1023"/>
      <c r="J293" s="1023"/>
      <c r="K293" s="1023"/>
      <c r="L293" s="1023"/>
      <c r="M293" s="1023"/>
      <c r="N293" s="37" t="s">
        <v>992</v>
      </c>
      <c r="O293" s="37"/>
      <c r="P293" s="1016"/>
      <c r="Q293" s="1016"/>
      <c r="R293" s="1016"/>
      <c r="S293" s="37"/>
      <c r="T293" s="37" t="s">
        <v>990</v>
      </c>
      <c r="V293" s="37"/>
      <c r="W293" s="37"/>
      <c r="X293" s="37"/>
      <c r="Y293" s="37"/>
      <c r="AA293" s="1021">
        <v>9252517229</v>
      </c>
      <c r="AB293" s="1021"/>
      <c r="AC293" s="1021"/>
      <c r="AD293" s="1021"/>
      <c r="AE293" s="1021"/>
      <c r="AF293" s="1021"/>
      <c r="AG293" s="37" t="s">
        <v>992</v>
      </c>
      <c r="AH293" s="37"/>
      <c r="AI293" s="1016"/>
      <c r="AJ293" s="1016"/>
      <c r="AK293" s="1016"/>
      <c r="BA293" s="37"/>
    </row>
    <row r="294" spans="2:53" ht="12.95" customHeight="1">
      <c r="B294" s="37" t="s">
        <v>993</v>
      </c>
      <c r="C294" s="37"/>
      <c r="D294" s="37"/>
      <c r="E294" s="37"/>
      <c r="F294" s="37"/>
      <c r="G294" s="37"/>
      <c r="H294" s="1023" t="s">
        <v>994</v>
      </c>
      <c r="I294" s="1023"/>
      <c r="J294" s="1023"/>
      <c r="K294" s="1023"/>
      <c r="L294" s="1023"/>
      <c r="M294" s="1023"/>
      <c r="N294" s="37"/>
      <c r="O294" s="37"/>
      <c r="P294" s="230"/>
      <c r="Q294" s="230"/>
      <c r="R294" s="230"/>
      <c r="S294" s="37"/>
      <c r="T294" s="37" t="s">
        <v>993</v>
      </c>
      <c r="V294" s="37"/>
      <c r="W294" s="37"/>
      <c r="X294" s="37"/>
      <c r="Y294" s="37"/>
      <c r="AA294" s="1024"/>
      <c r="AB294" s="1024"/>
      <c r="AC294" s="1024"/>
      <c r="AD294" s="1024"/>
      <c r="AE294" s="1024"/>
      <c r="AF294" s="1024"/>
      <c r="AG294" s="37"/>
      <c r="AH294" s="37"/>
      <c r="AI294" s="230"/>
      <c r="AJ294" s="230"/>
      <c r="AK294" s="230"/>
      <c r="BA294" s="37"/>
    </row>
    <row r="295" spans="2:53" ht="12.95" customHeight="1">
      <c r="B295" s="37" t="s">
        <v>1041</v>
      </c>
      <c r="C295" s="37"/>
      <c r="D295" s="37"/>
      <c r="E295" s="37"/>
      <c r="F295" s="37"/>
      <c r="G295" s="37"/>
      <c r="H295" s="1022" t="s">
        <v>997</v>
      </c>
      <c r="I295" s="1022"/>
      <c r="J295" s="1022"/>
      <c r="K295" s="1022"/>
      <c r="L295" s="1022"/>
      <c r="M295" s="1022"/>
      <c r="N295" s="1022"/>
      <c r="O295" s="1022"/>
      <c r="P295" s="1022"/>
      <c r="Q295" s="1022"/>
      <c r="R295" s="1022"/>
      <c r="S295" s="37"/>
      <c r="T295" s="37" t="s">
        <v>1041</v>
      </c>
      <c r="V295" s="37"/>
      <c r="W295" s="37"/>
      <c r="X295" s="37"/>
      <c r="Y295" s="37"/>
      <c r="AA295" s="1018" t="s">
        <v>1042</v>
      </c>
      <c r="AB295" s="1018"/>
      <c r="AC295" s="1018"/>
      <c r="AD295" s="1018"/>
      <c r="AE295" s="1018"/>
      <c r="AF295" s="1018"/>
      <c r="AG295" s="1020"/>
      <c r="AH295" s="1020"/>
      <c r="AI295" s="1020"/>
      <c r="AJ295" s="1020"/>
      <c r="AK295" s="1020"/>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1043</v>
      </c>
      <c r="C297" s="37"/>
      <c r="D297" s="37"/>
      <c r="E297" s="37"/>
      <c r="F297" s="37"/>
      <c r="H297" s="1116" t="s">
        <v>1044</v>
      </c>
      <c r="I297" s="1020"/>
      <c r="J297" s="1020"/>
      <c r="K297" s="1020"/>
      <c r="L297" s="1020"/>
      <c r="M297" s="1020"/>
      <c r="N297" s="1020"/>
      <c r="O297" s="1020"/>
      <c r="P297" s="1020"/>
      <c r="Q297" s="1020"/>
      <c r="R297" s="1020"/>
      <c r="T297" s="37" t="s">
        <v>1045</v>
      </c>
      <c r="V297" s="37"/>
      <c r="W297" s="37"/>
      <c r="X297" s="37"/>
      <c r="Y297" s="37"/>
      <c r="AA297" s="1020" t="s">
        <v>1046</v>
      </c>
      <c r="AB297" s="1020"/>
      <c r="AC297" s="1020"/>
      <c r="AD297" s="1020"/>
      <c r="AE297" s="1020"/>
      <c r="AF297" s="1020"/>
      <c r="AG297" s="1020"/>
      <c r="AH297" s="1020"/>
      <c r="AI297" s="1020"/>
      <c r="AJ297" s="1020"/>
      <c r="AK297" s="1020"/>
      <c r="BA297" s="37"/>
    </row>
    <row r="298" spans="2:53" ht="12.95" customHeight="1">
      <c r="B298" s="37" t="s">
        <v>1034</v>
      </c>
      <c r="C298" s="37"/>
      <c r="D298" s="37"/>
      <c r="E298" s="37"/>
      <c r="F298" s="37"/>
      <c r="H298" s="1018" t="s">
        <v>1047</v>
      </c>
      <c r="I298" s="1018"/>
      <c r="J298" s="1018"/>
      <c r="K298" s="1018"/>
      <c r="L298" s="1018"/>
      <c r="M298" s="1018"/>
      <c r="N298" s="1018"/>
      <c r="O298" s="1018"/>
      <c r="P298" s="1018"/>
      <c r="Q298" s="1018"/>
      <c r="R298" s="1018"/>
      <c r="T298" s="37" t="s">
        <v>1034</v>
      </c>
      <c r="V298" s="37"/>
      <c r="W298" s="37"/>
      <c r="X298" s="37"/>
      <c r="Y298" s="37"/>
      <c r="AA298" s="1018" t="s">
        <v>1048</v>
      </c>
      <c r="AB298" s="1018"/>
      <c r="AC298" s="1018"/>
      <c r="AD298" s="1018"/>
      <c r="AE298" s="1018"/>
      <c r="AF298" s="1018"/>
      <c r="AG298" s="1018"/>
      <c r="AH298" s="1018"/>
      <c r="AI298" s="1018"/>
      <c r="AJ298" s="1018"/>
      <c r="AK298" s="1018"/>
      <c r="BA298" s="37"/>
    </row>
    <row r="299" spans="2:53" ht="12.95" customHeight="1">
      <c r="B299" s="37" t="s">
        <v>1036</v>
      </c>
      <c r="C299" s="37"/>
      <c r="D299" s="37"/>
      <c r="E299" s="37"/>
      <c r="F299" s="37"/>
      <c r="H299" s="1018" t="s">
        <v>1049</v>
      </c>
      <c r="I299" s="1018"/>
      <c r="J299" s="1018"/>
      <c r="K299" s="1018"/>
      <c r="L299" s="1018"/>
      <c r="M299" s="1018"/>
      <c r="N299" s="1018"/>
      <c r="O299" s="1018"/>
      <c r="P299" s="1018"/>
      <c r="Q299" s="1018"/>
      <c r="R299" s="1018"/>
      <c r="T299" s="37" t="s">
        <v>1038</v>
      </c>
      <c r="V299" s="37"/>
      <c r="W299" s="37"/>
      <c r="X299" s="37"/>
      <c r="Y299" s="37"/>
      <c r="AA299" s="1018" t="s">
        <v>1050</v>
      </c>
      <c r="AB299" s="1018"/>
      <c r="AC299" s="1018"/>
      <c r="AD299" s="1018"/>
      <c r="AE299" s="1018"/>
      <c r="AF299" s="1018"/>
      <c r="AG299" s="1018"/>
      <c r="AH299" s="1018"/>
      <c r="AI299" s="1018"/>
      <c r="AJ299" s="1018"/>
      <c r="AK299" s="1018"/>
      <c r="BA299" s="37"/>
    </row>
    <row r="300" spans="2:53" ht="12.95" customHeight="1">
      <c r="B300" s="37" t="s">
        <v>988</v>
      </c>
      <c r="C300" s="37"/>
      <c r="D300" s="37"/>
      <c r="E300" s="37"/>
      <c r="F300" s="37"/>
      <c r="H300" s="1018" t="s">
        <v>1051</v>
      </c>
      <c r="I300" s="1018"/>
      <c r="J300" s="1018"/>
      <c r="K300" s="1018"/>
      <c r="L300" s="1018"/>
      <c r="M300" s="1018"/>
      <c r="N300" s="1018"/>
      <c r="O300" s="1018"/>
      <c r="P300" s="1018"/>
      <c r="Q300" s="1018"/>
      <c r="R300" s="1018"/>
      <c r="T300" s="37" t="s">
        <v>988</v>
      </c>
      <c r="V300" s="37"/>
      <c r="W300" s="37"/>
      <c r="X300" s="37"/>
      <c r="Y300" s="37"/>
      <c r="AA300" s="1018" t="s">
        <v>1052</v>
      </c>
      <c r="AB300" s="1018"/>
      <c r="AC300" s="1018"/>
      <c r="AD300" s="1018"/>
      <c r="AE300" s="1018"/>
      <c r="AF300" s="1018"/>
      <c r="AG300" s="1018"/>
      <c r="AH300" s="1018"/>
      <c r="AI300" s="1018"/>
      <c r="AJ300" s="1018"/>
      <c r="AK300" s="1018"/>
      <c r="BA300" s="37"/>
    </row>
    <row r="301" spans="2:53" ht="12.95" customHeight="1">
      <c r="B301" s="37" t="s">
        <v>990</v>
      </c>
      <c r="C301" s="37"/>
      <c r="D301" s="37"/>
      <c r="E301" s="37"/>
      <c r="F301" s="37"/>
      <c r="G301" s="37"/>
      <c r="H301" s="1021">
        <v>5104336644</v>
      </c>
      <c r="I301" s="1021"/>
      <c r="J301" s="1021"/>
      <c r="K301" s="1021"/>
      <c r="L301" s="1021"/>
      <c r="M301" s="1021"/>
      <c r="N301" s="37" t="s">
        <v>992</v>
      </c>
      <c r="O301" s="37"/>
      <c r="P301" s="1016"/>
      <c r="Q301" s="1016"/>
      <c r="R301" s="1016"/>
      <c r="S301" s="37"/>
      <c r="T301" s="37" t="s">
        <v>990</v>
      </c>
      <c r="V301" s="37"/>
      <c r="W301" s="37"/>
      <c r="X301" s="37"/>
      <c r="Y301" s="37"/>
      <c r="AA301" s="1021">
        <v>8312611848</v>
      </c>
      <c r="AB301" s="1021"/>
      <c r="AC301" s="1021"/>
      <c r="AD301" s="1021"/>
      <c r="AE301" s="1021"/>
      <c r="AF301" s="1021"/>
      <c r="AG301" s="37" t="s">
        <v>992</v>
      </c>
      <c r="AH301" s="37"/>
      <c r="AI301" s="1016"/>
      <c r="AJ301" s="1016"/>
      <c r="AK301" s="1016"/>
      <c r="BA301" s="37"/>
    </row>
    <row r="302" spans="2:53" ht="12.95" customHeight="1">
      <c r="B302" s="37" t="s">
        <v>993</v>
      </c>
      <c r="C302" s="37"/>
      <c r="D302" s="37"/>
      <c r="E302" s="37"/>
      <c r="F302" s="37"/>
      <c r="G302" s="37"/>
      <c r="H302" s="1024"/>
      <c r="I302" s="1024"/>
      <c r="J302" s="1024"/>
      <c r="K302" s="1024"/>
      <c r="L302" s="1024"/>
      <c r="M302" s="1024"/>
      <c r="N302" s="37"/>
      <c r="O302" s="37"/>
      <c r="P302" s="230"/>
      <c r="Q302" s="230"/>
      <c r="R302" s="230"/>
      <c r="S302" s="37"/>
      <c r="T302" s="37" t="s">
        <v>993</v>
      </c>
      <c r="V302" s="37"/>
      <c r="W302" s="37"/>
      <c r="X302" s="37"/>
      <c r="Y302" s="37"/>
      <c r="AA302" s="1024"/>
      <c r="AB302" s="1024"/>
      <c r="AC302" s="1024"/>
      <c r="AD302" s="1024"/>
      <c r="AE302" s="1024"/>
      <c r="AF302" s="1024"/>
      <c r="AG302" s="37"/>
      <c r="AH302" s="37"/>
      <c r="AI302" s="230"/>
      <c r="AJ302" s="230"/>
      <c r="AK302" s="230"/>
      <c r="BA302" s="37"/>
    </row>
    <row r="303" spans="2:53" ht="12.95" customHeight="1">
      <c r="B303" s="37" t="s">
        <v>1041</v>
      </c>
      <c r="C303" s="37"/>
      <c r="D303" s="37"/>
      <c r="E303" s="37"/>
      <c r="F303" s="37"/>
      <c r="G303" s="37"/>
      <c r="H303" s="1018" t="s">
        <v>1053</v>
      </c>
      <c r="I303" s="1018"/>
      <c r="J303" s="1018"/>
      <c r="K303" s="1018"/>
      <c r="L303" s="1018"/>
      <c r="M303" s="1018"/>
      <c r="N303" s="1020"/>
      <c r="O303" s="1020"/>
      <c r="P303" s="1020"/>
      <c r="Q303" s="1020"/>
      <c r="R303" s="1020"/>
      <c r="S303" s="37"/>
      <c r="T303" s="37" t="s">
        <v>1041</v>
      </c>
      <c r="V303" s="37"/>
      <c r="W303" s="37"/>
      <c r="X303" s="37"/>
      <c r="Y303" s="37"/>
      <c r="AA303" s="1018" t="s">
        <v>1054</v>
      </c>
      <c r="AB303" s="1018"/>
      <c r="AC303" s="1018"/>
      <c r="AD303" s="1018"/>
      <c r="AE303" s="1018"/>
      <c r="AF303" s="1018"/>
      <c r="AG303" s="1020"/>
      <c r="AH303" s="1020"/>
      <c r="AI303" s="1020"/>
      <c r="AJ303" s="1020"/>
      <c r="AK303" s="1020"/>
      <c r="BA303" s="37"/>
    </row>
    <row r="304" spans="2:53" ht="12.95" customHeight="1">
      <c r="C304"/>
      <c r="BA304" s="37"/>
    </row>
    <row r="305" spans="2:53" ht="12.95" customHeight="1">
      <c r="B305" s="37" t="s">
        <v>1055</v>
      </c>
      <c r="C305" s="37"/>
      <c r="D305" s="37"/>
      <c r="E305" s="37"/>
      <c r="F305" s="37"/>
      <c r="H305" s="1020" t="s">
        <v>1044</v>
      </c>
      <c r="I305" s="1020"/>
      <c r="J305" s="1020"/>
      <c r="K305" s="1020"/>
      <c r="L305" s="1020"/>
      <c r="M305" s="1020"/>
      <c r="N305" s="1020"/>
      <c r="O305" s="1020"/>
      <c r="P305" s="1020"/>
      <c r="Q305" s="1020"/>
      <c r="R305" s="1020"/>
      <c r="T305" s="37" t="s">
        <v>1056</v>
      </c>
      <c r="V305" s="37"/>
      <c r="W305" s="37"/>
      <c r="X305" s="37"/>
      <c r="Y305" s="37"/>
      <c r="AA305" s="1020" t="s">
        <v>1057</v>
      </c>
      <c r="AB305" s="1020"/>
      <c r="AC305" s="1020"/>
      <c r="AD305" s="1020"/>
      <c r="AE305" s="1020"/>
      <c r="AF305" s="1020"/>
      <c r="AG305" s="1020"/>
      <c r="AH305" s="1020"/>
      <c r="AI305" s="1020"/>
      <c r="AJ305" s="1020"/>
      <c r="AK305" s="1020"/>
      <c r="BA305" s="37"/>
    </row>
    <row r="306" spans="2:53" ht="12.95" customHeight="1">
      <c r="B306" s="37" t="s">
        <v>1034</v>
      </c>
      <c r="C306" s="37"/>
      <c r="D306" s="37"/>
      <c r="E306" s="37"/>
      <c r="F306" s="37"/>
      <c r="H306" s="1018" t="s">
        <v>1047</v>
      </c>
      <c r="I306" s="1018"/>
      <c r="J306" s="1018"/>
      <c r="K306" s="1018"/>
      <c r="L306" s="1018"/>
      <c r="M306" s="1018"/>
      <c r="N306" s="1018"/>
      <c r="O306" s="1018"/>
      <c r="P306" s="1018"/>
      <c r="Q306" s="1018"/>
      <c r="R306" s="1018"/>
      <c r="T306" s="37" t="s">
        <v>1034</v>
      </c>
      <c r="V306" s="37"/>
      <c r="W306" s="37"/>
      <c r="X306" s="37"/>
      <c r="Y306" s="37"/>
      <c r="AA306" s="1018" t="s">
        <v>1058</v>
      </c>
      <c r="AB306" s="1018"/>
      <c r="AC306" s="1018"/>
      <c r="AD306" s="1018"/>
      <c r="AE306" s="1018"/>
      <c r="AF306" s="1018"/>
      <c r="AG306" s="1018"/>
      <c r="AH306" s="1018"/>
      <c r="AI306" s="1018"/>
      <c r="AJ306" s="1018"/>
      <c r="AK306" s="1018"/>
      <c r="BA306" s="37"/>
    </row>
    <row r="307" spans="2:53" ht="12.95" customHeight="1">
      <c r="B307" s="37" t="s">
        <v>1036</v>
      </c>
      <c r="C307" s="37"/>
      <c r="D307" s="37"/>
      <c r="E307" s="37"/>
      <c r="F307" s="37"/>
      <c r="H307" s="1018" t="s">
        <v>1049</v>
      </c>
      <c r="I307" s="1018"/>
      <c r="J307" s="1018"/>
      <c r="K307" s="1018"/>
      <c r="L307" s="1018"/>
      <c r="M307" s="1018"/>
      <c r="N307" s="1018"/>
      <c r="O307" s="1018"/>
      <c r="P307" s="1018"/>
      <c r="Q307" s="1018"/>
      <c r="R307" s="1018"/>
      <c r="T307" s="37" t="s">
        <v>1038</v>
      </c>
      <c r="V307" s="37"/>
      <c r="W307" s="37"/>
      <c r="X307" s="37"/>
      <c r="Y307" s="37"/>
      <c r="AA307" s="1018" t="s">
        <v>1059</v>
      </c>
      <c r="AB307" s="1018"/>
      <c r="AC307" s="1018"/>
      <c r="AD307" s="1018"/>
      <c r="AE307" s="1018"/>
      <c r="AF307" s="1018"/>
      <c r="AG307" s="1018"/>
      <c r="AH307" s="1018"/>
      <c r="AI307" s="1018"/>
      <c r="AJ307" s="1018"/>
      <c r="AK307" s="1018"/>
      <c r="BA307" s="37"/>
    </row>
    <row r="308" spans="2:53" ht="12.95" customHeight="1">
      <c r="B308" s="37" t="s">
        <v>988</v>
      </c>
      <c r="C308" s="37"/>
      <c r="D308" s="37"/>
      <c r="E308" s="37"/>
      <c r="F308" s="37"/>
      <c r="H308" s="1018" t="s">
        <v>1051</v>
      </c>
      <c r="I308" s="1018"/>
      <c r="J308" s="1018"/>
      <c r="K308" s="1018"/>
      <c r="L308" s="1018"/>
      <c r="M308" s="1018"/>
      <c r="N308" s="1018"/>
      <c r="O308" s="1018"/>
      <c r="P308" s="1018"/>
      <c r="Q308" s="1018"/>
      <c r="R308" s="1018"/>
      <c r="T308" s="37" t="s">
        <v>988</v>
      </c>
      <c r="V308" s="37"/>
      <c r="W308" s="37"/>
      <c r="X308" s="37"/>
      <c r="Y308" s="37"/>
      <c r="AA308" s="1018" t="s">
        <v>1060</v>
      </c>
      <c r="AB308" s="1018"/>
      <c r="AC308" s="1018"/>
      <c r="AD308" s="1018"/>
      <c r="AE308" s="1018"/>
      <c r="AF308" s="1018"/>
      <c r="AG308" s="1018"/>
      <c r="AH308" s="1018"/>
      <c r="AI308" s="1018"/>
      <c r="AJ308" s="1018"/>
      <c r="AK308" s="1018"/>
      <c r="BA308" s="37"/>
    </row>
    <row r="309" spans="2:53" ht="12.95" customHeight="1">
      <c r="B309" s="37" t="s">
        <v>990</v>
      </c>
      <c r="C309" s="37"/>
      <c r="D309" s="37"/>
      <c r="E309" s="37"/>
      <c r="F309" s="37"/>
      <c r="G309" s="37"/>
      <c r="H309" s="1021">
        <v>5104336644</v>
      </c>
      <c r="I309" s="1021"/>
      <c r="J309" s="1021"/>
      <c r="K309" s="1021"/>
      <c r="L309" s="1021"/>
      <c r="M309" s="1021"/>
      <c r="N309" s="37" t="s">
        <v>992</v>
      </c>
      <c r="O309" s="37"/>
      <c r="P309" s="1016"/>
      <c r="Q309" s="1016"/>
      <c r="R309" s="1016"/>
      <c r="S309" s="37"/>
      <c r="T309" s="37" t="s">
        <v>990</v>
      </c>
      <c r="V309" s="37"/>
      <c r="W309" s="37"/>
      <c r="X309" s="37"/>
      <c r="Y309" s="37"/>
      <c r="AA309" s="1021">
        <v>9494133426</v>
      </c>
      <c r="AB309" s="1021"/>
      <c r="AC309" s="1021"/>
      <c r="AD309" s="1021"/>
      <c r="AE309" s="1021"/>
      <c r="AF309" s="1021"/>
      <c r="AG309" s="37" t="s">
        <v>992</v>
      </c>
      <c r="AH309" s="37"/>
      <c r="AI309" s="1016"/>
      <c r="AJ309" s="1016"/>
      <c r="AK309" s="1016"/>
      <c r="BA309" s="37"/>
    </row>
    <row r="310" spans="2:53" ht="12.95" customHeight="1">
      <c r="B310" s="37" t="s">
        <v>993</v>
      </c>
      <c r="C310" s="37"/>
      <c r="D310" s="37"/>
      <c r="E310" s="37"/>
      <c r="F310" s="37"/>
      <c r="G310" s="37"/>
      <c r="H310" s="1024"/>
      <c r="I310" s="1024"/>
      <c r="J310" s="1024"/>
      <c r="K310" s="1024"/>
      <c r="L310" s="1024"/>
      <c r="M310" s="1024"/>
      <c r="N310" s="37"/>
      <c r="O310" s="37"/>
      <c r="P310" s="230"/>
      <c r="Q310" s="230"/>
      <c r="R310" s="230"/>
      <c r="S310" s="37"/>
      <c r="T310" s="37" t="s">
        <v>993</v>
      </c>
      <c r="V310" s="37"/>
      <c r="W310" s="37"/>
      <c r="X310" s="37"/>
      <c r="Y310" s="37"/>
      <c r="AA310" s="1024"/>
      <c r="AB310" s="1024"/>
      <c r="AC310" s="1024"/>
      <c r="AD310" s="1024"/>
      <c r="AE310" s="1024"/>
      <c r="AF310" s="1024"/>
      <c r="AG310" s="37"/>
      <c r="AH310" s="37"/>
      <c r="AI310" s="230"/>
      <c r="AJ310" s="230"/>
      <c r="AK310" s="230"/>
      <c r="BA310" s="37"/>
    </row>
    <row r="311" spans="2:53" ht="12.95" customHeight="1">
      <c r="B311" s="37" t="s">
        <v>1041</v>
      </c>
      <c r="C311" s="37"/>
      <c r="D311" s="37"/>
      <c r="E311" s="37"/>
      <c r="F311" s="37"/>
      <c r="G311" s="37"/>
      <c r="H311" s="1018" t="s">
        <v>1053</v>
      </c>
      <c r="I311" s="1018"/>
      <c r="J311" s="1018"/>
      <c r="K311" s="1018"/>
      <c r="L311" s="1018"/>
      <c r="M311" s="1018"/>
      <c r="N311" s="1020"/>
      <c r="O311" s="1020"/>
      <c r="P311" s="1020"/>
      <c r="Q311" s="1020"/>
      <c r="R311" s="1020"/>
      <c r="S311" s="37"/>
      <c r="T311" s="37" t="s">
        <v>1041</v>
      </c>
      <c r="V311" s="37"/>
      <c r="W311" s="37"/>
      <c r="X311" s="37"/>
      <c r="Y311" s="37"/>
      <c r="AA311" s="1018" t="s">
        <v>1061</v>
      </c>
      <c r="AB311" s="1018"/>
      <c r="AC311" s="1018"/>
      <c r="AD311" s="1018"/>
      <c r="AE311" s="1018"/>
      <c r="AF311" s="1018"/>
      <c r="AG311" s="1020"/>
      <c r="AH311" s="1020"/>
      <c r="AI311" s="1020"/>
      <c r="AJ311" s="1020"/>
      <c r="AK311" s="1020"/>
      <c r="BA311" s="37"/>
    </row>
    <row r="312" spans="2:53" ht="12.95" customHeight="1">
      <c r="C312"/>
      <c r="BA312" s="37"/>
    </row>
    <row r="313" spans="2:53" ht="12.95" customHeight="1">
      <c r="B313" s="37" t="s">
        <v>1062</v>
      </c>
      <c r="C313" s="37"/>
      <c r="D313" s="37"/>
      <c r="E313" s="37"/>
      <c r="F313" s="37"/>
      <c r="H313" s="1022" t="s">
        <v>1063</v>
      </c>
      <c r="I313" s="1022"/>
      <c r="J313" s="1022"/>
      <c r="K313" s="1022"/>
      <c r="L313" s="1022"/>
      <c r="M313" s="1022"/>
      <c r="N313" s="1022"/>
      <c r="O313" s="1022"/>
      <c r="P313" s="1022"/>
      <c r="Q313" s="1022"/>
      <c r="R313" s="1022"/>
      <c r="T313" s="37" t="s">
        <v>1064</v>
      </c>
      <c r="V313" s="37"/>
      <c r="W313" s="37"/>
      <c r="X313" s="37"/>
      <c r="Y313" s="37"/>
      <c r="AA313" s="1022" t="s">
        <v>1065</v>
      </c>
      <c r="AB313" s="1022"/>
      <c r="AC313" s="1022"/>
      <c r="AD313" s="1022"/>
      <c r="AE313" s="1022"/>
      <c r="AF313" s="1022"/>
      <c r="AG313" s="1022"/>
      <c r="AH313" s="1022"/>
      <c r="AI313" s="1022"/>
      <c r="AJ313" s="1022"/>
      <c r="AK313" s="1022"/>
      <c r="BA313" s="37"/>
    </row>
    <row r="314" spans="2:53" ht="12.95" customHeight="1">
      <c r="B314" s="37" t="s">
        <v>1034</v>
      </c>
      <c r="C314" s="37"/>
      <c r="D314" s="37"/>
      <c r="E314" s="37"/>
      <c r="F314" s="37"/>
      <c r="H314" s="1017" t="s">
        <v>1066</v>
      </c>
      <c r="I314" s="1017"/>
      <c r="J314" s="1017"/>
      <c r="K314" s="1017"/>
      <c r="L314" s="1017"/>
      <c r="M314" s="1017"/>
      <c r="N314" s="1017"/>
      <c r="O314" s="1017"/>
      <c r="P314" s="1017"/>
      <c r="Q314" s="1017"/>
      <c r="R314" s="1017"/>
      <c r="T314" s="37" t="s">
        <v>1034</v>
      </c>
      <c r="V314" s="37"/>
      <c r="W314" s="37"/>
      <c r="X314" s="37"/>
      <c r="Y314" s="37"/>
      <c r="AA314" s="1018"/>
      <c r="AB314" s="1018"/>
      <c r="AC314" s="1018"/>
      <c r="AD314" s="1018"/>
      <c r="AE314" s="1018"/>
      <c r="AF314" s="1018"/>
      <c r="AG314" s="1018"/>
      <c r="AH314" s="1018"/>
      <c r="AI314" s="1018"/>
      <c r="AJ314" s="1018"/>
      <c r="AK314" s="1018"/>
      <c r="BA314" s="37"/>
    </row>
    <row r="315" spans="2:53" ht="12.95" customHeight="1">
      <c r="B315" s="37" t="s">
        <v>1036</v>
      </c>
      <c r="C315" s="37"/>
      <c r="D315" s="37"/>
      <c r="E315" s="37"/>
      <c r="F315" s="37"/>
      <c r="H315" s="1017" t="s">
        <v>1067</v>
      </c>
      <c r="I315" s="1017"/>
      <c r="J315" s="1017"/>
      <c r="K315" s="1017"/>
      <c r="L315" s="1017"/>
      <c r="M315" s="1017"/>
      <c r="N315" s="1017"/>
      <c r="O315" s="1017"/>
      <c r="P315" s="1017"/>
      <c r="Q315" s="1017"/>
      <c r="R315" s="1017"/>
      <c r="T315" s="37" t="s">
        <v>1038</v>
      </c>
      <c r="V315" s="37"/>
      <c r="W315" s="37"/>
      <c r="X315" s="37"/>
      <c r="Y315" s="37"/>
      <c r="AA315" s="1018"/>
      <c r="AB315" s="1018"/>
      <c r="AC315" s="1018"/>
      <c r="AD315" s="1018"/>
      <c r="AE315" s="1018"/>
      <c r="AF315" s="1018"/>
      <c r="AG315" s="1018"/>
      <c r="AH315" s="1018"/>
      <c r="AI315" s="1018"/>
      <c r="AJ315" s="1018"/>
      <c r="AK315" s="1018"/>
      <c r="BA315" s="37"/>
    </row>
    <row r="316" spans="2:53" ht="12.95" customHeight="1">
      <c r="B316" s="37" t="s">
        <v>988</v>
      </c>
      <c r="C316" s="37"/>
      <c r="D316" s="37"/>
      <c r="E316" s="37"/>
      <c r="F316" s="37"/>
      <c r="H316" s="1017" t="s">
        <v>1068</v>
      </c>
      <c r="I316" s="1017"/>
      <c r="J316" s="1017"/>
      <c r="K316" s="1017"/>
      <c r="L316" s="1017"/>
      <c r="M316" s="1017"/>
      <c r="N316" s="1017"/>
      <c r="O316" s="1017"/>
      <c r="P316" s="1017"/>
      <c r="Q316" s="1017"/>
      <c r="R316" s="1017"/>
      <c r="T316" s="37" t="s">
        <v>988</v>
      </c>
      <c r="V316" s="37"/>
      <c r="W316" s="37"/>
      <c r="X316" s="37"/>
      <c r="Y316" s="37"/>
      <c r="AA316" s="1018"/>
      <c r="AB316" s="1018"/>
      <c r="AC316" s="1018"/>
      <c r="AD316" s="1018"/>
      <c r="AE316" s="1018"/>
      <c r="AF316" s="1018"/>
      <c r="AG316" s="1018"/>
      <c r="AH316" s="1018"/>
      <c r="AI316" s="1018"/>
      <c r="AJ316" s="1018"/>
      <c r="AK316" s="1018"/>
      <c r="BA316" s="37"/>
    </row>
    <row r="317" spans="2:53" ht="12.95" customHeight="1">
      <c r="B317" s="37" t="s">
        <v>990</v>
      </c>
      <c r="C317" s="37"/>
      <c r="D317" s="37"/>
      <c r="E317" s="37"/>
      <c r="F317" s="37"/>
      <c r="G317" s="37"/>
      <c r="H317" s="1298" t="s">
        <v>1069</v>
      </c>
      <c r="I317" s="1298"/>
      <c r="J317" s="1298"/>
      <c r="K317" s="1298"/>
      <c r="L317" s="1298"/>
      <c r="M317" s="1298"/>
      <c r="N317" s="37" t="s">
        <v>992</v>
      </c>
      <c r="O317" s="37"/>
      <c r="P317" s="1016"/>
      <c r="Q317" s="1016"/>
      <c r="R317" s="1016"/>
      <c r="S317" s="37"/>
      <c r="T317" s="37" t="s">
        <v>990</v>
      </c>
      <c r="V317" s="37"/>
      <c r="W317" s="37"/>
      <c r="X317" s="37"/>
      <c r="Y317" s="37"/>
      <c r="AA317" s="1021"/>
      <c r="AB317" s="1021"/>
      <c r="AC317" s="1021"/>
      <c r="AD317" s="1021"/>
      <c r="AE317" s="1021"/>
      <c r="AF317" s="1021"/>
      <c r="AG317" s="37" t="s">
        <v>992</v>
      </c>
      <c r="AH317" s="37"/>
      <c r="AI317" s="1016"/>
      <c r="AJ317" s="1016"/>
      <c r="AK317" s="1016"/>
      <c r="BA317" s="37"/>
    </row>
    <row r="318" spans="2:53" ht="12.95" customHeight="1">
      <c r="B318" s="37" t="s">
        <v>993</v>
      </c>
      <c r="C318" s="37"/>
      <c r="D318" s="37"/>
      <c r="E318" s="37"/>
      <c r="F318" s="37"/>
      <c r="G318" s="37"/>
      <c r="H318" s="1298" t="s">
        <v>1070</v>
      </c>
      <c r="I318" s="1298"/>
      <c r="J318" s="1298"/>
      <c r="K318" s="1298"/>
      <c r="L318" s="1298"/>
      <c r="M318" s="1298"/>
      <c r="N318" s="37"/>
      <c r="O318" s="37"/>
      <c r="P318" s="230"/>
      <c r="Q318" s="230"/>
      <c r="R318" s="230"/>
      <c r="S318" s="37"/>
      <c r="T318" s="37" t="s">
        <v>993</v>
      </c>
      <c r="V318" s="37"/>
      <c r="W318" s="37"/>
      <c r="X318" s="37"/>
      <c r="Y318" s="37"/>
      <c r="AA318" s="1024"/>
      <c r="AB318" s="1024"/>
      <c r="AC318" s="1024"/>
      <c r="AD318" s="1024"/>
      <c r="AE318" s="1024"/>
      <c r="AF318" s="1024"/>
      <c r="AG318" s="37"/>
      <c r="AH318" s="37"/>
      <c r="AI318" s="230"/>
      <c r="AJ318" s="230"/>
      <c r="AK318" s="230"/>
      <c r="BA318" s="37"/>
    </row>
    <row r="319" spans="2:53" ht="12.95" customHeight="1">
      <c r="B319" s="37" t="s">
        <v>1041</v>
      </c>
      <c r="C319" s="37"/>
      <c r="D319" s="37"/>
      <c r="E319" s="37"/>
      <c r="F319" s="37"/>
      <c r="G319" s="37"/>
      <c r="H319" s="1022" t="s">
        <v>1071</v>
      </c>
      <c r="I319" s="1022"/>
      <c r="J319" s="1022"/>
      <c r="K319" s="1022"/>
      <c r="L319" s="1022"/>
      <c r="M319" s="1022"/>
      <c r="N319" s="1022"/>
      <c r="O319" s="1022"/>
      <c r="P319" s="1022"/>
      <c r="Q319" s="1022"/>
      <c r="R319" s="1022"/>
      <c r="S319" s="37"/>
      <c r="T319" s="37" t="s">
        <v>1041</v>
      </c>
      <c r="V319" s="37"/>
      <c r="W319" s="37"/>
      <c r="X319" s="37"/>
      <c r="Y319" s="37"/>
      <c r="AA319" s="1018"/>
      <c r="AB319" s="1018"/>
      <c r="AC319" s="1018"/>
      <c r="AD319" s="1018"/>
      <c r="AE319" s="1018"/>
      <c r="AF319" s="1018"/>
      <c r="AG319" s="1020"/>
      <c r="AH319" s="1020"/>
      <c r="AI319" s="1020"/>
      <c r="AJ319" s="1020"/>
      <c r="AK319" s="1020"/>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1072</v>
      </c>
      <c r="C321" s="37"/>
      <c r="D321" s="37"/>
      <c r="E321" s="37"/>
      <c r="F321" s="37"/>
      <c r="H321" s="1022" t="s">
        <v>1073</v>
      </c>
      <c r="I321" s="1022"/>
      <c r="J321" s="1022"/>
      <c r="K321" s="1022"/>
      <c r="L321" s="1022"/>
      <c r="M321" s="1022"/>
      <c r="N321" s="1022"/>
      <c r="O321" s="1022"/>
      <c r="P321" s="1022"/>
      <c r="Q321" s="1022"/>
      <c r="R321" s="1022"/>
      <c r="T321" s="37" t="s">
        <v>1074</v>
      </c>
      <c r="V321" s="37"/>
      <c r="W321" s="37"/>
      <c r="X321" s="37"/>
      <c r="Y321" s="37"/>
      <c r="AA321" s="1061" t="s">
        <v>1075</v>
      </c>
      <c r="AB321" s="1020"/>
      <c r="AC321" s="1020"/>
      <c r="AD321" s="1020"/>
      <c r="AE321" s="1020"/>
      <c r="AF321" s="1020"/>
      <c r="AG321" s="1020"/>
      <c r="AH321" s="1020"/>
      <c r="AI321" s="1020"/>
      <c r="AJ321" s="1020"/>
      <c r="AK321" s="1020"/>
      <c r="BA321" s="37"/>
    </row>
    <row r="322" spans="2:53" ht="12.95" customHeight="1">
      <c r="B322" s="37" t="s">
        <v>1034</v>
      </c>
      <c r="C322" s="37"/>
      <c r="D322" s="37"/>
      <c r="E322" s="37"/>
      <c r="F322" s="37"/>
      <c r="H322" s="1119" t="s">
        <v>1076</v>
      </c>
      <c r="I322" s="1017"/>
      <c r="J322" s="1017"/>
      <c r="K322" s="1017"/>
      <c r="L322" s="1017"/>
      <c r="M322" s="1017"/>
      <c r="N322" s="1017"/>
      <c r="O322" s="1017"/>
      <c r="P322" s="1017"/>
      <c r="Q322" s="1017"/>
      <c r="R322" s="1017"/>
      <c r="T322" s="37" t="s">
        <v>1034</v>
      </c>
      <c r="V322" s="37"/>
      <c r="W322" s="37"/>
      <c r="X322" s="37"/>
      <c r="Y322" s="37"/>
      <c r="AA322" s="1018" t="s">
        <v>1077</v>
      </c>
      <c r="AB322" s="1018"/>
      <c r="AC322" s="1018"/>
      <c r="AD322" s="1018"/>
      <c r="AE322" s="1018"/>
      <c r="AF322" s="1018"/>
      <c r="AG322" s="1018"/>
      <c r="AH322" s="1018"/>
      <c r="AI322" s="1018"/>
      <c r="AJ322" s="1018"/>
      <c r="AK322" s="1018"/>
      <c r="BA322" s="37"/>
    </row>
    <row r="323" spans="2:53" ht="12.95" customHeight="1">
      <c r="B323" s="37" t="s">
        <v>1036</v>
      </c>
      <c r="C323" s="37"/>
      <c r="D323" s="37"/>
      <c r="E323" s="37"/>
      <c r="F323" s="37"/>
      <c r="H323" s="1119" t="s">
        <v>1067</v>
      </c>
      <c r="I323" s="1017"/>
      <c r="J323" s="1017"/>
      <c r="K323" s="1017"/>
      <c r="L323" s="1017"/>
      <c r="M323" s="1017"/>
      <c r="N323" s="1017"/>
      <c r="O323" s="1017"/>
      <c r="P323" s="1017"/>
      <c r="Q323" s="1017"/>
      <c r="R323" s="1017"/>
      <c r="T323" s="37" t="s">
        <v>1038</v>
      </c>
      <c r="V323" s="37"/>
      <c r="W323" s="37"/>
      <c r="X323" s="37"/>
      <c r="Y323" s="37"/>
      <c r="AA323" s="1018" t="s">
        <v>1078</v>
      </c>
      <c r="AB323" s="1018"/>
      <c r="AC323" s="1018"/>
      <c r="AD323" s="1018"/>
      <c r="AE323" s="1018"/>
      <c r="AF323" s="1018"/>
      <c r="AG323" s="1018"/>
      <c r="AH323" s="1018"/>
      <c r="AI323" s="1018"/>
      <c r="AJ323" s="1018"/>
      <c r="AK323" s="1018"/>
      <c r="BA323" s="37"/>
    </row>
    <row r="324" spans="2:53" ht="12.95" customHeight="1">
      <c r="B324" s="37" t="s">
        <v>988</v>
      </c>
      <c r="C324" s="37"/>
      <c r="D324" s="37"/>
      <c r="E324" s="37"/>
      <c r="F324" s="37"/>
      <c r="H324" s="1017" t="s">
        <v>1079</v>
      </c>
      <c r="I324" s="1017"/>
      <c r="J324" s="1017"/>
      <c r="K324" s="1017"/>
      <c r="L324" s="1017"/>
      <c r="M324" s="1017"/>
      <c r="N324" s="1017"/>
      <c r="O324" s="1017"/>
      <c r="P324" s="1017"/>
      <c r="Q324" s="1017"/>
      <c r="R324" s="1017"/>
      <c r="T324" s="37" t="s">
        <v>988</v>
      </c>
      <c r="V324" s="37"/>
      <c r="W324" s="37"/>
      <c r="X324" s="37"/>
      <c r="Y324" s="37"/>
      <c r="AA324" s="1018" t="s">
        <v>1080</v>
      </c>
      <c r="AB324" s="1018"/>
      <c r="AC324" s="1018"/>
      <c r="AD324" s="1018"/>
      <c r="AE324" s="1018"/>
      <c r="AF324" s="1018"/>
      <c r="AG324" s="1018"/>
      <c r="AH324" s="1018"/>
      <c r="AI324" s="1018"/>
      <c r="AJ324" s="1018"/>
      <c r="AK324" s="1018"/>
      <c r="BA324" s="37"/>
    </row>
    <row r="325" spans="2:53" ht="12.95" customHeight="1">
      <c r="B325" s="37" t="s">
        <v>990</v>
      </c>
      <c r="C325" s="37"/>
      <c r="D325" s="37"/>
      <c r="E325" s="37"/>
      <c r="F325" s="37"/>
      <c r="G325" s="37"/>
      <c r="H325" s="1023" t="s">
        <v>1081</v>
      </c>
      <c r="I325" s="1023"/>
      <c r="J325" s="1023"/>
      <c r="K325" s="1023"/>
      <c r="L325" s="1023"/>
      <c r="M325" s="1023"/>
      <c r="N325" s="37" t="s">
        <v>992</v>
      </c>
      <c r="O325" s="37"/>
      <c r="P325" s="1016"/>
      <c r="Q325" s="1016"/>
      <c r="R325" s="1016"/>
      <c r="S325" s="37"/>
      <c r="T325" s="37" t="s">
        <v>990</v>
      </c>
      <c r="V325" s="37"/>
      <c r="W325" s="37"/>
      <c r="X325" s="37"/>
      <c r="Y325" s="37"/>
      <c r="AA325" s="1021">
        <v>9163726100</v>
      </c>
      <c r="AB325" s="1021"/>
      <c r="AC325" s="1021"/>
      <c r="AD325" s="1021"/>
      <c r="AE325" s="1021"/>
      <c r="AF325" s="1021"/>
      <c r="AG325" s="37" t="s">
        <v>992</v>
      </c>
      <c r="AH325" s="37"/>
      <c r="AI325" s="1016"/>
      <c r="AJ325" s="1016"/>
      <c r="AK325" s="1016"/>
      <c r="BA325" s="37"/>
    </row>
    <row r="326" spans="2:53" ht="12.95" customHeight="1">
      <c r="B326" s="37" t="s">
        <v>993</v>
      </c>
      <c r="C326" s="37"/>
      <c r="D326" s="37"/>
      <c r="E326" s="37"/>
      <c r="F326" s="37"/>
      <c r="G326" s="37"/>
      <c r="H326" s="1024"/>
      <c r="I326" s="1024"/>
      <c r="J326" s="1024"/>
      <c r="K326" s="1024"/>
      <c r="L326" s="1024"/>
      <c r="M326" s="1024"/>
      <c r="N326" s="37"/>
      <c r="O326" s="37"/>
      <c r="P326" s="230"/>
      <c r="Q326" s="230"/>
      <c r="R326" s="230"/>
      <c r="S326" s="37"/>
      <c r="T326" s="37" t="s">
        <v>993</v>
      </c>
      <c r="V326" s="37"/>
      <c r="W326" s="37"/>
      <c r="X326" s="37"/>
      <c r="Y326" s="37"/>
      <c r="AA326" s="1024" t="s">
        <v>1082</v>
      </c>
      <c r="AB326" s="1024"/>
      <c r="AC326" s="1024"/>
      <c r="AD326" s="1024"/>
      <c r="AE326" s="1024"/>
      <c r="AF326" s="1024"/>
      <c r="AG326" s="37"/>
      <c r="AH326" s="37"/>
      <c r="AI326" s="230"/>
      <c r="AJ326" s="230"/>
      <c r="AK326" s="230"/>
      <c r="BA326" s="37"/>
    </row>
    <row r="327" spans="2:53" ht="12.95" customHeight="1">
      <c r="B327" s="37" t="s">
        <v>1041</v>
      </c>
      <c r="C327" s="37"/>
      <c r="D327" s="37"/>
      <c r="E327" s="37"/>
      <c r="F327" s="37"/>
      <c r="G327" s="37"/>
      <c r="H327" s="1086" t="s">
        <v>1083</v>
      </c>
      <c r="I327" s="1086"/>
      <c r="J327" s="1086"/>
      <c r="K327" s="1086"/>
      <c r="L327" s="1086"/>
      <c r="M327" s="1086"/>
      <c r="N327" s="1086"/>
      <c r="O327" s="1086"/>
      <c r="P327" s="1086"/>
      <c r="Q327" s="1086"/>
      <c r="R327" s="1086"/>
      <c r="S327" s="37"/>
      <c r="T327" s="37" t="s">
        <v>1041</v>
      </c>
      <c r="V327" s="37"/>
      <c r="W327" s="37"/>
      <c r="X327" s="37"/>
      <c r="Y327" s="37"/>
      <c r="AA327" s="1018" t="s">
        <v>1084</v>
      </c>
      <c r="AB327" s="1018"/>
      <c r="AC327" s="1018"/>
      <c r="AD327" s="1018"/>
      <c r="AE327" s="1018"/>
      <c r="AF327" s="1018"/>
      <c r="AG327" s="1020"/>
      <c r="AH327" s="1020"/>
      <c r="AI327" s="1020"/>
      <c r="AJ327" s="1020"/>
      <c r="AK327" s="1020"/>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1085</v>
      </c>
      <c r="C329" s="37"/>
      <c r="D329" s="37"/>
      <c r="E329" s="37"/>
      <c r="F329" s="37"/>
      <c r="H329" s="1020" t="s">
        <v>1086</v>
      </c>
      <c r="I329" s="1020"/>
      <c r="J329" s="1020"/>
      <c r="K329" s="1020"/>
      <c r="L329" s="1020"/>
      <c r="M329" s="1020"/>
      <c r="N329" s="1020"/>
      <c r="O329" s="1020"/>
      <c r="P329" s="1020"/>
      <c r="Q329" s="1020"/>
      <c r="R329" s="1020"/>
      <c r="T329" s="37" t="s">
        <v>1087</v>
      </c>
      <c r="V329" s="37"/>
      <c r="W329" s="37"/>
      <c r="X329" s="37"/>
      <c r="Y329" s="37"/>
      <c r="AA329" s="1020" t="s">
        <v>1088</v>
      </c>
      <c r="AB329" s="1020"/>
      <c r="AC329" s="1020"/>
      <c r="AD329" s="1020"/>
      <c r="AE329" s="1020"/>
      <c r="AF329" s="1020"/>
      <c r="AG329" s="1020"/>
      <c r="AH329" s="1020"/>
      <c r="AI329" s="1020"/>
      <c r="AJ329" s="1020"/>
      <c r="AK329" s="1020"/>
      <c r="BA329" s="37"/>
    </row>
    <row r="330" spans="2:53" ht="12.95" customHeight="1">
      <c r="B330" s="37" t="s">
        <v>1034</v>
      </c>
      <c r="C330" s="37"/>
      <c r="D330" s="37"/>
      <c r="E330" s="37"/>
      <c r="F330" s="37"/>
      <c r="H330" s="1018" t="s">
        <v>1089</v>
      </c>
      <c r="I330" s="1018"/>
      <c r="J330" s="1018"/>
      <c r="K330" s="1018"/>
      <c r="L330" s="1018"/>
      <c r="M330" s="1018"/>
      <c r="N330" s="1018"/>
      <c r="O330" s="1018"/>
      <c r="P330" s="1018"/>
      <c r="Q330" s="1018"/>
      <c r="R330" s="1018"/>
      <c r="T330" s="37" t="s">
        <v>1034</v>
      </c>
      <c r="V330" s="37"/>
      <c r="W330" s="37"/>
      <c r="X330" s="37"/>
      <c r="Y330" s="37"/>
      <c r="AA330" s="1230" t="s">
        <v>1090</v>
      </c>
      <c r="AB330" s="1018"/>
      <c r="AC330" s="1018"/>
      <c r="AD330" s="1018"/>
      <c r="AE330" s="1018"/>
      <c r="AF330" s="1018"/>
      <c r="AG330" s="1018"/>
      <c r="AH330" s="1018"/>
      <c r="AI330" s="1018"/>
      <c r="AJ330" s="1018"/>
      <c r="AK330" s="1018"/>
      <c r="BA330" s="37"/>
    </row>
    <row r="331" spans="2:53" ht="12.95" customHeight="1">
      <c r="B331" s="37" t="s">
        <v>1036</v>
      </c>
      <c r="C331" s="37"/>
      <c r="D331" s="37"/>
      <c r="E331" s="37"/>
      <c r="F331" s="37"/>
      <c r="G331" s="37"/>
      <c r="H331" s="1018" t="s">
        <v>1091</v>
      </c>
      <c r="I331" s="1018"/>
      <c r="J331" s="1018"/>
      <c r="K331" s="1018"/>
      <c r="L331" s="1018"/>
      <c r="M331" s="1018"/>
      <c r="N331" s="1018"/>
      <c r="O331" s="1018"/>
      <c r="P331" s="1018"/>
      <c r="Q331" s="1018"/>
      <c r="R331" s="1018"/>
      <c r="T331" s="37" t="s">
        <v>1038</v>
      </c>
      <c r="V331" s="37"/>
      <c r="W331" s="37"/>
      <c r="X331" s="37"/>
      <c r="Y331" s="37"/>
      <c r="AA331" s="1018" t="s">
        <v>1092</v>
      </c>
      <c r="AB331" s="1018"/>
      <c r="AC331" s="1018"/>
      <c r="AD331" s="1018"/>
      <c r="AE331" s="1018"/>
      <c r="AF331" s="1018"/>
      <c r="AG331" s="1018"/>
      <c r="AH331" s="1018"/>
      <c r="AI331" s="1018"/>
      <c r="AJ331" s="1018"/>
      <c r="AK331" s="1018"/>
      <c r="BA331" s="37"/>
    </row>
    <row r="332" spans="2:53" ht="12.95" customHeight="1">
      <c r="B332" s="37" t="s">
        <v>988</v>
      </c>
      <c r="C332" s="37"/>
      <c r="D332" s="37"/>
      <c r="E332" s="37"/>
      <c r="F332" s="37"/>
      <c r="H332" s="1018" t="s">
        <v>1093</v>
      </c>
      <c r="I332" s="1018"/>
      <c r="J332" s="1018"/>
      <c r="K332" s="1018"/>
      <c r="L332" s="1018"/>
      <c r="M332" s="1018"/>
      <c r="N332" s="1018"/>
      <c r="O332" s="1018"/>
      <c r="P332" s="1018"/>
      <c r="Q332" s="1018"/>
      <c r="R332" s="1018"/>
      <c r="T332" s="37" t="s">
        <v>988</v>
      </c>
      <c r="V332" s="37"/>
      <c r="W332" s="37"/>
      <c r="X332" s="37"/>
      <c r="Y332" s="37"/>
      <c r="AA332" s="1018" t="s">
        <v>1094</v>
      </c>
      <c r="AB332" s="1018"/>
      <c r="AC332" s="1018"/>
      <c r="AD332" s="1018"/>
      <c r="AE332" s="1018"/>
      <c r="AF332" s="1018"/>
      <c r="AG332" s="1018"/>
      <c r="AH332" s="1018"/>
      <c r="AI332" s="1018"/>
      <c r="AJ332" s="1018"/>
      <c r="AK332" s="1018"/>
      <c r="BA332" s="37"/>
    </row>
    <row r="333" spans="2:53" ht="12.95" customHeight="1">
      <c r="B333" s="37" t="s">
        <v>990</v>
      </c>
      <c r="C333" s="37"/>
      <c r="D333" s="37"/>
      <c r="E333" s="37"/>
      <c r="F333" s="37"/>
      <c r="G333" s="37"/>
      <c r="H333" s="1021">
        <v>9253271660</v>
      </c>
      <c r="I333" s="1021"/>
      <c r="J333" s="1021"/>
      <c r="K333" s="1021"/>
      <c r="L333" s="1021"/>
      <c r="M333" s="1021"/>
      <c r="N333" s="37" t="s">
        <v>992</v>
      </c>
      <c r="O333" s="37"/>
      <c r="P333" s="1016">
        <v>7218</v>
      </c>
      <c r="Q333" s="1016"/>
      <c r="R333" s="1016"/>
      <c r="T333" s="37" t="s">
        <v>990</v>
      </c>
      <c r="V333" s="37"/>
      <c r="W333" s="37"/>
      <c r="X333" s="37"/>
      <c r="Y333" s="37"/>
      <c r="AA333" s="1021" t="s">
        <v>1095</v>
      </c>
      <c r="AB333" s="1021"/>
      <c r="AC333" s="1021"/>
      <c r="AD333" s="1021"/>
      <c r="AE333" s="1021"/>
      <c r="AF333" s="1021"/>
      <c r="AG333" s="37" t="s">
        <v>992</v>
      </c>
      <c r="AH333" s="37"/>
      <c r="AI333" s="1016"/>
      <c r="AJ333" s="1016"/>
      <c r="AK333" s="1016"/>
      <c r="BA333" s="37"/>
    </row>
    <row r="334" spans="2:53" ht="12.95" customHeight="1">
      <c r="B334" s="37" t="s">
        <v>993</v>
      </c>
      <c r="C334" s="37"/>
      <c r="D334" s="37"/>
      <c r="E334" s="37"/>
      <c r="F334" s="37"/>
      <c r="G334" s="37"/>
      <c r="H334" s="1024"/>
      <c r="I334" s="1024"/>
      <c r="J334" s="1024"/>
      <c r="K334" s="1024"/>
      <c r="L334" s="1024"/>
      <c r="M334" s="1024"/>
      <c r="N334" s="37"/>
      <c r="O334" s="37"/>
      <c r="P334" s="230"/>
      <c r="Q334" s="230"/>
      <c r="R334" s="230"/>
      <c r="T334" s="37" t="s">
        <v>993</v>
      </c>
      <c r="V334" s="37"/>
      <c r="W334" s="37"/>
      <c r="X334" s="37"/>
      <c r="Y334" s="37"/>
      <c r="AA334" s="1024"/>
      <c r="AB334" s="1024"/>
      <c r="AC334" s="1024"/>
      <c r="AD334" s="1024"/>
      <c r="AE334" s="1024"/>
      <c r="AF334" s="1024"/>
      <c r="AG334" s="37"/>
      <c r="AH334" s="37"/>
      <c r="AI334" s="230"/>
      <c r="AJ334" s="230"/>
      <c r="AK334" s="230"/>
      <c r="BA334" s="37"/>
    </row>
    <row r="335" spans="2:53" ht="12.95" customHeight="1">
      <c r="B335" s="37" t="s">
        <v>1041</v>
      </c>
      <c r="C335" s="37"/>
      <c r="D335" s="37"/>
      <c r="E335" s="37"/>
      <c r="F335" s="37"/>
      <c r="G335" s="37"/>
      <c r="H335" s="1018" t="s">
        <v>1096</v>
      </c>
      <c r="I335" s="1018"/>
      <c r="J335" s="1018"/>
      <c r="K335" s="1018"/>
      <c r="L335" s="1018"/>
      <c r="M335" s="1018"/>
      <c r="N335" s="1020"/>
      <c r="O335" s="1020"/>
      <c r="P335" s="1020"/>
      <c r="Q335" s="1020"/>
      <c r="R335" s="1020"/>
      <c r="T335" s="37" t="s">
        <v>1041</v>
      </c>
      <c r="V335" s="37"/>
      <c r="W335" s="37"/>
      <c r="X335" s="37"/>
      <c r="Y335" s="37"/>
      <c r="AA335" s="1018" t="s">
        <v>1097</v>
      </c>
      <c r="AB335" s="1018"/>
      <c r="AC335" s="1018"/>
      <c r="AD335" s="1018"/>
      <c r="AE335" s="1018"/>
      <c r="AF335" s="1018"/>
      <c r="AG335" s="1020"/>
      <c r="AH335" s="1020"/>
      <c r="AI335" s="1020"/>
      <c r="AJ335" s="1020"/>
      <c r="AK335" s="102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1098</v>
      </c>
      <c r="C337" s="293"/>
      <c r="D337" s="293"/>
      <c r="E337" s="293"/>
      <c r="F337" s="293"/>
      <c r="G337" s="293"/>
      <c r="H337" s="1020"/>
      <c r="I337" s="1020"/>
      <c r="J337" s="1020"/>
      <c r="K337" s="1020"/>
      <c r="L337" s="1020"/>
      <c r="M337" s="1020"/>
      <c r="N337" s="1020"/>
      <c r="O337" s="1020"/>
      <c r="P337" s="1020"/>
      <c r="Q337" s="1020"/>
      <c r="R337" s="1020"/>
      <c r="T337" s="293" t="s">
        <v>1099</v>
      </c>
      <c r="AA337" s="1020"/>
      <c r="AB337" s="1020"/>
      <c r="AC337" s="1020"/>
      <c r="AD337" s="1020"/>
      <c r="AE337" s="1020"/>
      <c r="AF337" s="1020"/>
      <c r="AG337" s="1020"/>
      <c r="AH337" s="1020"/>
      <c r="AI337" s="1020"/>
      <c r="AJ337" s="1020"/>
      <c r="AK337" s="1020"/>
      <c r="BA337" s="37"/>
    </row>
    <row r="338" spans="2:53" ht="12.95" customHeight="1">
      <c r="B338" s="293" t="s">
        <v>1034</v>
      </c>
      <c r="C338" s="293"/>
      <c r="D338" s="293"/>
      <c r="E338" s="293"/>
      <c r="F338" s="293"/>
      <c r="G338" s="293"/>
      <c r="H338" s="1018"/>
      <c r="I338" s="1018"/>
      <c r="J338" s="1018"/>
      <c r="K338" s="1018"/>
      <c r="L338" s="1018"/>
      <c r="M338" s="1018"/>
      <c r="N338" s="1018"/>
      <c r="O338" s="1018"/>
      <c r="P338" s="1018"/>
      <c r="Q338" s="1018"/>
      <c r="R338" s="1018"/>
      <c r="T338" s="37" t="s">
        <v>1034</v>
      </c>
      <c r="AA338" s="1018"/>
      <c r="AB338" s="1018"/>
      <c r="AC338" s="1018"/>
      <c r="AD338" s="1018"/>
      <c r="AE338" s="1018"/>
      <c r="AF338" s="1018"/>
      <c r="AG338" s="1018"/>
      <c r="AH338" s="1018"/>
      <c r="AI338" s="1018"/>
      <c r="AJ338" s="1018"/>
      <c r="AK338" s="1018"/>
      <c r="BA338" s="37"/>
    </row>
    <row r="339" spans="2:53" ht="12.95" customHeight="1">
      <c r="B339" s="293" t="s">
        <v>1036</v>
      </c>
      <c r="C339" s="293"/>
      <c r="D339" s="293"/>
      <c r="E339" s="293"/>
      <c r="F339" s="293"/>
      <c r="G339" s="293"/>
      <c r="H339" s="1018"/>
      <c r="I339" s="1018"/>
      <c r="J339" s="1018"/>
      <c r="K339" s="1018"/>
      <c r="L339" s="1018"/>
      <c r="M339" s="1018"/>
      <c r="N339" s="1018"/>
      <c r="O339" s="1018"/>
      <c r="P339" s="1018"/>
      <c r="Q339" s="1018"/>
      <c r="R339" s="1018"/>
      <c r="T339" s="37" t="s">
        <v>1038</v>
      </c>
      <c r="AA339" s="1018"/>
      <c r="AB339" s="1018"/>
      <c r="AC339" s="1018"/>
      <c r="AD339" s="1018"/>
      <c r="AE339" s="1018"/>
      <c r="AF339" s="1018"/>
      <c r="AG339" s="1018"/>
      <c r="AH339" s="1018"/>
      <c r="AI339" s="1018"/>
      <c r="AJ339" s="1018"/>
      <c r="AK339" s="1018"/>
    </row>
    <row r="340" spans="2:53" ht="12.95" customHeight="1">
      <c r="B340" s="293" t="s">
        <v>988</v>
      </c>
      <c r="C340" s="293"/>
      <c r="D340" s="293"/>
      <c r="E340" s="293"/>
      <c r="F340" s="293"/>
      <c r="G340" s="293"/>
      <c r="H340" s="1018"/>
      <c r="I340" s="1018"/>
      <c r="J340" s="1018"/>
      <c r="K340" s="1018"/>
      <c r="L340" s="1018"/>
      <c r="M340" s="1018"/>
      <c r="N340" s="1018"/>
      <c r="O340" s="1018"/>
      <c r="P340" s="1018"/>
      <c r="Q340" s="1018"/>
      <c r="R340" s="1018"/>
      <c r="T340" s="37" t="s">
        <v>988</v>
      </c>
      <c r="AA340" s="1018"/>
      <c r="AB340" s="1018"/>
      <c r="AC340" s="1018"/>
      <c r="AD340" s="1018"/>
      <c r="AE340" s="1018"/>
      <c r="AF340" s="1018"/>
      <c r="AG340" s="1018"/>
      <c r="AH340" s="1018"/>
      <c r="AI340" s="1018"/>
      <c r="AJ340" s="1018"/>
      <c r="AK340" s="1018"/>
    </row>
    <row r="341" spans="2:53" ht="12.95" customHeight="1">
      <c r="B341" s="293" t="s">
        <v>990</v>
      </c>
      <c r="C341" s="293"/>
      <c r="D341" s="293"/>
      <c r="E341" s="293"/>
      <c r="F341" s="293"/>
      <c r="G341" s="293"/>
      <c r="H341" s="1021"/>
      <c r="I341" s="1021"/>
      <c r="J341" s="1021"/>
      <c r="K341" s="1021"/>
      <c r="L341" s="1021"/>
      <c r="M341" s="1021"/>
      <c r="N341" s="37" t="s">
        <v>992</v>
      </c>
      <c r="O341" s="37"/>
      <c r="P341" s="1016"/>
      <c r="Q341" s="1016"/>
      <c r="R341" s="1016"/>
      <c r="T341" s="37" t="s">
        <v>990</v>
      </c>
      <c r="AA341" s="1021"/>
      <c r="AB341" s="1021"/>
      <c r="AC341" s="1021"/>
      <c r="AD341" s="1021"/>
      <c r="AE341" s="1021"/>
      <c r="AF341" s="1021"/>
      <c r="AG341" s="37" t="s">
        <v>992</v>
      </c>
      <c r="AH341" s="37"/>
      <c r="AI341" s="1016"/>
      <c r="AJ341" s="1016"/>
      <c r="AK341" s="1016"/>
    </row>
    <row r="342" spans="2:53" ht="12.95" customHeight="1">
      <c r="B342" s="293" t="s">
        <v>993</v>
      </c>
      <c r="C342" s="293"/>
      <c r="D342" s="293"/>
      <c r="E342" s="293"/>
      <c r="F342" s="293"/>
      <c r="G342" s="293"/>
      <c r="H342" s="1024"/>
      <c r="I342" s="1024"/>
      <c r="J342" s="1024"/>
      <c r="K342" s="1024"/>
      <c r="L342" s="1024"/>
      <c r="M342" s="1024"/>
      <c r="N342" s="37"/>
      <c r="O342" s="37"/>
      <c r="P342" s="230"/>
      <c r="Q342" s="230"/>
      <c r="R342" s="230"/>
      <c r="T342" s="37" t="s">
        <v>993</v>
      </c>
      <c r="AA342" s="1024"/>
      <c r="AB342" s="1024"/>
      <c r="AC342" s="1024"/>
      <c r="AD342" s="1024"/>
      <c r="AE342" s="1024"/>
      <c r="AF342" s="1024"/>
      <c r="AG342" s="37"/>
      <c r="AH342" s="37"/>
      <c r="AI342" s="230"/>
      <c r="AJ342" s="230"/>
      <c r="AK342" s="230"/>
    </row>
    <row r="343" spans="2:53" ht="12.95" customHeight="1">
      <c r="B343" s="293" t="s">
        <v>1041</v>
      </c>
      <c r="C343" s="293"/>
      <c r="D343" s="293"/>
      <c r="E343" s="293"/>
      <c r="F343" s="293"/>
      <c r="G343" s="293"/>
      <c r="H343" s="1018"/>
      <c r="I343" s="1018"/>
      <c r="J343" s="1018"/>
      <c r="K343" s="1018"/>
      <c r="L343" s="1018"/>
      <c r="M343" s="1018"/>
      <c r="N343" s="1020"/>
      <c r="O343" s="1020"/>
      <c r="P343" s="1020"/>
      <c r="Q343" s="1020"/>
      <c r="R343" s="1020"/>
      <c r="T343" s="37" t="s">
        <v>1041</v>
      </c>
      <c r="AA343" s="1018"/>
      <c r="AB343" s="1018"/>
      <c r="AC343" s="1018"/>
      <c r="AD343" s="1018"/>
      <c r="AE343" s="1018"/>
      <c r="AF343" s="1018"/>
      <c r="AG343" s="1020"/>
      <c r="AH343" s="1020"/>
      <c r="AI343" s="1020"/>
      <c r="AJ343" s="1020"/>
      <c r="AK343" s="1020"/>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1100</v>
      </c>
      <c r="P345" s="1020"/>
      <c r="Q345" s="1020"/>
      <c r="R345" s="1020"/>
      <c r="S345" s="1020"/>
      <c r="T345" s="1020"/>
      <c r="U345" s="1020"/>
      <c r="V345" s="1020"/>
      <c r="W345" s="1020"/>
      <c r="X345" s="1020"/>
      <c r="Y345" s="1020"/>
      <c r="Z345" s="1020"/>
    </row>
    <row r="346" spans="2:53" ht="12.95" customHeight="1">
      <c r="C346" s="293"/>
      <c r="D346" s="293"/>
      <c r="E346" s="293"/>
      <c r="F346" s="293"/>
      <c r="G346" s="293"/>
      <c r="I346" s="293" t="s">
        <v>1034</v>
      </c>
      <c r="P346" s="1018"/>
      <c r="Q346" s="1018"/>
      <c r="R346" s="1018"/>
      <c r="S346" s="1018"/>
      <c r="T346" s="1018"/>
      <c r="U346" s="1018"/>
      <c r="V346" s="1018"/>
      <c r="W346" s="1018"/>
      <c r="X346" s="1018"/>
      <c r="Y346" s="1018"/>
      <c r="Z346" s="1018"/>
    </row>
    <row r="347" spans="2:53" ht="12.95" customHeight="1">
      <c r="C347" s="293"/>
      <c r="D347" s="293"/>
      <c r="E347" s="293"/>
      <c r="F347" s="293"/>
      <c r="G347" s="293"/>
      <c r="I347" s="293" t="s">
        <v>1036</v>
      </c>
      <c r="P347" s="1018"/>
      <c r="Q347" s="1018"/>
      <c r="R347" s="1018"/>
      <c r="S347" s="1018"/>
      <c r="T347" s="1018"/>
      <c r="U347" s="1018"/>
      <c r="V347" s="1018"/>
      <c r="W347" s="1018"/>
      <c r="X347" s="1018"/>
      <c r="Y347" s="1018"/>
      <c r="Z347" s="1018"/>
    </row>
    <row r="348" spans="2:53" ht="12.95" customHeight="1">
      <c r="C348" s="293"/>
      <c r="D348" s="293"/>
      <c r="E348" s="293"/>
      <c r="F348" s="293"/>
      <c r="G348" s="293"/>
      <c r="I348" s="293" t="s">
        <v>988</v>
      </c>
      <c r="P348" s="1018"/>
      <c r="Q348" s="1018"/>
      <c r="R348" s="1018"/>
      <c r="S348" s="1018"/>
      <c r="T348" s="1018"/>
      <c r="U348" s="1018"/>
      <c r="V348" s="1018"/>
      <c r="W348" s="1018"/>
      <c r="X348" s="1018"/>
      <c r="Y348" s="1018"/>
      <c r="Z348" s="1018"/>
    </row>
    <row r="349" spans="2:53" ht="12.95" customHeight="1">
      <c r="C349" s="293"/>
      <c r="D349" s="293"/>
      <c r="E349" s="293"/>
      <c r="F349" s="293"/>
      <c r="G349" s="293"/>
      <c r="I349" s="293" t="s">
        <v>990</v>
      </c>
      <c r="P349" s="1021"/>
      <c r="Q349" s="1021"/>
      <c r="R349" s="1021"/>
      <c r="S349" s="1021"/>
      <c r="T349" s="1021"/>
      <c r="U349" s="1021"/>
      <c r="V349" s="37" t="s">
        <v>992</v>
      </c>
      <c r="W349" s="37"/>
      <c r="X349" s="1016"/>
      <c r="Y349" s="1016"/>
      <c r="Z349" s="1016"/>
    </row>
    <row r="350" spans="2:53" ht="12.95" customHeight="1">
      <c r="C350" s="293"/>
      <c r="D350" s="293"/>
      <c r="E350" s="293"/>
      <c r="F350" s="293"/>
      <c r="G350" s="293"/>
      <c r="I350" s="293" t="s">
        <v>993</v>
      </c>
      <c r="P350" s="1024"/>
      <c r="Q350" s="1024"/>
      <c r="R350" s="1024"/>
      <c r="S350" s="1024"/>
      <c r="T350" s="1024"/>
      <c r="U350" s="1024"/>
      <c r="V350" s="37"/>
      <c r="W350" s="37"/>
      <c r="X350" s="230"/>
      <c r="Y350" s="230"/>
      <c r="Z350" s="230"/>
    </row>
    <row r="351" spans="2:53" ht="12.95" customHeight="1">
      <c r="C351" s="293"/>
      <c r="D351" s="293"/>
      <c r="E351" s="293"/>
      <c r="F351" s="293"/>
      <c r="G351" s="293"/>
      <c r="I351" s="293" t="s">
        <v>1041</v>
      </c>
      <c r="P351" s="1018"/>
      <c r="Q351" s="1018"/>
      <c r="R351" s="1018"/>
      <c r="S351" s="1018"/>
      <c r="T351" s="1018"/>
      <c r="U351" s="1018"/>
      <c r="V351" s="1020"/>
      <c r="W351" s="1020"/>
      <c r="X351" s="1020"/>
      <c r="Y351" s="1020"/>
      <c r="Z351" s="1020"/>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9" t="s">
        <v>1101</v>
      </c>
      <c r="B353" s="1019"/>
      <c r="C353" s="1019"/>
      <c r="D353" s="1019"/>
      <c r="E353" s="1019"/>
      <c r="F353" s="1019"/>
      <c r="G353" s="1019"/>
      <c r="H353" s="1019"/>
      <c r="I353" s="1019"/>
      <c r="J353" s="1019"/>
      <c r="K353" s="1019"/>
      <c r="L353" s="1019"/>
      <c r="M353" s="1019"/>
      <c r="N353" s="1019"/>
      <c r="O353" s="1019"/>
      <c r="P353" s="1019"/>
      <c r="Q353" s="1019"/>
      <c r="R353" s="1019"/>
      <c r="S353" s="1019"/>
      <c r="T353" s="1019"/>
      <c r="U353" s="1019"/>
      <c r="V353" s="1019"/>
      <c r="W353" s="1019"/>
      <c r="X353" s="1019"/>
      <c r="Y353" s="1019"/>
      <c r="Z353" s="1019"/>
      <c r="AA353" s="1019"/>
      <c r="AB353" s="1019"/>
      <c r="AC353" s="1019"/>
      <c r="AD353" s="1019"/>
      <c r="AE353" s="1019"/>
      <c r="AF353" s="1019"/>
      <c r="AG353" s="1019"/>
      <c r="AH353" s="1019"/>
      <c r="AI353" s="1019"/>
      <c r="AJ353" s="1019"/>
      <c r="AK353" s="1019"/>
      <c r="AL353" s="1019"/>
      <c r="AM353" s="1019"/>
      <c r="AN353" s="1019"/>
      <c r="AO353" s="1019"/>
      <c r="AP353" s="1019"/>
      <c r="AQ353" s="1019"/>
      <c r="AR353" s="1019"/>
      <c r="AS353" s="1019"/>
      <c r="AT353" s="1019"/>
    </row>
    <row r="354" spans="1:46" ht="12.95" customHeight="1">
      <c r="A354" s="1019"/>
      <c r="B354" s="1019"/>
      <c r="C354" s="1019"/>
      <c r="D354" s="1019"/>
      <c r="E354" s="1019"/>
      <c r="F354" s="1019"/>
      <c r="G354" s="1019"/>
      <c r="H354" s="1019"/>
      <c r="I354" s="1019"/>
      <c r="J354" s="1019"/>
      <c r="K354" s="1019"/>
      <c r="L354" s="1019"/>
      <c r="M354" s="1019"/>
      <c r="N354" s="1019"/>
      <c r="O354" s="1019"/>
      <c r="P354" s="1019"/>
      <c r="Q354" s="1019"/>
      <c r="R354" s="1019"/>
      <c r="S354" s="1019"/>
      <c r="T354" s="1019"/>
      <c r="U354" s="1019"/>
      <c r="V354" s="1019"/>
      <c r="W354" s="1019"/>
      <c r="X354" s="1019"/>
      <c r="Y354" s="1019"/>
      <c r="Z354" s="1019"/>
      <c r="AA354" s="1019"/>
      <c r="AB354" s="1019"/>
      <c r="AC354" s="1019"/>
      <c r="AD354" s="1019"/>
      <c r="AE354" s="1019"/>
      <c r="AF354" s="1019"/>
      <c r="AG354" s="1019"/>
      <c r="AH354" s="1019"/>
      <c r="AI354" s="1019"/>
      <c r="AJ354" s="1019"/>
      <c r="AK354" s="1019"/>
      <c r="AL354" s="1019"/>
      <c r="AM354" s="1019"/>
      <c r="AN354" s="1019"/>
      <c r="AO354" s="1019"/>
      <c r="AP354" s="1019"/>
      <c r="AQ354" s="1019"/>
      <c r="AR354" s="1019"/>
      <c r="AS354" s="1019"/>
      <c r="AT354" s="1019"/>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793</v>
      </c>
      <c r="B356" s="3"/>
      <c r="C356" s="3" t="s">
        <v>1102</v>
      </c>
    </row>
    <row r="357" spans="1:46" ht="12.95" customHeight="1">
      <c r="C357"/>
      <c r="D357" t="s">
        <v>1103</v>
      </c>
      <c r="M357" s="1065" t="s">
        <v>326</v>
      </c>
      <c r="N357" s="1065"/>
      <c r="P357" t="s">
        <v>1104</v>
      </c>
      <c r="AJ357" s="1065" t="s">
        <v>708</v>
      </c>
      <c r="AK357" s="1065"/>
    </row>
    <row r="358" spans="1:46" ht="12.95" customHeight="1">
      <c r="C358"/>
      <c r="D358" s="37" t="s">
        <v>1105</v>
      </c>
      <c r="M358" s="1065" t="s">
        <v>765</v>
      </c>
      <c r="N358" s="1065"/>
      <c r="P358" s="37" t="s">
        <v>1106</v>
      </c>
      <c r="AJ358" s="1083">
        <v>0</v>
      </c>
      <c r="AK358" s="1083"/>
    </row>
    <row r="359" spans="1:46" ht="12.95" customHeight="1">
      <c r="C359"/>
      <c r="D359" t="s">
        <v>1107</v>
      </c>
      <c r="M359" s="1065" t="s">
        <v>326</v>
      </c>
      <c r="N359" s="1065"/>
      <c r="P359" t="s">
        <v>1108</v>
      </c>
      <c r="AJ359" s="1065" t="s">
        <v>708</v>
      </c>
      <c r="AK359" s="1065"/>
    </row>
    <row r="360" spans="1:46" ht="12.95" customHeight="1">
      <c r="C360"/>
      <c r="D360" t="s">
        <v>1109</v>
      </c>
      <c r="M360" s="1065" t="s">
        <v>326</v>
      </c>
      <c r="N360" s="1065"/>
      <c r="Q360" s="37"/>
    </row>
    <row r="361" spans="1:46" ht="12.95" customHeight="1">
      <c r="C361"/>
      <c r="P361" s="293"/>
      <c r="Q361" s="293"/>
      <c r="R361" s="293"/>
    </row>
    <row r="362" spans="1:46" ht="12.95" customHeight="1">
      <c r="C362"/>
    </row>
    <row r="363" spans="1:46" ht="12.95" customHeight="1">
      <c r="A363" s="3" t="s">
        <v>828</v>
      </c>
      <c r="B363" s="3"/>
      <c r="C363" s="3" t="s">
        <v>1110</v>
      </c>
      <c r="D363" s="3"/>
    </row>
    <row r="364" spans="1:46" ht="12.95" customHeight="1">
      <c r="C364"/>
      <c r="D364" s="41" t="s">
        <v>1111</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1112</v>
      </c>
      <c r="E365" s="42"/>
      <c r="F365" s="42"/>
      <c r="G365" s="42"/>
      <c r="H365" s="42"/>
      <c r="I365" s="42"/>
      <c r="J365" s="42"/>
      <c r="K365" s="42"/>
      <c r="L365" s="42"/>
      <c r="M365" s="42"/>
      <c r="N365" s="1065" t="s">
        <v>326</v>
      </c>
      <c r="O365" s="1065"/>
      <c r="P365" s="42"/>
      <c r="Q365" s="42"/>
      <c r="R365" s="42"/>
      <c r="S365" s="42"/>
      <c r="T365" s="42"/>
      <c r="U365" s="42"/>
      <c r="V365" s="42"/>
      <c r="W365" s="42"/>
      <c r="X365" s="42"/>
      <c r="Y365" s="42"/>
      <c r="Z365" s="42"/>
      <c r="AC365" s="42"/>
      <c r="AD365" s="42"/>
      <c r="AE365" s="42"/>
    </row>
    <row r="366" spans="1:46" ht="12.95" customHeight="1">
      <c r="C366"/>
      <c r="E366" t="s">
        <v>1113</v>
      </c>
      <c r="Y366" s="1065" t="s">
        <v>326</v>
      </c>
      <c r="Z366" s="1065"/>
    </row>
    <row r="367" spans="1:46" ht="12.95" customHeight="1">
      <c r="C367"/>
      <c r="D367" t="s">
        <v>1114</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1115</v>
      </c>
      <c r="E368" s="42"/>
      <c r="F368" s="42"/>
      <c r="G368" s="42"/>
      <c r="H368" s="42"/>
      <c r="I368" s="42"/>
      <c r="J368" s="1065" t="s">
        <v>708</v>
      </c>
      <c r="K368" s="1065"/>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1116</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708</v>
      </c>
    </row>
    <row r="371" spans="4:57" customFormat="1" ht="12.95" customHeight="1">
      <c r="E371" s="37" t="s">
        <v>1117</v>
      </c>
      <c r="F371" s="37"/>
      <c r="G371" s="37"/>
      <c r="H371" s="37"/>
      <c r="I371" s="37"/>
      <c r="J371" s="37"/>
      <c r="K371" s="37"/>
      <c r="L371" s="37"/>
      <c r="N371" s="1063"/>
      <c r="O371" s="1063"/>
      <c r="P371" s="1063"/>
      <c r="Q371" s="1063"/>
      <c r="R371" s="37"/>
      <c r="U371" s="37" t="s">
        <v>1118</v>
      </c>
      <c r="V371" s="37"/>
      <c r="W371" s="37"/>
      <c r="X371" s="37"/>
      <c r="Y371" s="37"/>
      <c r="Z371" s="37"/>
      <c r="AA371" s="37"/>
      <c r="AB371" s="37"/>
      <c r="AC371" s="1063"/>
      <c r="AD371" s="1063"/>
      <c r="AE371" s="1063"/>
      <c r="AF371" s="1063"/>
      <c r="BE371" t="s">
        <v>765</v>
      </c>
    </row>
    <row r="372" spans="4:57" customFormat="1" ht="12.95" customHeight="1">
      <c r="E372" s="37" t="s">
        <v>1119</v>
      </c>
      <c r="F372" s="37"/>
      <c r="G372" s="37"/>
      <c r="H372" s="37"/>
      <c r="I372" s="37"/>
      <c r="J372" s="37"/>
      <c r="K372" s="37"/>
      <c r="L372" s="37"/>
      <c r="N372" s="1063"/>
      <c r="O372" s="1063"/>
      <c r="P372" s="1063"/>
      <c r="Q372" s="1063"/>
      <c r="R372" s="37"/>
      <c r="U372" s="37" t="s">
        <v>1120</v>
      </c>
      <c r="V372" s="37"/>
      <c r="W372" s="37"/>
      <c r="X372" s="37"/>
      <c r="Y372" s="37"/>
      <c r="Z372" s="37"/>
      <c r="AA372" s="37"/>
      <c r="AB372" s="37"/>
      <c r="AC372" s="1063"/>
      <c r="AD372" s="1063"/>
      <c r="AE372" s="1063"/>
      <c r="AF372" s="1063"/>
    </row>
    <row r="373" spans="4:57" customFormat="1" ht="12.95" customHeight="1">
      <c r="E373" s="37" t="s">
        <v>1121</v>
      </c>
      <c r="F373" s="37"/>
      <c r="G373" s="37"/>
      <c r="H373" s="37"/>
      <c r="I373" s="37"/>
      <c r="J373" s="37"/>
      <c r="K373" s="37"/>
      <c r="L373" s="37"/>
      <c r="N373" s="1063"/>
      <c r="O373" s="1063"/>
      <c r="P373" s="1063"/>
      <c r="Q373" s="1063"/>
      <c r="R373" s="37"/>
      <c r="V373" s="37"/>
      <c r="W373" s="37"/>
      <c r="X373" s="37"/>
      <c r="Y373" s="37"/>
      <c r="Z373" s="37"/>
      <c r="AA373" s="37"/>
      <c r="AB373" s="37"/>
    </row>
    <row r="374" spans="4:57" customFormat="1" ht="12.95" customHeight="1">
      <c r="E374" s="37" t="s">
        <v>1122</v>
      </c>
      <c r="F374" s="37"/>
      <c r="G374" s="37"/>
      <c r="H374" s="37"/>
      <c r="I374" s="37"/>
      <c r="J374" s="37"/>
      <c r="K374" s="37"/>
      <c r="L374" s="37"/>
      <c r="N374" s="1121"/>
      <c r="O374" s="1121"/>
      <c r="P374" s="1121"/>
      <c r="Q374" s="1121"/>
      <c r="R374" s="1121"/>
      <c r="S374" s="1121"/>
      <c r="T374" s="1121"/>
      <c r="U374" s="1121"/>
      <c r="V374" s="1121"/>
      <c r="W374" s="1121"/>
      <c r="X374" s="1121"/>
      <c r="Y374" s="1121"/>
      <c r="Z374" s="1121"/>
      <c r="AA374" s="1121"/>
      <c r="AB374" s="1121"/>
      <c r="AC374" s="1121"/>
      <c r="AD374" s="1121"/>
      <c r="AE374" s="1121"/>
      <c r="AF374" s="1121"/>
    </row>
    <row r="375" spans="4:57" customFormat="1" ht="12.95" customHeight="1">
      <c r="E375" s="37"/>
      <c r="F375" s="37"/>
      <c r="G375" s="37"/>
      <c r="H375" s="37"/>
      <c r="I375" s="37"/>
      <c r="J375" s="37"/>
      <c r="K375" s="37"/>
      <c r="L375" s="37"/>
      <c r="N375" s="1122"/>
      <c r="O375" s="1122"/>
      <c r="P375" s="1122"/>
      <c r="Q375" s="1122"/>
      <c r="R375" s="1122"/>
      <c r="S375" s="1122"/>
      <c r="T375" s="1122"/>
      <c r="U375" s="1122"/>
      <c r="V375" s="1122"/>
      <c r="W375" s="1122"/>
      <c r="X375" s="1122"/>
      <c r="Y375" s="1122"/>
      <c r="Z375" s="1122"/>
      <c r="AA375" s="1122"/>
      <c r="AB375" s="1122"/>
      <c r="AC375" s="1122"/>
      <c r="AD375" s="1122"/>
      <c r="AE375" s="1122"/>
      <c r="AF375" s="1122"/>
    </row>
    <row r="376" spans="4:57" customFormat="1" ht="12.95" customHeight="1">
      <c r="E376" s="37"/>
      <c r="F376" s="37"/>
      <c r="G376" s="37"/>
      <c r="H376" s="37"/>
      <c r="I376" s="37"/>
      <c r="J376" s="37"/>
      <c r="K376" s="37"/>
      <c r="L376" s="37"/>
    </row>
    <row r="377" spans="4:57" customFormat="1" ht="12.95" customHeight="1">
      <c r="D377" s="300" t="s">
        <v>1123</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1124</v>
      </c>
      <c r="F378" s="293"/>
      <c r="G378" s="293"/>
      <c r="H378" s="293"/>
      <c r="I378" s="293"/>
      <c r="J378" s="293"/>
      <c r="K378" s="293"/>
      <c r="L378" s="293"/>
      <c r="M378" s="293"/>
      <c r="O378" s="293"/>
      <c r="P378" s="828" t="s">
        <v>804</v>
      </c>
      <c r="Q378" s="293" t="s">
        <v>805</v>
      </c>
      <c r="R378" s="293"/>
      <c r="S378" s="1085"/>
      <c r="T378" s="1085"/>
      <c r="U378" s="297" t="s">
        <v>806</v>
      </c>
      <c r="V378" s="1085"/>
      <c r="W378" s="1085"/>
      <c r="X378" s="293"/>
      <c r="Z378" s="293"/>
      <c r="AA378" s="828" t="s">
        <v>804</v>
      </c>
      <c r="AB378" s="293" t="s">
        <v>805</v>
      </c>
      <c r="AC378" s="293"/>
      <c r="AD378" s="1085"/>
      <c r="AE378" s="1085"/>
      <c r="AF378" s="297" t="s">
        <v>806</v>
      </c>
      <c r="AG378" s="1085"/>
      <c r="AH378" s="1085"/>
    </row>
    <row r="379" spans="4:57" customFormat="1" ht="12.95" customHeight="1">
      <c r="D379" s="293"/>
      <c r="E379" s="293" t="s">
        <v>1125</v>
      </c>
      <c r="F379" s="293"/>
      <c r="G379" s="293"/>
      <c r="H379" s="293"/>
      <c r="I379" s="293"/>
      <c r="J379" s="293"/>
      <c r="K379" s="293"/>
      <c r="L379" s="293"/>
      <c r="M379" s="293"/>
      <c r="N379" s="1085"/>
      <c r="O379" s="1085"/>
      <c r="P379" s="1085"/>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1126</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4" t="s">
        <v>326</v>
      </c>
      <c r="AH380" s="1064"/>
    </row>
    <row r="381" spans="4:57" customFormat="1" ht="12.95" customHeight="1">
      <c r="D381" s="293"/>
      <c r="E381" s="293"/>
      <c r="F381" s="293"/>
      <c r="G381" s="648" t="s">
        <v>1127</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4" t="s">
        <v>326</v>
      </c>
      <c r="AH381" s="1064"/>
    </row>
    <row r="382" spans="4:57" customFormat="1" ht="12.95" customHeight="1">
      <c r="D382" s="293"/>
      <c r="E382" s="293"/>
      <c r="F382" s="293"/>
      <c r="G382" s="418" t="s">
        <v>1128</v>
      </c>
      <c r="H382" s="293"/>
      <c r="I382" s="293"/>
      <c r="J382" s="293"/>
      <c r="K382" s="293"/>
      <c r="L382" s="293"/>
      <c r="M382" s="293"/>
      <c r="N382" s="293"/>
      <c r="O382" s="293"/>
      <c r="P382" s="293"/>
      <c r="Q382" s="293"/>
      <c r="R382" s="293"/>
      <c r="S382" s="293"/>
      <c r="T382" s="293"/>
      <c r="U382" s="293"/>
      <c r="V382" s="1064" t="s">
        <v>326</v>
      </c>
      <c r="W382" s="1064"/>
      <c r="X382" s="293"/>
      <c r="Y382" s="370" t="s">
        <v>1129</v>
      </c>
      <c r="Z382" s="293"/>
      <c r="AA382" s="293"/>
      <c r="AB382" s="293"/>
      <c r="AC382" s="293"/>
      <c r="AD382" s="293"/>
      <c r="AE382" s="293"/>
      <c r="AF382" s="293"/>
      <c r="AG382" s="293"/>
      <c r="AH382" s="293"/>
    </row>
    <row r="383" spans="4:57" customFormat="1" ht="12.95" customHeight="1">
      <c r="D383" s="293"/>
      <c r="E383" s="293" t="s">
        <v>1130</v>
      </c>
      <c r="F383" s="293"/>
      <c r="G383" s="293"/>
      <c r="H383" s="293"/>
      <c r="I383" s="293"/>
      <c r="J383" s="293"/>
      <c r="K383" s="293"/>
      <c r="L383" s="293"/>
      <c r="M383" s="293"/>
      <c r="N383" s="293"/>
      <c r="O383" s="293"/>
      <c r="P383" s="293"/>
      <c r="Q383" s="293"/>
      <c r="R383" s="293"/>
      <c r="S383" s="293"/>
      <c r="T383" s="293"/>
      <c r="U383" s="293"/>
      <c r="V383" s="1064" t="s">
        <v>326</v>
      </c>
      <c r="W383" s="1064"/>
      <c r="X383" s="293"/>
      <c r="Y383" s="293" t="s">
        <v>1131</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908</v>
      </c>
      <c r="B385" s="3"/>
      <c r="C385" s="3" t="s">
        <v>154</v>
      </c>
    </row>
    <row r="386" spans="1:36" ht="12.95" customHeight="1">
      <c r="C386"/>
      <c r="D386" t="s">
        <v>1132</v>
      </c>
      <c r="J386" s="1022" t="s">
        <v>1024</v>
      </c>
      <c r="K386" s="1022"/>
      <c r="L386" s="1022"/>
      <c r="M386" s="1022"/>
      <c r="N386" s="1022"/>
      <c r="O386" s="1022"/>
      <c r="P386" s="1022"/>
      <c r="Q386" s="1022"/>
      <c r="R386" s="1022"/>
      <c r="S386" s="1022"/>
      <c r="T386" s="1022"/>
      <c r="U386" s="1022"/>
      <c r="V386" s="12" t="s">
        <v>1133</v>
      </c>
      <c r="W386" s="12"/>
      <c r="X386" s="12"/>
      <c r="Y386" s="12"/>
      <c r="Z386" s="12"/>
      <c r="AA386" s="12"/>
      <c r="AB386" s="12"/>
      <c r="AC386" s="1022" t="s">
        <v>736</v>
      </c>
      <c r="AD386" s="1022"/>
      <c r="AE386" s="1022"/>
      <c r="AF386" s="1022"/>
      <c r="AG386" s="1022"/>
      <c r="AH386" s="1022"/>
      <c r="AI386" s="1022"/>
      <c r="AJ386" s="1022"/>
    </row>
    <row r="387" spans="1:36" ht="12.95" customHeight="1">
      <c r="C387"/>
      <c r="D387" s="37" t="s">
        <v>1134</v>
      </c>
      <c r="J387" s="1017" t="s">
        <v>736</v>
      </c>
      <c r="K387" s="1017"/>
      <c r="L387" s="1017"/>
      <c r="M387" s="1017"/>
      <c r="N387" s="1017"/>
      <c r="O387" s="1017"/>
      <c r="P387" s="1017"/>
      <c r="Q387" s="1017"/>
      <c r="R387" s="1017"/>
      <c r="S387" s="1017"/>
      <c r="T387" s="1017"/>
      <c r="U387" s="1017"/>
      <c r="V387" s="37" t="s">
        <v>1134</v>
      </c>
      <c r="W387" s="12"/>
      <c r="X387" s="12"/>
      <c r="Y387" s="12"/>
      <c r="Z387" s="12"/>
      <c r="AA387" s="12"/>
      <c r="AB387" s="12"/>
      <c r="AC387" s="1020"/>
      <c r="AD387" s="1020"/>
      <c r="AE387" s="1020"/>
      <c r="AF387" s="1020"/>
      <c r="AG387" s="1020"/>
      <c r="AH387" s="1020"/>
      <c r="AI387" s="1020"/>
      <c r="AJ387" s="1020"/>
    </row>
    <row r="388" spans="1:36" ht="12.95" customHeight="1">
      <c r="C388"/>
      <c r="D388" s="37" t="s">
        <v>747</v>
      </c>
      <c r="J388" s="1017" t="s">
        <v>1135</v>
      </c>
      <c r="K388" s="1017"/>
      <c r="L388" s="1017"/>
      <c r="M388" s="1017"/>
      <c r="N388" s="1017"/>
      <c r="O388" s="1017"/>
      <c r="P388" s="1017"/>
      <c r="Q388" s="1017"/>
      <c r="R388" s="1017"/>
      <c r="S388" s="1017"/>
      <c r="T388" s="1017"/>
      <c r="U388" s="1017"/>
      <c r="V388" s="37" t="s">
        <v>747</v>
      </c>
      <c r="W388" s="12"/>
      <c r="X388" s="12"/>
      <c r="Y388" s="12"/>
      <c r="Z388" s="12"/>
      <c r="AA388" s="12"/>
      <c r="AB388" s="12"/>
      <c r="AC388" s="1020"/>
      <c r="AD388" s="1020"/>
      <c r="AE388" s="1020"/>
      <c r="AF388" s="1020"/>
      <c r="AG388" s="1020"/>
      <c r="AH388" s="1020"/>
      <c r="AI388" s="1020"/>
      <c r="AJ388" s="1020"/>
    </row>
    <row r="389" spans="1:36" ht="12.95" customHeight="1">
      <c r="C389"/>
      <c r="D389" t="s">
        <v>1136</v>
      </c>
      <c r="J389" s="1406" t="s">
        <v>1025</v>
      </c>
      <c r="K389" s="1406"/>
      <c r="L389" s="1406"/>
      <c r="M389" s="1406"/>
      <c r="N389" s="1406"/>
      <c r="O389" s="1406"/>
      <c r="P389" s="1406"/>
      <c r="Q389" s="1406"/>
      <c r="R389" s="1406"/>
      <c r="S389" s="1406"/>
      <c r="T389" s="1406"/>
      <c r="U389" s="1406"/>
      <c r="V389" s="1020" t="s">
        <v>1137</v>
      </c>
      <c r="W389" s="1020"/>
      <c r="X389" s="1020"/>
      <c r="Y389" s="1020"/>
      <c r="Z389" s="1020"/>
      <c r="AA389" s="1020"/>
      <c r="AB389" s="1020"/>
      <c r="AC389" s="1020"/>
      <c r="AD389" s="1020"/>
      <c r="AE389" s="1020"/>
      <c r="AF389" s="1020"/>
      <c r="AG389" s="1020"/>
      <c r="AH389" s="1020"/>
      <c r="AI389" s="1020"/>
      <c r="AJ389" s="1020"/>
    </row>
    <row r="390" spans="1:36" ht="12.95" customHeight="1">
      <c r="C390"/>
      <c r="D390" t="s">
        <v>1138</v>
      </c>
      <c r="Q390" s="1103">
        <v>46099</v>
      </c>
      <c r="R390" s="1103"/>
      <c r="S390" s="1103"/>
      <c r="T390" s="1103"/>
      <c r="U390" s="1103"/>
      <c r="V390" t="s">
        <v>1139</v>
      </c>
      <c r="AI390" s="1065" t="s">
        <v>765</v>
      </c>
      <c r="AJ390" s="1065"/>
    </row>
    <row r="391" spans="1:36" ht="12.95" customHeight="1">
      <c r="C391"/>
      <c r="D391" t="s">
        <v>1140</v>
      </c>
      <c r="Q391" s="1213">
        <v>48213</v>
      </c>
      <c r="R391" s="1267"/>
      <c r="S391" s="1267"/>
      <c r="T391" s="1267"/>
      <c r="U391" s="1267"/>
      <c r="W391" s="27" t="s">
        <v>1141</v>
      </c>
      <c r="AG391" s="1106"/>
      <c r="AH391" s="1106"/>
      <c r="AI391" s="1106"/>
      <c r="AJ391" s="1106"/>
    </row>
    <row r="392" spans="1:36" ht="12.95" customHeight="1">
      <c r="C392"/>
      <c r="D392" t="s">
        <v>1142</v>
      </c>
      <c r="Q392" s="1108">
        <v>10250000</v>
      </c>
      <c r="R392" s="1108"/>
      <c r="S392" s="1108"/>
      <c r="T392" s="1108"/>
      <c r="U392" s="1108"/>
      <c r="V392" s="37" t="s">
        <v>1143</v>
      </c>
      <c r="AG392" s="1270">
        <v>46357</v>
      </c>
      <c r="AH392" s="1270"/>
      <c r="AI392" s="1270"/>
      <c r="AJ392" s="1270"/>
    </row>
    <row r="393" spans="1:36" ht="12.95" customHeight="1">
      <c r="C393"/>
      <c r="D393" t="s">
        <v>990</v>
      </c>
      <c r="I393" s="1021" t="s">
        <v>1009</v>
      </c>
      <c r="J393" s="1021"/>
      <c r="K393" s="1021"/>
      <c r="L393" s="1021"/>
      <c r="M393" s="1021"/>
      <c r="N393" s="1021"/>
      <c r="Q393" s="37" t="s">
        <v>992</v>
      </c>
      <c r="S393" s="1118"/>
      <c r="T393" s="1118"/>
      <c r="U393" s="1118"/>
      <c r="V393" t="s">
        <v>1144</v>
      </c>
      <c r="AI393" s="1065" t="s">
        <v>708</v>
      </c>
      <c r="AJ393" s="1065"/>
    </row>
    <row r="394" spans="1:36" ht="12.95" customHeight="1">
      <c r="C394"/>
      <c r="D394" t="s">
        <v>1145</v>
      </c>
      <c r="Q394" s="1145">
        <v>0</v>
      </c>
      <c r="R394" s="1145"/>
      <c r="S394" s="1145"/>
      <c r="T394" s="1145"/>
      <c r="U394" s="1145"/>
      <c r="V394" t="s">
        <v>1146</v>
      </c>
      <c r="AG394" s="1106"/>
      <c r="AH394" s="1106"/>
      <c r="AI394" s="1106"/>
      <c r="AJ394" s="1106"/>
    </row>
    <row r="395" spans="1:36" ht="12.95" customHeight="1">
      <c r="C395"/>
      <c r="D395" t="s">
        <v>1147</v>
      </c>
      <c r="Q395" s="1431"/>
      <c r="R395" s="1431"/>
      <c r="S395" s="1431"/>
      <c r="T395" s="1431"/>
      <c r="U395" s="1431"/>
      <c r="V395" t="s">
        <v>1148</v>
      </c>
      <c r="AG395" s="1106">
        <v>0</v>
      </c>
      <c r="AH395" s="1106"/>
      <c r="AI395" s="1106"/>
      <c r="AJ395" s="1106"/>
    </row>
    <row r="396" spans="1:36" ht="12.95" customHeight="1">
      <c r="C396"/>
      <c r="D396" t="s">
        <v>1149</v>
      </c>
      <c r="AG396" s="1106">
        <v>0</v>
      </c>
      <c r="AH396" s="1106"/>
      <c r="AI396" s="1106"/>
      <c r="AJ396" s="1106"/>
    </row>
    <row r="397" spans="1:36" ht="12.95" customHeight="1">
      <c r="C397"/>
      <c r="AG397" s="724"/>
      <c r="AH397" s="724"/>
      <c r="AI397" s="724"/>
      <c r="AJ397" s="724"/>
    </row>
    <row r="398" spans="1:36" ht="12.95" customHeight="1">
      <c r="C398"/>
      <c r="D398" s="37" t="s">
        <v>1150</v>
      </c>
      <c r="AG398" s="724"/>
      <c r="AH398" s="724"/>
      <c r="AI398" s="1065" t="s">
        <v>708</v>
      </c>
      <c r="AJ398" s="1065"/>
    </row>
    <row r="399" spans="1:36" ht="12.95" customHeight="1">
      <c r="C399"/>
      <c r="D399" s="37" t="s">
        <v>1151</v>
      </c>
      <c r="T399" s="1088" t="s">
        <v>326</v>
      </c>
      <c r="U399" s="1088"/>
      <c r="V399" s="1088"/>
      <c r="W399" s="1088"/>
      <c r="X399" s="1088"/>
      <c r="Y399" s="1088"/>
      <c r="Z399" s="1088"/>
      <c r="AA399" s="1088"/>
      <c r="AB399" s="1088"/>
      <c r="AC399" s="1088"/>
      <c r="AD399" s="1088"/>
      <c r="AE399" s="1088"/>
      <c r="AF399" s="1088"/>
      <c r="AG399" s="1088"/>
      <c r="AH399" s="1088"/>
      <c r="AI399" s="1088"/>
      <c r="AJ399" s="1088"/>
    </row>
    <row r="400" spans="1:36" ht="12.95" customHeight="1">
      <c r="C400"/>
      <c r="D400" s="37" t="s">
        <v>1152</v>
      </c>
      <c r="T400" s="1088"/>
      <c r="U400" s="1088"/>
      <c r="V400" s="1088"/>
      <c r="W400" s="1088"/>
      <c r="X400" s="1088"/>
      <c r="Y400" s="1088"/>
      <c r="Z400" s="1088"/>
      <c r="AA400" s="1088"/>
      <c r="AB400" s="1088"/>
      <c r="AC400" s="1088"/>
      <c r="AD400" s="1088"/>
      <c r="AE400" s="1088"/>
      <c r="AF400" s="1088"/>
      <c r="AG400" s="1088"/>
      <c r="AH400" s="1088"/>
      <c r="AI400" s="1088"/>
      <c r="AJ400" s="1088"/>
    </row>
    <row r="401" spans="1:36" ht="12.95" customHeight="1">
      <c r="C401"/>
      <c r="AG401" s="724"/>
      <c r="AH401" s="724"/>
      <c r="AI401" s="724"/>
      <c r="AJ401" s="724"/>
    </row>
    <row r="402" spans="1:36" ht="12.95" customHeight="1">
      <c r="C402"/>
      <c r="D402" s="37" t="s">
        <v>1153</v>
      </c>
      <c r="S402" s="1088" t="s">
        <v>708</v>
      </c>
      <c r="T402" s="1088"/>
      <c r="U402" s="1088"/>
      <c r="V402" t="s">
        <v>1154</v>
      </c>
      <c r="AG402" s="1102"/>
      <c r="AH402" s="1102"/>
      <c r="AI402" s="1102"/>
      <c r="AJ402" s="1102"/>
    </row>
    <row r="403" spans="1:36" ht="12.95" customHeight="1">
      <c r="C403"/>
      <c r="D403" s="37" t="s">
        <v>1155</v>
      </c>
      <c r="S403" s="1088" t="s">
        <v>326</v>
      </c>
      <c r="T403" s="1088"/>
      <c r="U403" s="1088"/>
      <c r="V403" t="s">
        <v>1156</v>
      </c>
      <c r="AE403" s="1432"/>
      <c r="AF403" s="1432"/>
      <c r="AG403" s="1432"/>
      <c r="AH403" s="1432"/>
      <c r="AI403" s="1432"/>
      <c r="AJ403" s="1432"/>
    </row>
    <row r="404" spans="1:36" ht="12.95" customHeight="1">
      <c r="C404"/>
      <c r="D404" s="37" t="s">
        <v>1157</v>
      </c>
      <c r="K404" s="1101"/>
      <c r="L404" s="1101"/>
      <c r="M404" s="1101"/>
      <c r="N404" s="1101"/>
      <c r="O404" s="1101"/>
      <c r="P404" s="1101"/>
      <c r="Q404" s="1101"/>
      <c r="R404" s="1101"/>
      <c r="S404" s="1101"/>
      <c r="T404" s="1101"/>
      <c r="U404" s="1101"/>
      <c r="V404" s="1101"/>
      <c r="W404" s="1101"/>
      <c r="X404" s="1101"/>
      <c r="Y404" s="1101"/>
      <c r="Z404" s="1101"/>
      <c r="AA404" s="1101"/>
      <c r="AB404" s="1101"/>
      <c r="AC404" s="1101"/>
      <c r="AD404" s="1101"/>
      <c r="AE404" s="1101"/>
      <c r="AF404" s="1101"/>
      <c r="AG404" s="1101"/>
      <c r="AH404" s="1101"/>
      <c r="AI404" s="1101"/>
      <c r="AJ404" s="1101"/>
    </row>
    <row r="405" spans="1:36" ht="12.95" customHeight="1">
      <c r="C405"/>
      <c r="D405" s="37" t="s">
        <v>1158</v>
      </c>
      <c r="K405" s="1101"/>
      <c r="L405" s="1101"/>
      <c r="M405" s="1101"/>
      <c r="N405" s="1101"/>
      <c r="O405" s="1101"/>
      <c r="P405" s="1101"/>
      <c r="Q405" s="1101"/>
      <c r="R405" s="1101"/>
      <c r="S405" s="1101"/>
      <c r="T405" s="1101"/>
      <c r="U405" s="1101"/>
      <c r="V405" s="1101"/>
      <c r="W405" s="1101"/>
      <c r="X405" s="1101"/>
      <c r="Y405" s="1101"/>
      <c r="Z405" s="1101"/>
      <c r="AA405" s="1101"/>
      <c r="AB405" s="1101"/>
      <c r="AC405" s="1101"/>
      <c r="AD405" s="1101"/>
      <c r="AE405" s="1101"/>
      <c r="AF405" s="1101"/>
      <c r="AG405" s="1101"/>
      <c r="AH405" s="1101"/>
      <c r="AI405" s="1101"/>
      <c r="AJ405" s="1101"/>
    </row>
    <row r="406" spans="1:36" ht="12.95" customHeight="1">
      <c r="C406"/>
      <c r="D406" s="37" t="s">
        <v>1159</v>
      </c>
      <c r="E406" s="705"/>
      <c r="F406" s="705"/>
      <c r="G406" s="705"/>
      <c r="H406" s="705"/>
      <c r="I406" s="705"/>
      <c r="J406" s="705"/>
      <c r="K406" s="705"/>
      <c r="L406" s="705"/>
      <c r="M406" s="705"/>
      <c r="N406" s="705"/>
      <c r="O406" s="705"/>
      <c r="P406" s="705"/>
      <c r="Q406" s="705"/>
      <c r="R406" s="705"/>
      <c r="S406" s="1104" t="s">
        <v>1160</v>
      </c>
      <c r="T406" s="1104"/>
      <c r="U406" s="1104"/>
      <c r="V406" s="1104"/>
      <c r="W406" s="1104"/>
      <c r="X406" s="1104"/>
      <c r="Y406" s="1104"/>
      <c r="Z406" s="1104"/>
      <c r="AA406" s="1104"/>
      <c r="AB406" s="1104"/>
      <c r="AC406" s="1104"/>
      <c r="AD406" s="1104"/>
      <c r="AE406" s="1104"/>
      <c r="AF406" s="1104"/>
      <c r="AG406" s="1104"/>
      <c r="AH406" s="1104"/>
      <c r="AI406" s="1104"/>
      <c r="AJ406" s="1104"/>
    </row>
    <row r="407" spans="1:36" ht="12.95" customHeight="1">
      <c r="C407"/>
      <c r="D407" s="948" t="s">
        <v>1161</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4"/>
      <c r="AH409" s="724"/>
      <c r="AI409" s="724"/>
      <c r="AJ409" s="724"/>
    </row>
    <row r="410" spans="1:36" ht="12.95" customHeight="1">
      <c r="A410" s="3" t="s">
        <v>930</v>
      </c>
      <c r="B410" s="3"/>
      <c r="C410" s="3" t="s">
        <v>156</v>
      </c>
    </row>
    <row r="411" spans="1:36" ht="12.95" customHeight="1">
      <c r="C411"/>
      <c r="D411" s="3" t="s">
        <v>1162</v>
      </c>
      <c r="I411" s="1016" t="s">
        <v>1163</v>
      </c>
      <c r="J411" s="1016"/>
      <c r="K411" s="1016"/>
      <c r="L411" s="1016"/>
      <c r="M411" s="1016"/>
      <c r="N411" s="1016"/>
      <c r="O411" s="1016"/>
      <c r="P411" s="1016"/>
      <c r="Q411" s="1016"/>
      <c r="R411" s="1016"/>
      <c r="S411" s="1016"/>
      <c r="T411" s="1016"/>
      <c r="U411" s="1016"/>
      <c r="V411" s="1016"/>
      <c r="W411" s="1016"/>
      <c r="X411" s="1016"/>
      <c r="Y411" s="1016"/>
      <c r="Z411" s="1016"/>
      <c r="AA411" s="1016"/>
      <c r="AB411" s="1016"/>
      <c r="AC411" s="1016"/>
      <c r="AD411" s="1016"/>
    </row>
    <row r="412" spans="1:36" ht="12.95" customHeight="1">
      <c r="C412"/>
      <c r="E412" t="s">
        <v>1164</v>
      </c>
      <c r="R412" s="1065" t="s">
        <v>765</v>
      </c>
      <c r="S412" s="1065"/>
      <c r="T412" t="s">
        <v>1165</v>
      </c>
      <c r="AD412" s="1063">
        <v>3</v>
      </c>
      <c r="AE412" s="1063"/>
    </row>
    <row r="413" spans="1:36" ht="12.95" customHeight="1">
      <c r="C413"/>
      <c r="E413" t="s">
        <v>1166</v>
      </c>
      <c r="R413" s="1065" t="s">
        <v>326</v>
      </c>
      <c r="S413" s="1065"/>
      <c r="T413" t="s">
        <v>1165</v>
      </c>
      <c r="AD413" s="1063">
        <v>0</v>
      </c>
      <c r="AE413" s="1063"/>
    </row>
    <row r="414" spans="1:36" ht="12.95" customHeight="1">
      <c r="C414"/>
      <c r="E414" t="s">
        <v>1167</v>
      </c>
      <c r="S414" s="1065" t="s">
        <v>326</v>
      </c>
      <c r="T414" s="1065"/>
    </row>
    <row r="415" spans="1:36" ht="12.95" customHeight="1">
      <c r="C415"/>
      <c r="E415" t="s">
        <v>1168</v>
      </c>
      <c r="H415" s="1493" t="s">
        <v>1169</v>
      </c>
      <c r="I415" s="1493"/>
      <c r="J415" s="1493"/>
      <c r="K415" s="1493"/>
      <c r="L415" s="1493"/>
      <c r="M415" s="1493"/>
      <c r="N415" s="1493"/>
      <c r="O415" s="1493"/>
      <c r="P415" s="1493"/>
      <c r="Q415" s="1493"/>
      <c r="R415" s="1493"/>
      <c r="S415" s="1493"/>
      <c r="T415" s="1493"/>
      <c r="U415" s="1493"/>
      <c r="V415" s="1493"/>
      <c r="W415" s="1493"/>
      <c r="X415" s="1493"/>
      <c r="Y415" s="1493"/>
      <c r="Z415" s="1493"/>
      <c r="AA415" s="1493"/>
      <c r="AB415" s="1493"/>
      <c r="AC415" s="1493"/>
      <c r="AD415" s="1493"/>
      <c r="AE415" s="1493"/>
      <c r="AF415" s="1493"/>
      <c r="AG415" s="1493"/>
      <c r="AH415" s="1493"/>
      <c r="AI415" s="1493"/>
      <c r="AJ415" s="1493"/>
    </row>
    <row r="416" spans="1:36" ht="12.95" customHeight="1">
      <c r="C416"/>
      <c r="H416" s="1494"/>
      <c r="I416" s="1494"/>
      <c r="J416" s="1494"/>
      <c r="K416" s="1494"/>
      <c r="L416" s="1494"/>
      <c r="M416" s="1494"/>
      <c r="N416" s="1494"/>
      <c r="O416" s="1494"/>
      <c r="P416" s="1494"/>
      <c r="Q416" s="1494"/>
      <c r="R416" s="1494"/>
      <c r="S416" s="1494"/>
      <c r="T416" s="1494"/>
      <c r="U416" s="1494"/>
      <c r="V416" s="1494"/>
      <c r="W416" s="1494"/>
      <c r="X416" s="1494"/>
      <c r="Y416" s="1494"/>
      <c r="Z416" s="1494"/>
      <c r="AA416" s="1494"/>
      <c r="AB416" s="1494"/>
      <c r="AC416" s="1494"/>
      <c r="AD416" s="1494"/>
      <c r="AE416" s="1494"/>
      <c r="AF416" s="1494"/>
      <c r="AG416" s="1494"/>
      <c r="AH416" s="1494"/>
      <c r="AI416" s="1494"/>
      <c r="AJ416" s="1494"/>
    </row>
    <row r="417" spans="1:36" ht="12.95" customHeight="1">
      <c r="C417"/>
    </row>
    <row r="418" spans="1:36" ht="12.95" customHeight="1">
      <c r="A418" s="3" t="s">
        <v>942</v>
      </c>
      <c r="B418" s="3"/>
      <c r="C418" s="3"/>
      <c r="D418" s="3" t="s">
        <v>161</v>
      </c>
      <c r="AE418" s="37"/>
      <c r="AF418" s="3" t="s">
        <v>1170</v>
      </c>
    </row>
    <row r="419" spans="1:36" ht="12.95" customHeight="1">
      <c r="C419"/>
      <c r="E419" s="1433"/>
      <c r="F419" s="1433"/>
      <c r="G419" s="1433"/>
      <c r="H419" s="18" t="s">
        <v>1171</v>
      </c>
      <c r="I419" s="1433"/>
      <c r="J419" s="1433"/>
      <c r="K419" s="1433"/>
      <c r="L419" t="s">
        <v>1172</v>
      </c>
      <c r="N419" s="31" t="s">
        <v>1173</v>
      </c>
      <c r="P419" s="1434">
        <v>0.44055</v>
      </c>
      <c r="Q419" s="1434"/>
      <c r="R419" s="1434"/>
      <c r="S419" t="s">
        <v>1174</v>
      </c>
      <c r="W419" s="1435">
        <f>IF(E419&gt;0,(E419*I419),(P419*43560))</f>
        <v>19190.358</v>
      </c>
      <c r="X419" s="1435"/>
      <c r="Y419" s="1435"/>
      <c r="Z419" t="s">
        <v>1175</v>
      </c>
      <c r="AF419" s="1109" cm="1">
        <f t="array" ref="AF419">_xlfn.IFS(P419&gt;0,(AG438/P419),W419&gt;0,(AG438/(W419/43560)),TRUE,0)</f>
        <v>131.6536147996822</v>
      </c>
      <c r="AG419" s="1109"/>
      <c r="AH419" s="1109"/>
    </row>
    <row r="420" spans="1:36" ht="12.95" customHeight="1">
      <c r="C420"/>
      <c r="E420" t="s">
        <v>1176</v>
      </c>
    </row>
    <row r="421" spans="1:36" ht="12.95" customHeight="1">
      <c r="C421"/>
      <c r="E421" s="1412"/>
      <c r="F421" s="1412"/>
      <c r="G421" s="1412"/>
      <c r="H421" s="1412"/>
      <c r="I421" s="1412"/>
      <c r="J421" s="1412"/>
      <c r="K421" s="1412"/>
      <c r="L421" s="1412"/>
      <c r="M421" s="1412"/>
      <c r="N421" s="1412"/>
      <c r="O421" s="1412"/>
      <c r="P421" s="1412"/>
      <c r="Q421" s="1412"/>
      <c r="R421" s="1412"/>
      <c r="S421" s="1412"/>
      <c r="T421" s="1412"/>
      <c r="U421" s="1412"/>
      <c r="V421" s="1412"/>
      <c r="W421" s="1412"/>
      <c r="X421" s="1412"/>
      <c r="Y421" s="1412"/>
      <c r="Z421" s="1412"/>
      <c r="AA421" s="1412"/>
      <c r="AB421" s="1412"/>
      <c r="AC421" s="1412"/>
      <c r="AD421" s="1412"/>
      <c r="AE421" s="1412"/>
      <c r="AF421" s="1412"/>
      <c r="AG421" s="1412"/>
      <c r="AH421" s="1412"/>
      <c r="AI421" s="1412"/>
      <c r="AJ421" s="1412"/>
    </row>
    <row r="422" spans="1:36" ht="12.95" customHeight="1">
      <c r="C422"/>
      <c r="E422" s="230" t="s">
        <v>1177</v>
      </c>
      <c r="F422" s="27"/>
      <c r="G422" s="27"/>
      <c r="H422" s="27"/>
      <c r="I422" s="1408">
        <f>P419</f>
        <v>0.44055</v>
      </c>
      <c r="J422" s="1408"/>
      <c r="K422" s="1408"/>
      <c r="L422" s="27"/>
      <c r="M422" s="230"/>
      <c r="N422" s="27"/>
      <c r="O422" s="27"/>
      <c r="P422" s="1444">
        <f>(CQ636+CS641+CQ655)/I422</f>
        <v>131.6536147996822</v>
      </c>
      <c r="Q422" s="1444"/>
      <c r="R422" s="1444"/>
      <c r="S422" s="230" t="s">
        <v>1178</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951</v>
      </c>
      <c r="B424" s="3"/>
      <c r="C424" s="3"/>
      <c r="D424" s="3" t="s">
        <v>163</v>
      </c>
    </row>
    <row r="425" spans="1:36" ht="12.95" customHeight="1">
      <c r="C425"/>
      <c r="E425" t="s">
        <v>1179</v>
      </c>
      <c r="P425" s="1065">
        <v>1</v>
      </c>
      <c r="Q425" s="1065"/>
      <c r="S425" t="s">
        <v>1180</v>
      </c>
      <c r="AE425" s="1065">
        <v>1</v>
      </c>
      <c r="AF425" s="1065"/>
    </row>
    <row r="426" spans="1:36" ht="12.95" customHeight="1">
      <c r="C426"/>
      <c r="E426" t="s">
        <v>1181</v>
      </c>
      <c r="P426" s="1065">
        <v>0</v>
      </c>
      <c r="Q426" s="1065"/>
      <c r="S426" t="s">
        <v>1182</v>
      </c>
      <c r="AE426" s="1065" t="s">
        <v>326</v>
      </c>
      <c r="AF426" s="1065"/>
    </row>
    <row r="427" spans="1:36" ht="12.95" customHeight="1">
      <c r="C427"/>
      <c r="F427" s="4" t="s">
        <v>1183</v>
      </c>
    </row>
    <row r="428" spans="1:36" ht="12.95" customHeight="1">
      <c r="C428"/>
      <c r="F428" s="1284"/>
      <c r="G428" s="1284"/>
      <c r="H428" s="1284"/>
      <c r="I428" s="1284"/>
      <c r="J428" s="1284"/>
      <c r="K428" s="1284"/>
      <c r="L428" s="1284"/>
      <c r="M428" s="1284"/>
      <c r="N428" s="1284"/>
      <c r="O428" s="1284"/>
      <c r="P428" s="1284"/>
      <c r="Q428" s="1284"/>
      <c r="R428" s="1284"/>
      <c r="S428" s="1284"/>
      <c r="T428" s="1284"/>
      <c r="U428" s="1284"/>
      <c r="V428" s="1284"/>
      <c r="W428" s="1284"/>
      <c r="X428" s="1284"/>
      <c r="Y428" s="1284"/>
      <c r="Z428" s="1284"/>
      <c r="AA428" s="1284"/>
      <c r="AB428" s="1284"/>
      <c r="AC428" s="1284"/>
      <c r="AD428" s="1284"/>
      <c r="AE428" s="1284"/>
      <c r="AF428" s="1284"/>
      <c r="AG428" s="1284"/>
      <c r="AH428" s="1284"/>
    </row>
    <row r="429" spans="1:36" ht="12.95" customHeight="1">
      <c r="C429"/>
      <c r="F429" s="1285"/>
      <c r="G429" s="1285"/>
      <c r="H429" s="1285"/>
      <c r="I429" s="1285"/>
      <c r="J429" s="1285"/>
      <c r="K429" s="1285"/>
      <c r="L429" s="1285"/>
      <c r="M429" s="1285"/>
      <c r="N429" s="1285"/>
      <c r="O429" s="1285"/>
      <c r="P429" s="1285"/>
      <c r="Q429" s="1285"/>
      <c r="R429" s="1285"/>
      <c r="S429" s="1285"/>
      <c r="T429" s="1285"/>
      <c r="U429" s="1285"/>
      <c r="V429" s="1285"/>
      <c r="W429" s="1285"/>
      <c r="X429" s="1285"/>
      <c r="Y429" s="1285"/>
      <c r="Z429" s="1285"/>
      <c r="AA429" s="1285"/>
      <c r="AB429" s="1285"/>
      <c r="AC429" s="1285"/>
      <c r="AD429" s="1285"/>
      <c r="AE429" s="1285"/>
      <c r="AF429" s="1285"/>
      <c r="AG429" s="1285"/>
      <c r="AH429" s="1285"/>
    </row>
    <row r="430" spans="1:36" ht="12.95" customHeight="1">
      <c r="C430"/>
      <c r="E430" t="s">
        <v>1184</v>
      </c>
      <c r="P430" s="1"/>
      <c r="Q430" s="1065" t="s">
        <v>765</v>
      </c>
      <c r="R430" s="1065"/>
      <c r="AE430" s="1"/>
      <c r="AF430" s="1"/>
    </row>
    <row r="431" spans="1:36" ht="12.95" customHeight="1">
      <c r="C431"/>
      <c r="F431" t="s">
        <v>1185</v>
      </c>
      <c r="P431" s="1"/>
      <c r="Q431" s="1"/>
      <c r="AE431" s="1065" t="s">
        <v>326</v>
      </c>
      <c r="AF431" s="1873"/>
    </row>
    <row r="432" spans="1:36" ht="12.95" customHeight="1">
      <c r="C432"/>
    </row>
    <row r="433" spans="1:36" ht="12.95" customHeight="1">
      <c r="A433" s="3"/>
      <c r="B433" s="3"/>
      <c r="C433" s="3"/>
      <c r="E433" s="37" t="s">
        <v>1186</v>
      </c>
      <c r="Z433" s="1065" t="s">
        <v>708</v>
      </c>
      <c r="AA433" s="1065"/>
    </row>
    <row r="434" spans="1:36" ht="12.95" customHeight="1">
      <c r="C434"/>
      <c r="F434" s="41" t="s">
        <v>1187</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1188</v>
      </c>
      <c r="G435" s="42"/>
      <c r="I435" s="42"/>
      <c r="J435" s="42"/>
      <c r="K435" s="42"/>
      <c r="L435" s="42"/>
      <c r="M435" s="42"/>
      <c r="N435" s="42"/>
      <c r="Q435" s="37"/>
      <c r="R435" s="42"/>
      <c r="S435" s="42"/>
      <c r="T435" s="42"/>
      <c r="U435" s="42"/>
      <c r="V435" s="42"/>
      <c r="W435" s="42"/>
      <c r="Z435" s="1065" t="s">
        <v>326</v>
      </c>
      <c r="AA435" s="1065"/>
    </row>
    <row r="436" spans="1:36" ht="12.95" customHeight="1">
      <c r="C436"/>
    </row>
    <row r="437" spans="1:36" ht="12.95" customHeight="1">
      <c r="A437" s="3" t="s">
        <v>972</v>
      </c>
      <c r="B437" s="3"/>
      <c r="C437" s="3"/>
      <c r="D437" s="3" t="s">
        <v>170</v>
      </c>
      <c r="AF437" s="47"/>
    </row>
    <row r="438" spans="1:36" ht="12.95" customHeight="1">
      <c r="C438"/>
      <c r="D438" s="1152" t="s">
        <v>1189</v>
      </c>
      <c r="E438" s="1153"/>
      <c r="F438" s="1153"/>
      <c r="G438" s="1153"/>
      <c r="H438" s="1153"/>
      <c r="I438" s="1153"/>
      <c r="J438" s="1153"/>
      <c r="K438" s="1153"/>
      <c r="L438" s="1153"/>
      <c r="M438" s="1153"/>
      <c r="N438" s="1153"/>
      <c r="O438" s="1153"/>
      <c r="P438" s="1153"/>
      <c r="Q438" s="1153"/>
      <c r="R438" s="1153"/>
      <c r="S438" s="1153"/>
      <c r="T438" s="1153"/>
      <c r="U438" s="1153"/>
      <c r="V438" s="1153"/>
      <c r="W438" s="1153"/>
      <c r="X438" s="1153"/>
      <c r="Y438" s="1153"/>
      <c r="Z438" s="1153"/>
      <c r="AA438" s="1153"/>
      <c r="AB438" s="1153"/>
      <c r="AC438" s="1153"/>
      <c r="AD438" s="1153"/>
      <c r="AE438" s="1153"/>
      <c r="AF438" s="1411"/>
      <c r="AG438" s="1421">
        <v>58</v>
      </c>
      <c r="AH438" s="1421"/>
      <c r="AI438" s="1421"/>
      <c r="AJ438" s="1421"/>
    </row>
    <row r="439" spans="1:36" ht="12.95" customHeight="1">
      <c r="C439"/>
      <c r="D439" s="1154" t="s">
        <v>1190</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445">
        <v>0</v>
      </c>
      <c r="AH439" s="1186"/>
      <c r="AI439" s="1186"/>
      <c r="AJ439" s="1186"/>
    </row>
    <row r="440" spans="1:36" ht="12.95" customHeight="1">
      <c r="C440"/>
      <c r="D440" s="1154" t="s">
        <v>1191</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421">
        <v>57</v>
      </c>
      <c r="AH440" s="1421"/>
      <c r="AI440" s="1421"/>
      <c r="AJ440" s="1421"/>
    </row>
    <row r="441" spans="1:36" ht="12.95" customHeight="1">
      <c r="C441"/>
      <c r="D441" s="1154" t="s">
        <v>1192</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421">
        <v>57</v>
      </c>
      <c r="AH441" s="1421"/>
      <c r="AI441" s="1421"/>
      <c r="AJ441" s="1421"/>
    </row>
    <row r="442" spans="1:36" ht="12.95" customHeight="1">
      <c r="C442"/>
      <c r="D442" s="1154" t="s">
        <v>1193</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120">
        <f>IF(ISERROR(AG441/AG440),"",AG441/AG440)</f>
        <v>1</v>
      </c>
      <c r="AH442" s="1120"/>
      <c r="AI442" s="1120"/>
      <c r="AJ442" s="1120"/>
    </row>
    <row r="443" spans="1:36" ht="12.95" customHeight="1">
      <c r="C443"/>
      <c r="D443" s="1154" t="s">
        <v>1194</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64">
        <v>20782</v>
      </c>
      <c r="AH443" s="1364"/>
      <c r="AI443" s="1364"/>
      <c r="AJ443" s="1364"/>
    </row>
    <row r="444" spans="1:36" ht="12.95" customHeight="1">
      <c r="C444"/>
      <c r="D444" s="1154" t="s">
        <v>1195</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64">
        <v>20782</v>
      </c>
      <c r="AH444" s="1364"/>
      <c r="AI444" s="1364"/>
      <c r="AJ444" s="1364"/>
    </row>
    <row r="445" spans="1:36" ht="12.95" customHeight="1">
      <c r="C445"/>
      <c r="D445" s="1154" t="s">
        <v>1196</v>
      </c>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3"/>
      <c r="AG445" s="1120">
        <f>IF(ISERROR(AG444/AG443),"",AG444/AG443)</f>
        <v>1</v>
      </c>
      <c r="AH445" s="1120"/>
      <c r="AI445" s="1120"/>
      <c r="AJ445" s="1120"/>
    </row>
    <row r="446" spans="1:36" ht="12.95" customHeight="1">
      <c r="C446"/>
      <c r="D446" s="1154" t="s">
        <v>1197</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363"/>
      <c r="AG446" s="1120">
        <f>MIN(IF(AG442&gt;AG445,AG445,AG442),1)</f>
        <v>1</v>
      </c>
      <c r="AH446" s="1120"/>
      <c r="AI446" s="1120"/>
      <c r="AJ446" s="1120"/>
    </row>
    <row r="447" spans="1:36" ht="12.95" customHeight="1">
      <c r="C447"/>
      <c r="D447" s="1154" t="s">
        <v>1198</v>
      </c>
      <c r="E447" s="1153"/>
      <c r="F447" s="1153"/>
      <c r="G447" s="1153"/>
      <c r="H447" s="1153"/>
      <c r="I447" s="1153"/>
      <c r="J447" s="1153"/>
      <c r="K447" s="1153"/>
      <c r="L447" s="1153"/>
      <c r="M447" s="1153"/>
      <c r="N447" s="1153"/>
      <c r="O447" s="1153"/>
      <c r="P447" s="1153"/>
      <c r="Q447" s="1153"/>
      <c r="R447" s="1153"/>
      <c r="S447" s="1153"/>
      <c r="T447" s="1153"/>
      <c r="U447" s="1153"/>
      <c r="V447" s="1153"/>
      <c r="W447" s="1153"/>
      <c r="X447" s="1153"/>
      <c r="Y447" s="1153"/>
      <c r="Z447" s="1153"/>
      <c r="AA447" s="1153"/>
      <c r="AB447" s="1153"/>
      <c r="AC447" s="1153"/>
      <c r="AD447" s="1153"/>
      <c r="AE447" s="1153"/>
      <c r="AF447" s="1411"/>
      <c r="AG447" s="1364">
        <v>2756</v>
      </c>
      <c r="AH447" s="1364"/>
      <c r="AI447" s="1364"/>
      <c r="AJ447" s="1364"/>
    </row>
    <row r="448" spans="1:36" ht="12.95" customHeight="1">
      <c r="C448"/>
      <c r="D448" s="1154" t="s">
        <v>1199</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363"/>
      <c r="AG448" s="1364">
        <v>0</v>
      </c>
      <c r="AH448" s="1364"/>
      <c r="AI448" s="1364"/>
      <c r="AJ448" s="1364"/>
    </row>
    <row r="449" spans="1:36" ht="12.95" customHeight="1">
      <c r="C449"/>
      <c r="D449" s="1154" t="s">
        <v>1200</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363"/>
      <c r="AG449" s="1364">
        <v>8859</v>
      </c>
      <c r="AH449" s="1364"/>
      <c r="AI449" s="1364"/>
      <c r="AJ449" s="1364"/>
    </row>
    <row r="450" spans="1:36" ht="12.95" customHeight="1">
      <c r="C450"/>
      <c r="D450" s="1154" t="s">
        <v>1201</v>
      </c>
      <c r="E450" s="1362"/>
      <c r="F450" s="1362"/>
      <c r="G450" s="1362"/>
      <c r="H450" s="1362"/>
      <c r="I450" s="1362"/>
      <c r="J450" s="1362"/>
      <c r="K450" s="1362"/>
      <c r="L450" s="1362"/>
      <c r="M450" s="1362"/>
      <c r="N450" s="1362"/>
      <c r="O450" s="1362"/>
      <c r="P450" s="1362"/>
      <c r="Q450" s="1362"/>
      <c r="R450" s="1362"/>
      <c r="S450" s="1362"/>
      <c r="T450" s="1362"/>
      <c r="U450" s="1362"/>
      <c r="V450" s="1362"/>
      <c r="W450" s="1362"/>
      <c r="X450" s="1362"/>
      <c r="Y450" s="1362"/>
      <c r="Z450" s="1362"/>
      <c r="AA450" s="1362"/>
      <c r="AB450" s="1362"/>
      <c r="AC450" s="1362"/>
      <c r="AD450" s="1362"/>
      <c r="AE450" s="1362"/>
      <c r="AF450" s="1363"/>
      <c r="AG450" s="1364">
        <v>10980</v>
      </c>
      <c r="AH450" s="1364"/>
      <c r="AI450" s="1364"/>
      <c r="AJ450" s="1364"/>
    </row>
    <row r="451" spans="1:36" ht="12.95" customHeight="1">
      <c r="C451"/>
      <c r="D451" s="1154" t="s">
        <v>1202</v>
      </c>
      <c r="E451" s="1362"/>
      <c r="F451" s="1362"/>
      <c r="G451" s="1362"/>
      <c r="H451" s="1362"/>
      <c r="I451" s="1362"/>
      <c r="J451" s="1362"/>
      <c r="K451" s="1362"/>
      <c r="L451" s="1362"/>
      <c r="M451" s="1362"/>
      <c r="N451" s="1362"/>
      <c r="O451" s="1362"/>
      <c r="P451" s="1362"/>
      <c r="Q451" s="1362"/>
      <c r="R451" s="1362"/>
      <c r="S451" s="1362"/>
      <c r="T451" s="1362"/>
      <c r="U451" s="1362"/>
      <c r="V451" s="1362"/>
      <c r="W451" s="1362"/>
      <c r="X451" s="1362"/>
      <c r="Y451" s="1362"/>
      <c r="Z451" s="1362"/>
      <c r="AA451" s="1362"/>
      <c r="AB451" s="1362"/>
      <c r="AC451" s="1362"/>
      <c r="AD451" s="1362"/>
      <c r="AE451" s="1362"/>
      <c r="AF451" s="1363"/>
      <c r="AG451" s="1407">
        <f>AG443+AG447+AG449+AG450</f>
        <v>43377</v>
      </c>
      <c r="AH451" s="1407"/>
      <c r="AI451" s="1407"/>
      <c r="AJ451" s="1407"/>
    </row>
    <row r="452" spans="1:36" ht="12.95" customHeight="1">
      <c r="C452"/>
      <c r="D452" s="1409" t="s">
        <v>1203</v>
      </c>
      <c r="E452" s="1409"/>
      <c r="F452" s="1409"/>
      <c r="G452" s="1409"/>
      <c r="H452" s="1409"/>
      <c r="I452" s="1409"/>
      <c r="J452" s="1409"/>
      <c r="K452" s="1409"/>
      <c r="L452" s="1409"/>
      <c r="M452" s="1409"/>
      <c r="N452" s="1409"/>
      <c r="O452" s="1409"/>
      <c r="P452" s="1409"/>
      <c r="Q452" s="1409"/>
      <c r="R452" s="1409"/>
      <c r="S452" s="1409"/>
      <c r="T452" s="1409"/>
      <c r="U452" s="1409"/>
      <c r="V452" s="1409"/>
      <c r="W452" s="1409"/>
      <c r="X452" s="1409"/>
      <c r="Y452" s="1409"/>
      <c r="Z452" s="1409"/>
      <c r="AA452" s="1409"/>
      <c r="AB452" s="1409"/>
      <c r="AC452" s="1409"/>
      <c r="AD452" s="1409"/>
      <c r="AE452" s="1409"/>
      <c r="AF452" s="1409"/>
      <c r="AG452" s="1409"/>
      <c r="AH452" s="1409"/>
      <c r="AI452" s="1409"/>
      <c r="AJ452" s="1409"/>
    </row>
    <row r="453" spans="1:36" ht="12.95" customHeight="1">
      <c r="C453"/>
      <c r="D453" s="1410"/>
      <c r="E453" s="1410"/>
      <c r="F453" s="1410"/>
      <c r="G453" s="1410"/>
      <c r="H453" s="1410"/>
      <c r="I453" s="1410"/>
      <c r="J453" s="1410"/>
      <c r="K453" s="1410"/>
      <c r="L453" s="1410"/>
      <c r="M453" s="1410"/>
      <c r="N453" s="1410"/>
      <c r="O453" s="1410"/>
      <c r="P453" s="1410"/>
      <c r="Q453" s="1410"/>
      <c r="R453" s="1410"/>
      <c r="S453" s="1410"/>
      <c r="T453" s="1410"/>
      <c r="U453" s="1410"/>
      <c r="V453" s="1410"/>
      <c r="W453" s="1410"/>
      <c r="X453" s="1410"/>
      <c r="Y453" s="1410"/>
      <c r="Z453" s="1410"/>
      <c r="AA453" s="1410"/>
      <c r="AB453" s="1410"/>
      <c r="AC453" s="1410"/>
      <c r="AD453" s="1410"/>
      <c r="AE453" s="1410"/>
      <c r="AF453" s="1410"/>
      <c r="AG453" s="1410"/>
      <c r="AH453" s="1410"/>
      <c r="AI453" s="1410"/>
      <c r="AJ453" s="1410"/>
    </row>
    <row r="454" spans="1:36" ht="12.95" customHeight="1">
      <c r="C454"/>
      <c r="D454" s="1097"/>
      <c r="E454" s="1097"/>
      <c r="F454" s="1097"/>
      <c r="G454" s="1097"/>
      <c r="H454" s="1097"/>
      <c r="I454" s="1097"/>
      <c r="J454" s="1097"/>
      <c r="K454" s="1097"/>
      <c r="L454" s="1097"/>
      <c r="M454" s="1097"/>
      <c r="N454" s="1097"/>
      <c r="O454" s="1097"/>
      <c r="P454" s="1097"/>
      <c r="Q454" s="1097"/>
      <c r="R454" s="1097"/>
      <c r="S454" s="1097"/>
      <c r="T454" s="1097"/>
      <c r="U454" s="1097"/>
      <c r="V454" s="1097"/>
      <c r="W454" s="1097"/>
      <c r="X454" s="1097"/>
      <c r="Y454" s="1097"/>
      <c r="Z454" s="1097"/>
      <c r="AA454" s="1097"/>
      <c r="AB454" s="1097"/>
      <c r="AC454" s="1097"/>
      <c r="AD454" s="1097"/>
      <c r="AE454" s="1097"/>
      <c r="AF454" s="1097"/>
      <c r="AG454" s="1097"/>
      <c r="AH454" s="1097"/>
      <c r="AI454" s="1097"/>
      <c r="AJ454" s="1097"/>
    </row>
    <row r="455" spans="1:36" ht="12.95" customHeight="1">
      <c r="C455"/>
      <c r="D455" s="3" t="s">
        <v>1204</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416">
        <f>IF(AG438=0,"",'Sources and Uses Budget'!B104/Application!AG438)</f>
        <v>543897.87931034481</v>
      </c>
      <c r="AD455" s="1416"/>
      <c r="AE455" s="1416"/>
      <c r="AF455" s="1416"/>
      <c r="AG455" s="1105"/>
      <c r="AH455" s="1105"/>
      <c r="AI455" s="1105"/>
      <c r="AJ455" s="1105"/>
    </row>
    <row r="456" spans="1:36" ht="12.95" customHeight="1">
      <c r="C456"/>
      <c r="D456" s="3" t="s">
        <v>1205</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416">
        <f>IF(AG438=0,"",'Sources and Uses Budget'!C104/Application!AG438)</f>
        <v>543897.87931034481</v>
      </c>
      <c r="AD456" s="1416"/>
      <c r="AE456" s="1416"/>
      <c r="AF456" s="1416"/>
      <c r="AG456" s="1105"/>
      <c r="AH456" s="1105"/>
      <c r="AI456" s="1105"/>
      <c r="AJ456" s="1105"/>
    </row>
    <row r="457" spans="1:36" ht="12.95" customHeight="1">
      <c r="C457"/>
      <c r="D457" s="300" t="s">
        <v>1206</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416">
        <f>IF(AG438=0,"",('Sources and Uses Budget'!S106+'Sources and Uses Budget'!T106)/Application!AG438)</f>
        <v>332294.03448275861</v>
      </c>
      <c r="AD457" s="1416"/>
      <c r="AE457" s="1416"/>
      <c r="AF457" s="1416"/>
      <c r="AG457" s="884"/>
      <c r="AH457" s="884"/>
      <c r="AI457" s="884"/>
      <c r="AJ457" s="884"/>
    </row>
    <row r="458" spans="1:36" ht="12.95" customHeight="1">
      <c r="C458"/>
      <c r="D458" s="300"/>
      <c r="E458" s="468"/>
      <c r="F458" s="1495" t="str">
        <f>IF(AG438=0,"",IF(AC455&gt;650000,"Please provide a justification of cost per unit in Tab 12 for all projects with per unit costs of greater than $650,000.",""))</f>
        <v/>
      </c>
      <c r="G458" s="1495"/>
      <c r="H458" s="1495"/>
      <c r="I458" s="1495"/>
      <c r="J458" s="1495"/>
      <c r="K458" s="1495"/>
      <c r="L458" s="1495"/>
      <c r="M458" s="1495"/>
      <c r="N458" s="1495"/>
      <c r="O458" s="1495"/>
      <c r="P458" s="1495"/>
      <c r="Q458" s="1495"/>
      <c r="R458" s="1495"/>
      <c r="S458" s="1495"/>
      <c r="T458" s="1495"/>
      <c r="U458" s="1495"/>
      <c r="V458" s="1495"/>
      <c r="W458" s="1495"/>
      <c r="X458" s="1495"/>
      <c r="Y458" s="1495"/>
      <c r="Z458" s="1495"/>
      <c r="AA458" s="1495"/>
      <c r="AB458" s="1495"/>
      <c r="AC458" s="812"/>
      <c r="AD458" s="812"/>
      <c r="AE458" s="812"/>
      <c r="AF458" s="812"/>
      <c r="AG458" s="884"/>
      <c r="AH458" s="884"/>
      <c r="AI458" s="884"/>
      <c r="AJ458" s="884"/>
    </row>
    <row r="459" spans="1:36" ht="12.95" customHeight="1">
      <c r="C459"/>
      <c r="D459" s="300"/>
      <c r="E459" s="468"/>
      <c r="F459" s="1495"/>
      <c r="G459" s="1495"/>
      <c r="H459" s="1495"/>
      <c r="I459" s="1495"/>
      <c r="J459" s="1495"/>
      <c r="K459" s="1495"/>
      <c r="L459" s="1495"/>
      <c r="M459" s="1495"/>
      <c r="N459" s="1495"/>
      <c r="O459" s="1495"/>
      <c r="P459" s="1495"/>
      <c r="Q459" s="1495"/>
      <c r="R459" s="1495"/>
      <c r="S459" s="1495"/>
      <c r="T459" s="1495"/>
      <c r="U459" s="1495"/>
      <c r="V459" s="1495"/>
      <c r="W459" s="1495"/>
      <c r="X459" s="1495"/>
      <c r="Y459" s="1495"/>
      <c r="Z459" s="1495"/>
      <c r="AA459" s="1495"/>
      <c r="AB459" s="1495"/>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1207</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1208</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1209</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1210</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1211</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1212</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413" t="s">
        <v>1213</v>
      </c>
      <c r="E468" s="1414"/>
      <c r="F468" s="1414"/>
      <c r="G468" s="1414"/>
      <c r="H468" s="1414"/>
      <c r="I468" s="1414"/>
      <c r="J468" s="1414"/>
      <c r="K468" s="1414"/>
      <c r="L468" s="1414"/>
      <c r="M468" s="1414"/>
      <c r="N468" s="1414"/>
      <c r="O468" s="1414"/>
      <c r="P468" s="1414"/>
      <c r="Q468" s="1414"/>
      <c r="R468" s="1414"/>
      <c r="S468" s="1414"/>
      <c r="T468" s="1414"/>
      <c r="U468" s="1414"/>
      <c r="V468" s="1415"/>
      <c r="W468" s="1098">
        <v>15</v>
      </c>
      <c r="X468" s="1099"/>
      <c r="Y468" s="1100"/>
      <c r="Z468" s="262"/>
      <c r="AA468" s="262"/>
      <c r="AB468" s="262"/>
      <c r="AC468" s="262"/>
      <c r="AD468" s="262"/>
      <c r="AE468" s="262"/>
      <c r="AF468" s="262"/>
      <c r="AG468" s="262"/>
      <c r="AH468" s="262"/>
      <c r="AI468" s="262"/>
      <c r="AJ468" s="37"/>
      <c r="AK468" s="37"/>
      <c r="AL468" s="37"/>
    </row>
    <row r="469" spans="1:97" ht="12.95" customHeight="1">
      <c r="A469" s="37"/>
      <c r="B469" s="37"/>
      <c r="C469" s="37"/>
      <c r="D469" s="1413" t="s">
        <v>1214</v>
      </c>
      <c r="E469" s="1414"/>
      <c r="F469" s="1414"/>
      <c r="G469" s="1414"/>
      <c r="H469" s="1414"/>
      <c r="I469" s="1414"/>
      <c r="J469" s="1414"/>
      <c r="K469" s="1414"/>
      <c r="L469" s="1414"/>
      <c r="M469" s="1414"/>
      <c r="N469" s="1414"/>
      <c r="O469" s="1414"/>
      <c r="P469" s="1414"/>
      <c r="Q469" s="1414"/>
      <c r="R469" s="1414"/>
      <c r="S469" s="1414"/>
      <c r="T469" s="1414"/>
      <c r="U469" s="1414"/>
      <c r="V469" s="1415"/>
      <c r="W469" s="1098">
        <v>0</v>
      </c>
      <c r="X469" s="1099"/>
      <c r="Y469" s="1100"/>
      <c r="Z469" s="262"/>
      <c r="AA469" s="262"/>
      <c r="AB469" s="262"/>
      <c r="AC469" s="262"/>
      <c r="AD469" s="262"/>
      <c r="AE469" s="262"/>
      <c r="AF469" s="262"/>
      <c r="AG469" s="262"/>
      <c r="AH469" s="262"/>
      <c r="AI469" s="262"/>
      <c r="AJ469" s="37"/>
      <c r="AK469" s="37"/>
      <c r="AL469" s="37"/>
    </row>
    <row r="470" spans="1:97" ht="12.95" customHeight="1">
      <c r="A470" s="37"/>
      <c r="B470" s="37"/>
      <c r="C470" s="37"/>
      <c r="D470" s="1413" t="s">
        <v>1215</v>
      </c>
      <c r="E470" s="1414"/>
      <c r="F470" s="1414"/>
      <c r="G470" s="1414"/>
      <c r="H470" s="1414"/>
      <c r="I470" s="1414"/>
      <c r="J470" s="1414"/>
      <c r="K470" s="1414"/>
      <c r="L470" s="1414"/>
      <c r="M470" s="1414"/>
      <c r="N470" s="1414"/>
      <c r="O470" s="1414"/>
      <c r="P470" s="1414"/>
      <c r="Q470" s="1414"/>
      <c r="R470" s="1414"/>
      <c r="S470" s="1414"/>
      <c r="T470" s="1414"/>
      <c r="U470" s="1414"/>
      <c r="V470" s="1415"/>
      <c r="W470" s="1098">
        <v>0</v>
      </c>
      <c r="X470" s="1099"/>
      <c r="Y470" s="1100"/>
      <c r="Z470" s="262"/>
      <c r="AA470" s="262"/>
      <c r="AB470" s="262"/>
      <c r="AC470" s="262"/>
      <c r="AD470" s="262"/>
      <c r="AE470" s="262"/>
      <c r="AF470" s="262"/>
      <c r="AG470" s="262"/>
      <c r="AH470" s="262"/>
      <c r="AI470" s="262"/>
      <c r="AJ470" s="37"/>
      <c r="AK470" s="37"/>
      <c r="AL470" s="37"/>
    </row>
    <row r="471" spans="1:97" ht="12.95" customHeight="1">
      <c r="A471" s="37"/>
      <c r="B471" s="37"/>
      <c r="C471" s="37"/>
      <c r="D471" s="1413" t="s">
        <v>1216</v>
      </c>
      <c r="E471" s="1414"/>
      <c r="F471" s="1414"/>
      <c r="G471" s="1414"/>
      <c r="H471" s="1414"/>
      <c r="I471" s="1414"/>
      <c r="J471" s="1414"/>
      <c r="K471" s="1414"/>
      <c r="L471" s="1414"/>
      <c r="M471" s="1414"/>
      <c r="N471" s="1414"/>
      <c r="O471" s="1414"/>
      <c r="P471" s="1414"/>
      <c r="Q471" s="1414"/>
      <c r="R471" s="1414"/>
      <c r="S471" s="1414"/>
      <c r="T471" s="1414"/>
      <c r="U471" s="1414"/>
      <c r="V471" s="1415"/>
      <c r="W471" s="1098">
        <v>0</v>
      </c>
      <c r="X471" s="1099"/>
      <c r="Y471" s="1100"/>
      <c r="Z471" s="262"/>
      <c r="AA471" s="262"/>
      <c r="AB471" s="262"/>
      <c r="AC471" s="262"/>
      <c r="AD471" s="262"/>
      <c r="AE471" s="262"/>
      <c r="AF471" s="262"/>
      <c r="AG471" s="262"/>
      <c r="AH471" s="262"/>
      <c r="AI471" s="262"/>
      <c r="AJ471" s="37"/>
      <c r="AK471" s="37"/>
      <c r="AL471" s="37"/>
    </row>
    <row r="472" spans="1:97" ht="12.95" customHeight="1">
      <c r="A472" s="37"/>
      <c r="B472" s="37"/>
      <c r="C472" s="37"/>
      <c r="D472" s="1413" t="s">
        <v>1217</v>
      </c>
      <c r="E472" s="1414"/>
      <c r="F472" s="1414"/>
      <c r="G472" s="1414"/>
      <c r="H472" s="1414"/>
      <c r="I472" s="1414"/>
      <c r="J472" s="1414"/>
      <c r="K472" s="1414"/>
      <c r="L472" s="1414"/>
      <c r="M472" s="1414"/>
      <c r="N472" s="1414"/>
      <c r="O472" s="1414"/>
      <c r="P472" s="1414"/>
      <c r="Q472" s="1414"/>
      <c r="R472" s="1414"/>
      <c r="S472" s="1414"/>
      <c r="T472" s="1414"/>
      <c r="U472" s="1414"/>
      <c r="V472" s="1415"/>
      <c r="W472" s="1098">
        <v>0</v>
      </c>
      <c r="X472" s="1099"/>
      <c r="Y472" s="1100"/>
      <c r="Z472" s="262"/>
      <c r="AA472" s="262"/>
      <c r="AB472" s="262"/>
      <c r="AC472" s="262"/>
      <c r="AD472" s="262"/>
      <c r="AE472" s="262"/>
      <c r="AF472" s="262"/>
      <c r="AG472" s="262"/>
      <c r="AH472" s="262"/>
      <c r="AI472" s="262"/>
      <c r="AJ472" s="37"/>
      <c r="AK472" s="37"/>
      <c r="AL472" s="37"/>
    </row>
    <row r="473" spans="1:97" ht="12.95" customHeight="1">
      <c r="A473" s="37"/>
      <c r="B473" s="37"/>
      <c r="C473" s="37"/>
      <c r="D473" s="1413" t="s">
        <v>1218</v>
      </c>
      <c r="E473" s="1414"/>
      <c r="F473" s="1414"/>
      <c r="G473" s="1414"/>
      <c r="H473" s="1414"/>
      <c r="I473" s="1414"/>
      <c r="J473" s="1414"/>
      <c r="K473" s="1414"/>
      <c r="L473" s="1414"/>
      <c r="M473" s="1414"/>
      <c r="N473" s="1414"/>
      <c r="O473" s="1414"/>
      <c r="P473" s="1414"/>
      <c r="Q473" s="1414"/>
      <c r="R473" s="1414"/>
      <c r="S473" s="1414"/>
      <c r="T473" s="1414"/>
      <c r="U473" s="1414"/>
      <c r="V473" s="1415"/>
      <c r="W473" s="1098">
        <v>0</v>
      </c>
      <c r="X473" s="1099"/>
      <c r="Y473" s="1100"/>
      <c r="Z473" s="262"/>
      <c r="AA473" s="262"/>
      <c r="AB473" s="262"/>
      <c r="AC473" s="262"/>
      <c r="AD473" s="262"/>
      <c r="AE473" s="262"/>
      <c r="AF473" s="262"/>
      <c r="AG473" s="262"/>
      <c r="AH473" s="262"/>
      <c r="AI473" s="262"/>
      <c r="AJ473" s="37"/>
      <c r="AK473" s="37"/>
      <c r="AL473" s="37"/>
    </row>
    <row r="474" spans="1:97" ht="12.95" customHeight="1">
      <c r="A474" s="37"/>
      <c r="B474" s="37"/>
      <c r="C474" s="37"/>
      <c r="D474" s="1413" t="s">
        <v>1219</v>
      </c>
      <c r="E474" s="1414"/>
      <c r="F474" s="1414"/>
      <c r="G474" s="1414"/>
      <c r="H474" s="1414"/>
      <c r="I474" s="1414"/>
      <c r="J474" s="1414"/>
      <c r="K474" s="1414"/>
      <c r="L474" s="1414"/>
      <c r="M474" s="1414"/>
      <c r="N474" s="1414"/>
      <c r="O474" s="1414"/>
      <c r="P474" s="1414"/>
      <c r="Q474" s="1414"/>
      <c r="R474" s="1414"/>
      <c r="S474" s="1414"/>
      <c r="T474" s="1414"/>
      <c r="U474" s="1414"/>
      <c r="V474" s="1415"/>
      <c r="W474" s="1098">
        <v>0</v>
      </c>
      <c r="X474" s="1099"/>
      <c r="Y474" s="1100"/>
      <c r="Z474" s="262"/>
      <c r="AA474" s="262"/>
      <c r="AB474" s="262"/>
      <c r="AC474" s="262"/>
      <c r="AD474" s="468"/>
      <c r="AE474" s="468"/>
      <c r="AF474" s="468"/>
      <c r="AG474" s="468"/>
      <c r="AH474" s="468"/>
      <c r="AI474" s="468"/>
      <c r="AJ474" s="884"/>
    </row>
    <row r="475" spans="1:97" ht="12.95" customHeight="1">
      <c r="A475" s="37"/>
      <c r="B475" s="37"/>
      <c r="C475" s="37"/>
      <c r="D475" s="1413" t="s">
        <v>1220</v>
      </c>
      <c r="E475" s="1414"/>
      <c r="F475" s="1414"/>
      <c r="G475" s="1414"/>
      <c r="H475" s="1414"/>
      <c r="I475" s="1414"/>
      <c r="J475" s="1414"/>
      <c r="K475" s="1414"/>
      <c r="L475" s="1414"/>
      <c r="M475" s="1414"/>
      <c r="N475" s="1414"/>
      <c r="O475" s="1414"/>
      <c r="P475" s="1414"/>
      <c r="Q475" s="1414"/>
      <c r="R475" s="1414"/>
      <c r="S475" s="1414"/>
      <c r="T475" s="1414"/>
      <c r="U475" s="1414"/>
      <c r="V475" s="1415"/>
      <c r="W475" s="1098">
        <v>0</v>
      </c>
      <c r="X475" s="1099"/>
      <c r="Y475" s="1100"/>
      <c r="Z475" s="262"/>
      <c r="AA475" s="262"/>
      <c r="AB475" s="262"/>
      <c r="AC475" s="262"/>
      <c r="AD475" s="468"/>
      <c r="AE475" s="468"/>
      <c r="AF475" s="468"/>
      <c r="AG475" s="468"/>
      <c r="AH475" s="468"/>
      <c r="AI475" s="468"/>
      <c r="AJ475" s="884"/>
    </row>
    <row r="476" spans="1:97" ht="12.95" customHeight="1">
      <c r="A476" s="37"/>
      <c r="B476" s="37"/>
      <c r="C476" s="37"/>
      <c r="D476" s="1413" t="s">
        <v>1221</v>
      </c>
      <c r="E476" s="1414"/>
      <c r="F476" s="1414"/>
      <c r="G476" s="1414"/>
      <c r="H476" s="1414"/>
      <c r="I476" s="1414"/>
      <c r="J476" s="1414"/>
      <c r="K476" s="1414"/>
      <c r="L476" s="1414"/>
      <c r="M476" s="1414"/>
      <c r="N476" s="1414"/>
      <c r="O476" s="1414"/>
      <c r="P476" s="1414"/>
      <c r="Q476" s="1414"/>
      <c r="R476" s="1414"/>
      <c r="S476" s="1414"/>
      <c r="T476" s="1414"/>
      <c r="U476" s="1414"/>
      <c r="V476" s="1415"/>
      <c r="W476" s="1098">
        <v>7</v>
      </c>
      <c r="X476" s="1099"/>
      <c r="Y476" s="1100"/>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1168</v>
      </c>
      <c r="E477" s="339"/>
      <c r="F477" s="340"/>
      <c r="G477" s="1090" t="s">
        <v>1222</v>
      </c>
      <c r="H477" s="1091"/>
      <c r="I477" s="1091"/>
      <c r="J477" s="1091"/>
      <c r="K477" s="1091"/>
      <c r="L477" s="1091"/>
      <c r="M477" s="1091"/>
      <c r="N477" s="1091"/>
      <c r="O477" s="1091"/>
      <c r="P477" s="1091"/>
      <c r="Q477" s="1091"/>
      <c r="R477" s="1091"/>
      <c r="S477" s="1091"/>
      <c r="T477" s="1091"/>
      <c r="U477" s="1091"/>
      <c r="V477" s="1092"/>
      <c r="W477" s="1098">
        <v>42</v>
      </c>
      <c r="X477" s="1099"/>
      <c r="Y477" s="1100"/>
      <c r="Z477" s="262"/>
      <c r="AA477" s="262"/>
      <c r="AB477" s="262"/>
      <c r="AC477" s="262"/>
      <c r="AD477" s="262"/>
      <c r="AE477" s="262"/>
      <c r="AF477" s="262"/>
      <c r="AG477" s="262"/>
      <c r="AH477" s="262"/>
      <c r="AI477" s="262"/>
      <c r="AJ477" s="37"/>
      <c r="AK477" s="37"/>
      <c r="AL477" s="37"/>
    </row>
    <row r="478" spans="1:97" ht="12.95" customHeight="1">
      <c r="A478" s="37"/>
      <c r="B478" s="37"/>
      <c r="C478" s="37"/>
      <c r="D478" s="836" t="s">
        <v>1223</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42" t="s">
        <v>1224</v>
      </c>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43"/>
      <c r="E480" s="1443"/>
      <c r="F480" s="1443"/>
      <c r="G480" s="1443"/>
      <c r="H480" s="1443"/>
      <c r="I480" s="1443"/>
      <c r="J480" s="1443"/>
      <c r="K480" s="1443"/>
      <c r="L480" s="1443"/>
      <c r="M480" s="1443"/>
      <c r="N480" s="1443"/>
      <c r="O480" s="1443"/>
      <c r="P480" s="1443"/>
      <c r="Q480" s="1443"/>
      <c r="R480" s="1443"/>
      <c r="S480" s="1443"/>
      <c r="T480" s="1443"/>
      <c r="U480" s="1443"/>
      <c r="V480" s="1443"/>
      <c r="W480" s="1443"/>
      <c r="X480" s="1443"/>
      <c r="Y480" s="1443"/>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43"/>
      <c r="E481" s="1443"/>
      <c r="F481" s="1443"/>
      <c r="G481" s="1443"/>
      <c r="H481" s="1443"/>
      <c r="I481" s="1443"/>
      <c r="J481" s="1443"/>
      <c r="K481" s="1443"/>
      <c r="L481" s="1443"/>
      <c r="M481" s="1443"/>
      <c r="N481" s="1443"/>
      <c r="O481" s="1443"/>
      <c r="P481" s="1443"/>
      <c r="Q481" s="1443"/>
      <c r="R481" s="1443"/>
      <c r="S481" s="1443"/>
      <c r="T481" s="1443"/>
      <c r="U481" s="1443"/>
      <c r="V481" s="1443"/>
      <c r="W481" s="1443"/>
      <c r="X481" s="1443"/>
      <c r="Y481" s="1443"/>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9" t="s">
        <v>1225</v>
      </c>
      <c r="B484" s="1019"/>
      <c r="C484" s="1019"/>
      <c r="D484" s="1019"/>
      <c r="E484" s="1019"/>
      <c r="F484" s="1019"/>
      <c r="G484" s="1019"/>
      <c r="H484" s="1019"/>
      <c r="I484" s="1019"/>
      <c r="J484" s="1019"/>
      <c r="K484" s="1019"/>
      <c r="L484" s="1019"/>
      <c r="M484" s="1019"/>
      <c r="N484" s="1019"/>
      <c r="O484" s="1019"/>
      <c r="P484" s="1019"/>
      <c r="Q484" s="1019"/>
      <c r="R484" s="1019"/>
      <c r="S484" s="1019"/>
      <c r="T484" s="1019"/>
      <c r="U484" s="1019"/>
      <c r="V484" s="1019"/>
      <c r="W484" s="1019"/>
      <c r="X484" s="1019"/>
      <c r="Y484" s="1019"/>
      <c r="Z484" s="1019"/>
      <c r="AA484" s="1019"/>
      <c r="AB484" s="1019"/>
      <c r="AC484" s="1019"/>
      <c r="AD484" s="1019"/>
      <c r="AE484" s="1019"/>
      <c r="AF484" s="1019"/>
      <c r="AG484" s="1019"/>
      <c r="AH484" s="1019"/>
      <c r="AI484" s="1019"/>
      <c r="AJ484" s="1019"/>
      <c r="AK484" s="1019"/>
      <c r="AL484" s="1019"/>
      <c r="AM484" s="1019"/>
      <c r="AN484" s="1019"/>
      <c r="AO484" s="1019"/>
      <c r="AP484" s="1019"/>
      <c r="AQ484" s="1019"/>
      <c r="AR484" s="1019"/>
      <c r="AS484" s="1019"/>
      <c r="AT484" s="1019"/>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9"/>
      <c r="B485" s="1019"/>
      <c r="C485" s="1019"/>
      <c r="D485" s="1019"/>
      <c r="E485" s="1019"/>
      <c r="F485" s="1019"/>
      <c r="G485" s="1019"/>
      <c r="H485" s="1019"/>
      <c r="I485" s="1019"/>
      <c r="J485" s="1019"/>
      <c r="K485" s="1019"/>
      <c r="L485" s="1019"/>
      <c r="M485" s="1019"/>
      <c r="N485" s="1019"/>
      <c r="O485" s="1019"/>
      <c r="P485" s="1019"/>
      <c r="Q485" s="1019"/>
      <c r="R485" s="1019"/>
      <c r="S485" s="1019"/>
      <c r="T485" s="1019"/>
      <c r="U485" s="1019"/>
      <c r="V485" s="1019"/>
      <c r="W485" s="1019"/>
      <c r="X485" s="1019"/>
      <c r="Y485" s="1019"/>
      <c r="Z485" s="1019"/>
      <c r="AA485" s="1019"/>
      <c r="AB485" s="1019"/>
      <c r="AC485" s="1019"/>
      <c r="AD485" s="1019"/>
      <c r="AE485" s="1019"/>
      <c r="AF485" s="1019"/>
      <c r="AG485" s="1019"/>
      <c r="AH485" s="1019"/>
      <c r="AI485" s="1019"/>
      <c r="AJ485" s="1019"/>
      <c r="AK485" s="1019"/>
      <c r="AL485" s="1019"/>
      <c r="AM485" s="1019"/>
      <c r="AN485" s="1019"/>
      <c r="AO485" s="1019"/>
      <c r="AP485" s="1019"/>
      <c r="AQ485" s="1019"/>
      <c r="AR485" s="1019"/>
      <c r="AS485" s="1019"/>
      <c r="AT485" s="1019"/>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793</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07" t="s">
        <v>1226</v>
      </c>
      <c r="R489" s="1093"/>
      <c r="S489" s="1093"/>
      <c r="T489" s="1093"/>
      <c r="U489" s="1093"/>
      <c r="V489" s="1093"/>
      <c r="W489" s="1093"/>
      <c r="X489" s="1093"/>
      <c r="Y489" s="1093"/>
      <c r="Z489" s="1093"/>
      <c r="AA489" s="1093"/>
      <c r="AB489" s="1093"/>
      <c r="AC489" s="1093"/>
      <c r="AD489" s="1093"/>
      <c r="AE489" s="1093"/>
      <c r="AF489" s="1093"/>
      <c r="AG489" s="1093"/>
      <c r="AH489" s="1093"/>
      <c r="AI489" s="1093"/>
      <c r="AJ489" s="1093"/>
      <c r="AK489" s="1094"/>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1227</v>
      </c>
      <c r="C490" s="9"/>
      <c r="D490" s="9"/>
      <c r="E490" s="9"/>
      <c r="F490" s="9"/>
      <c r="G490" s="9"/>
      <c r="H490" s="9"/>
      <c r="I490" s="9"/>
      <c r="J490" s="9"/>
      <c r="K490" s="9"/>
      <c r="L490" s="9"/>
      <c r="M490" s="9"/>
      <c r="N490" s="9"/>
      <c r="O490" s="9"/>
      <c r="P490" s="9"/>
      <c r="Q490" s="1149" t="s">
        <v>1228</v>
      </c>
      <c r="R490" s="1018"/>
      <c r="S490" s="1018"/>
      <c r="T490" s="1018"/>
      <c r="U490" s="1018"/>
      <c r="V490" s="1018"/>
      <c r="W490" s="1018"/>
      <c r="X490" s="1018"/>
      <c r="Y490" s="1018"/>
      <c r="Z490" s="1018"/>
      <c r="AA490" s="1018"/>
      <c r="AB490" s="1018"/>
      <c r="AC490" s="1018"/>
      <c r="AD490" s="1018"/>
      <c r="AE490" s="1018"/>
      <c r="AF490" s="1018"/>
      <c r="AG490" s="1018"/>
      <c r="AH490" s="1018"/>
      <c r="AI490" s="1018"/>
      <c r="AJ490" s="1018"/>
      <c r="AK490" s="115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1229</v>
      </c>
      <c r="C491" s="9"/>
      <c r="D491" s="9"/>
      <c r="E491" s="9"/>
      <c r="F491" s="9"/>
      <c r="G491" s="9"/>
      <c r="H491" s="9"/>
      <c r="I491" s="9"/>
      <c r="J491" s="9"/>
      <c r="K491" s="9"/>
      <c r="L491" s="9"/>
      <c r="M491" s="9"/>
      <c r="N491" s="9"/>
      <c r="O491" s="9"/>
      <c r="P491" s="9"/>
      <c r="Q491" s="1149" t="s">
        <v>1230</v>
      </c>
      <c r="R491" s="1018"/>
      <c r="S491" s="1018"/>
      <c r="T491" s="1018"/>
      <c r="U491" s="1018"/>
      <c r="V491" s="1018"/>
      <c r="W491" s="1018"/>
      <c r="X491" s="1018"/>
      <c r="Y491" s="1018"/>
      <c r="Z491" s="1018"/>
      <c r="AA491" s="1018"/>
      <c r="AB491" s="1018"/>
      <c r="AC491" s="1018"/>
      <c r="AD491" s="1018"/>
      <c r="AE491" s="1018"/>
      <c r="AF491" s="1018"/>
      <c r="AG491" s="1018"/>
      <c r="AH491" s="1018"/>
      <c r="AI491" s="1018"/>
      <c r="AJ491" s="1018"/>
      <c r="AK491" s="115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1231</v>
      </c>
      <c r="C492" s="9"/>
      <c r="D492" s="9"/>
      <c r="E492" s="9"/>
      <c r="F492" s="9"/>
      <c r="G492" s="9"/>
      <c r="H492" s="9"/>
      <c r="I492" s="9"/>
      <c r="J492" s="9"/>
      <c r="K492" s="9"/>
      <c r="L492" s="9"/>
      <c r="M492" s="9"/>
      <c r="N492" s="9"/>
      <c r="O492" s="9"/>
      <c r="P492" s="9"/>
      <c r="Q492" s="1149" t="s">
        <v>1232</v>
      </c>
      <c r="R492" s="1018"/>
      <c r="S492" s="1018"/>
      <c r="T492" s="1018"/>
      <c r="U492" s="1018"/>
      <c r="V492" s="1018"/>
      <c r="W492" s="1018"/>
      <c r="X492" s="1018"/>
      <c r="Y492" s="1018"/>
      <c r="Z492" s="1018"/>
      <c r="AA492" s="1018"/>
      <c r="AB492" s="1018"/>
      <c r="AC492" s="1018"/>
      <c r="AD492" s="1018"/>
      <c r="AE492" s="1018"/>
      <c r="AF492" s="1018"/>
      <c r="AG492" s="1018"/>
      <c r="AH492" s="1018"/>
      <c r="AI492" s="1018"/>
      <c r="AJ492" s="1018"/>
      <c r="AK492" s="115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36" t="s">
        <v>1233</v>
      </c>
      <c r="C493" s="1437"/>
      <c r="D493" s="1437"/>
      <c r="E493" s="1437"/>
      <c r="F493" s="1437"/>
      <c r="G493" s="1437"/>
      <c r="H493" s="1437"/>
      <c r="I493" s="1437"/>
      <c r="J493" s="1437"/>
      <c r="K493" s="1437"/>
      <c r="L493" s="1437"/>
      <c r="M493" s="1437"/>
      <c r="N493" s="1437"/>
      <c r="O493" s="1437"/>
      <c r="P493" s="1438"/>
      <c r="Q493" s="1066" t="s">
        <v>708</v>
      </c>
      <c r="R493" s="1067"/>
      <c r="S493" s="1422" t="s">
        <v>1234</v>
      </c>
      <c r="T493" s="1423"/>
      <c r="U493" s="1423"/>
      <c r="V493" s="1423"/>
      <c r="W493" s="1423"/>
      <c r="X493" s="1423"/>
      <c r="Y493" s="1423"/>
      <c r="Z493" s="1423"/>
      <c r="AA493" s="1423"/>
      <c r="AB493" s="1423"/>
      <c r="AC493" s="1423"/>
      <c r="AD493" s="1423"/>
      <c r="AE493" s="1423"/>
      <c r="AF493" s="1423"/>
      <c r="AG493" s="1423"/>
      <c r="AH493" s="1423"/>
      <c r="AI493" s="1423"/>
      <c r="AJ493" s="1423"/>
      <c r="AK493" s="142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39"/>
      <c r="C494" s="1440"/>
      <c r="D494" s="1440"/>
      <c r="E494" s="1440"/>
      <c r="F494" s="1440"/>
      <c r="G494" s="1440"/>
      <c r="H494" s="1440"/>
      <c r="I494" s="1440"/>
      <c r="J494" s="1440"/>
      <c r="K494" s="1440"/>
      <c r="L494" s="1440"/>
      <c r="M494" s="1440"/>
      <c r="N494" s="1440"/>
      <c r="O494" s="1440"/>
      <c r="P494" s="1441"/>
      <c r="Q494" s="1068"/>
      <c r="R494" s="1069"/>
      <c r="S494" s="1425"/>
      <c r="T494" s="1426"/>
      <c r="U494" s="1426"/>
      <c r="V494" s="1426"/>
      <c r="W494" s="1426"/>
      <c r="X494" s="1426"/>
      <c r="Y494" s="1426"/>
      <c r="Z494" s="1426"/>
      <c r="AA494" s="1426"/>
      <c r="AB494" s="1426"/>
      <c r="AC494" s="1426"/>
      <c r="AD494" s="1426"/>
      <c r="AE494" s="1426"/>
      <c r="AF494" s="1426"/>
      <c r="AG494" s="1426"/>
      <c r="AH494" s="1426"/>
      <c r="AI494" s="1426"/>
      <c r="AJ494" s="1426"/>
      <c r="AK494" s="142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1235</v>
      </c>
      <c r="C495" s="706"/>
      <c r="D495" s="706"/>
      <c r="E495" s="706"/>
      <c r="F495" s="706"/>
      <c r="G495" s="706"/>
      <c r="H495" s="706"/>
      <c r="I495" s="706"/>
      <c r="J495" s="706"/>
      <c r="K495" s="706"/>
      <c r="L495" s="706"/>
      <c r="M495" s="706"/>
      <c r="N495" s="706"/>
      <c r="O495" s="706"/>
      <c r="P495" s="706"/>
      <c r="Q495" s="1428" t="s">
        <v>708</v>
      </c>
      <c r="R495" s="1429"/>
      <c r="S495" s="1429"/>
      <c r="T495" s="1429"/>
      <c r="U495" s="1429"/>
      <c r="V495" s="1429"/>
      <c r="W495" s="1429"/>
      <c r="X495" s="1429"/>
      <c r="Y495" s="1429"/>
      <c r="Z495" s="1429"/>
      <c r="AA495" s="1429"/>
      <c r="AB495" s="1429"/>
      <c r="AC495" s="1429"/>
      <c r="AD495" s="1429"/>
      <c r="AE495" s="1429"/>
      <c r="AF495" s="1429"/>
      <c r="AG495" s="1429"/>
      <c r="AH495" s="1429"/>
      <c r="AI495" s="1429"/>
      <c r="AJ495" s="1429"/>
      <c r="AK495" s="1430"/>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1236</v>
      </c>
      <c r="C496" s="9"/>
      <c r="D496" s="9"/>
      <c r="E496" s="9"/>
      <c r="F496" s="9"/>
      <c r="G496" s="9"/>
      <c r="H496" s="9"/>
      <c r="I496" s="9"/>
      <c r="J496" s="9"/>
      <c r="K496" s="9"/>
      <c r="L496" s="9"/>
      <c r="M496" s="9"/>
      <c r="N496" s="9"/>
      <c r="O496" s="9"/>
      <c r="P496" s="9"/>
      <c r="Q496" s="1149" t="s">
        <v>1237</v>
      </c>
      <c r="R496" s="1018"/>
      <c r="S496" s="1018"/>
      <c r="T496" s="1018"/>
      <c r="U496" s="1018"/>
      <c r="V496" s="1018"/>
      <c r="W496" s="1018"/>
      <c r="X496" s="1018"/>
      <c r="Y496" s="1018"/>
      <c r="Z496" s="1018"/>
      <c r="AA496" s="1018"/>
      <c r="AB496" s="1018"/>
      <c r="AC496" s="1018"/>
      <c r="AD496" s="1018"/>
      <c r="AE496" s="1018"/>
      <c r="AF496" s="1018"/>
      <c r="AG496" s="1018"/>
      <c r="AH496" s="1018"/>
      <c r="AI496" s="1018"/>
      <c r="AJ496" s="1018"/>
      <c r="AK496" s="115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1238</v>
      </c>
      <c r="C497" s="9"/>
      <c r="D497" s="9"/>
      <c r="E497" s="9"/>
      <c r="F497" s="9"/>
      <c r="G497" s="9"/>
      <c r="H497" s="9"/>
      <c r="I497" s="9"/>
      <c r="J497" s="9"/>
      <c r="K497" s="9"/>
      <c r="L497" s="9"/>
      <c r="M497" s="9"/>
      <c r="N497" s="9"/>
      <c r="O497" s="9"/>
      <c r="P497" s="9"/>
      <c r="Q497" s="1149"/>
      <c r="R497" s="1018"/>
      <c r="S497" s="1018"/>
      <c r="T497" s="1018"/>
      <c r="U497" s="1018"/>
      <c r="V497" s="1018"/>
      <c r="W497" s="1018"/>
      <c r="X497" s="1018"/>
      <c r="Y497" s="1018"/>
      <c r="Z497" s="1018"/>
      <c r="AA497" s="1018"/>
      <c r="AB497" s="1018"/>
      <c r="AC497" s="1018"/>
      <c r="AD497" s="1018"/>
      <c r="AE497" s="1018"/>
      <c r="AF497" s="1018"/>
      <c r="AG497" s="1018"/>
      <c r="AH497" s="1018"/>
      <c r="AI497" s="1018"/>
      <c r="AJ497" s="1018"/>
      <c r="AK497" s="115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1239</v>
      </c>
      <c r="C498" s="9"/>
      <c r="D498" s="9"/>
      <c r="E498" s="9"/>
      <c r="F498" s="9"/>
      <c r="G498" s="9"/>
      <c r="H498" s="9"/>
      <c r="I498" s="9"/>
      <c r="J498" s="9"/>
      <c r="K498" s="9"/>
      <c r="L498" s="9"/>
      <c r="M498" s="9"/>
      <c r="N498" s="9"/>
      <c r="O498" s="9"/>
      <c r="P498" s="9"/>
      <c r="Q498" s="1149">
        <v>34</v>
      </c>
      <c r="R498" s="1018"/>
      <c r="S498" s="1018"/>
      <c r="T498" s="1018"/>
      <c r="U498" s="1018"/>
      <c r="V498" s="1018"/>
      <c r="W498" s="1018"/>
      <c r="X498" s="1018"/>
      <c r="Y498" s="1018"/>
      <c r="Z498" s="1018"/>
      <c r="AA498" s="1018"/>
      <c r="AB498" s="1018"/>
      <c r="AC498" s="1018"/>
      <c r="AD498" s="1018"/>
      <c r="AE498" s="1018"/>
      <c r="AF498" s="1018"/>
      <c r="AG498" s="1018"/>
      <c r="AH498" s="1018"/>
      <c r="AI498" s="1018"/>
      <c r="AJ498" s="1018"/>
      <c r="AK498" s="115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1240</v>
      </c>
      <c r="C499" s="9"/>
      <c r="D499" s="9"/>
      <c r="E499" s="9"/>
      <c r="F499" s="9"/>
      <c r="G499" s="9"/>
      <c r="H499" s="9"/>
      <c r="I499" s="9"/>
      <c r="J499" s="9"/>
      <c r="K499" s="9"/>
      <c r="L499" s="9"/>
      <c r="M499" s="1082">
        <v>34</v>
      </c>
      <c r="N499" s="1083"/>
      <c r="O499" s="1083"/>
      <c r="P499" s="1084"/>
      <c r="Q499" s="178" t="s">
        <v>1241</v>
      </c>
      <c r="R499" s="9"/>
      <c r="S499" s="9"/>
      <c r="T499" s="9"/>
      <c r="U499" s="9"/>
      <c r="V499" s="9"/>
      <c r="W499" s="9"/>
      <c r="X499" s="9"/>
      <c r="Y499" s="9"/>
      <c r="Z499" s="9"/>
      <c r="AA499" s="9"/>
      <c r="AB499" s="9"/>
      <c r="AC499" s="9"/>
      <c r="AD499" s="9"/>
      <c r="AE499" s="9"/>
      <c r="AF499" s="9"/>
      <c r="AG499" s="9"/>
      <c r="AH499" s="1082">
        <v>0</v>
      </c>
      <c r="AI499" s="1083"/>
      <c r="AJ499" s="1083"/>
      <c r="AK499" s="108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828</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07" t="s">
        <v>1242</v>
      </c>
      <c r="AD503" s="1093"/>
      <c r="AE503" s="1093"/>
      <c r="AF503" s="1093"/>
      <c r="AG503" s="1093"/>
      <c r="AH503" s="1093"/>
      <c r="AI503" s="1093"/>
      <c r="AJ503" s="1093"/>
      <c r="AK503" s="109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07" t="s">
        <v>1243</v>
      </c>
      <c r="AD504" s="1093"/>
      <c r="AE504" s="1093"/>
      <c r="AF504" s="1093"/>
      <c r="AG504" s="49" t="s">
        <v>1244</v>
      </c>
      <c r="AH504" s="1093" t="s">
        <v>1245</v>
      </c>
      <c r="AI504" s="1093"/>
      <c r="AJ504" s="1093"/>
      <c r="AK504" s="109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56" t="s">
        <v>1246</v>
      </c>
      <c r="C505" s="1257"/>
      <c r="D505" s="1257"/>
      <c r="E505" s="1257"/>
      <c r="F505" s="1257"/>
      <c r="G505" s="1257"/>
      <c r="H505" s="1258"/>
      <c r="I505" s="7" t="s">
        <v>1247</v>
      </c>
      <c r="J505" s="7"/>
      <c r="K505" s="7"/>
      <c r="L505" s="7"/>
      <c r="M505" s="7"/>
      <c r="N505" s="7"/>
      <c r="O505" s="7"/>
      <c r="P505" s="7"/>
      <c r="Q505" s="7"/>
      <c r="R505" s="7"/>
      <c r="S505" s="7"/>
      <c r="T505" s="7"/>
      <c r="U505" s="7"/>
      <c r="V505" s="7"/>
      <c r="W505" s="7"/>
      <c r="AC505" s="1062">
        <v>9</v>
      </c>
      <c r="AD505" s="1063"/>
      <c r="AE505" s="1063"/>
      <c r="AF505" s="1063"/>
      <c r="AG505" s="18" t="s">
        <v>1244</v>
      </c>
      <c r="AH505" s="1095">
        <v>2026</v>
      </c>
      <c r="AI505" s="1095"/>
      <c r="AJ505" s="1095"/>
      <c r="AK505" s="1096"/>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59"/>
      <c r="C506" s="1260"/>
      <c r="D506" s="1260"/>
      <c r="E506" s="1260"/>
      <c r="F506" s="1260"/>
      <c r="G506" s="1260"/>
      <c r="H506" s="1261"/>
      <c r="I506" s="47" t="s">
        <v>1248</v>
      </c>
      <c r="J506" s="47"/>
      <c r="K506" s="47"/>
      <c r="L506" s="47"/>
      <c r="M506" s="47"/>
      <c r="N506" s="47"/>
      <c r="O506" s="47"/>
      <c r="P506" s="47"/>
      <c r="Q506" s="47"/>
      <c r="R506" s="47"/>
      <c r="S506" s="47"/>
      <c r="T506" s="47"/>
      <c r="U506" s="47"/>
      <c r="V506" s="47"/>
      <c r="W506" s="47"/>
      <c r="X506" s="47"/>
      <c r="Y506" s="47"/>
      <c r="Z506" s="47"/>
      <c r="AA506" s="47"/>
      <c r="AB506" s="47"/>
      <c r="AC506" s="1062">
        <v>12</v>
      </c>
      <c r="AD506" s="1063"/>
      <c r="AE506" s="1063"/>
      <c r="AF506" s="1063"/>
      <c r="AG506" s="40" t="s">
        <v>1244</v>
      </c>
      <c r="AH506" s="1095">
        <v>2026</v>
      </c>
      <c r="AI506" s="1095"/>
      <c r="AJ506" s="1095"/>
      <c r="AK506" s="1096"/>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56" t="s">
        <v>1249</v>
      </c>
      <c r="C507" s="1257"/>
      <c r="D507" s="1257"/>
      <c r="E507" s="1257"/>
      <c r="F507" s="1257"/>
      <c r="G507" s="1257"/>
      <c r="H507" s="1258"/>
      <c r="I507" s="7" t="s">
        <v>1250</v>
      </c>
      <c r="J507" s="7"/>
      <c r="K507" s="7"/>
      <c r="L507" s="7"/>
      <c r="M507" s="7"/>
      <c r="N507" s="7"/>
      <c r="O507" s="7"/>
      <c r="P507" s="7"/>
      <c r="Q507" s="7"/>
      <c r="R507" s="7"/>
      <c r="S507" s="7"/>
      <c r="T507" s="7"/>
      <c r="U507" s="7"/>
      <c r="V507" s="7"/>
      <c r="W507" s="7"/>
      <c r="AC507" s="1062" t="s">
        <v>326</v>
      </c>
      <c r="AD507" s="1063"/>
      <c r="AE507" s="1063"/>
      <c r="AF507" s="1063"/>
      <c r="AG507" s="18" t="s">
        <v>1244</v>
      </c>
      <c r="AH507" s="1095"/>
      <c r="AI507" s="1095"/>
      <c r="AJ507" s="1095"/>
      <c r="AK507" s="1096"/>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59"/>
      <c r="C508" s="1260"/>
      <c r="D508" s="1260"/>
      <c r="E508" s="1260"/>
      <c r="F508" s="1260"/>
      <c r="G508" s="1260"/>
      <c r="H508" s="1261"/>
      <c r="I508" t="s">
        <v>1251</v>
      </c>
      <c r="AC508" s="1062">
        <v>11</v>
      </c>
      <c r="AD508" s="1063"/>
      <c r="AE508" s="1063"/>
      <c r="AF508" s="1063"/>
      <c r="AG508" s="18" t="s">
        <v>1244</v>
      </c>
      <c r="AH508" s="1095">
        <v>2025</v>
      </c>
      <c r="AI508" s="1095"/>
      <c r="AJ508" s="1095"/>
      <c r="AK508" s="1096"/>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59"/>
      <c r="C509" s="1260"/>
      <c r="D509" s="1260"/>
      <c r="E509" s="1260"/>
      <c r="F509" s="1260"/>
      <c r="G509" s="1260"/>
      <c r="H509" s="1261"/>
      <c r="I509" t="s">
        <v>1252</v>
      </c>
      <c r="AC509" s="1062" t="s">
        <v>326</v>
      </c>
      <c r="AD509" s="1063"/>
      <c r="AE509" s="1063"/>
      <c r="AF509" s="1063"/>
      <c r="AG509" s="18" t="s">
        <v>1244</v>
      </c>
      <c r="AH509" s="1095"/>
      <c r="AI509" s="1095"/>
      <c r="AJ509" s="1095"/>
      <c r="AK509" s="109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59"/>
      <c r="C510" s="1260"/>
      <c r="D510" s="1260"/>
      <c r="E510" s="1260"/>
      <c r="F510" s="1260"/>
      <c r="G510" s="1260"/>
      <c r="H510" s="1261"/>
      <c r="I510" t="s">
        <v>1253</v>
      </c>
      <c r="AC510" s="1062" t="s">
        <v>326</v>
      </c>
      <c r="AD510" s="1063"/>
      <c r="AE510" s="1063"/>
      <c r="AF510" s="1063"/>
      <c r="AG510" s="18" t="s">
        <v>1244</v>
      </c>
      <c r="AH510" s="1095"/>
      <c r="AI510" s="1095"/>
      <c r="AJ510" s="1095"/>
      <c r="AK510" s="109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59"/>
      <c r="C511" s="1260"/>
      <c r="D511" s="1260"/>
      <c r="E511" s="1260"/>
      <c r="F511" s="1260"/>
      <c r="G511" s="1260"/>
      <c r="H511" s="1261"/>
      <c r="I511" s="37" t="s">
        <v>1254</v>
      </c>
      <c r="AC511" s="1040">
        <v>11</v>
      </c>
      <c r="AD511" s="1041"/>
      <c r="AE511" s="1041"/>
      <c r="AF511" s="1041"/>
      <c r="AG511" s="18" t="s">
        <v>1244</v>
      </c>
      <c r="AH511" s="1095">
        <v>2026</v>
      </c>
      <c r="AI511" s="1095"/>
      <c r="AJ511" s="1095"/>
      <c r="AK511" s="109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59"/>
      <c r="C512" s="1260"/>
      <c r="D512" s="1260"/>
      <c r="E512" s="1260"/>
      <c r="F512" s="1260"/>
      <c r="G512" s="1260"/>
      <c r="H512" s="1261"/>
      <c r="I512" s="336" t="s">
        <v>1168</v>
      </c>
      <c r="J512" s="47"/>
      <c r="K512" s="47"/>
      <c r="L512" s="1087" t="s">
        <v>1169</v>
      </c>
      <c r="M512" s="1088"/>
      <c r="N512" s="1088"/>
      <c r="O512" s="1088"/>
      <c r="P512" s="1088"/>
      <c r="Q512" s="1088"/>
      <c r="R512" s="1088"/>
      <c r="S512" s="1088"/>
      <c r="T512" s="1088"/>
      <c r="U512" s="1088"/>
      <c r="V512" s="1088"/>
      <c r="W512" s="1088"/>
      <c r="X512" s="1088"/>
      <c r="Y512" s="1088"/>
      <c r="Z512" s="1088"/>
      <c r="AA512" s="1088"/>
      <c r="AB512" s="1089"/>
      <c r="AC512" s="1062" t="s">
        <v>326</v>
      </c>
      <c r="AD512" s="1063"/>
      <c r="AE512" s="1063"/>
      <c r="AF512" s="1063"/>
      <c r="AG512" s="40" t="s">
        <v>1244</v>
      </c>
      <c r="AH512" s="1095"/>
      <c r="AI512" s="1095"/>
      <c r="AJ512" s="1095"/>
      <c r="AK512" s="109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59"/>
      <c r="C513" s="1260"/>
      <c r="D513" s="1260"/>
      <c r="E513" s="1260"/>
      <c r="F513" s="1260"/>
      <c r="G513" s="1260"/>
      <c r="H513" s="1261"/>
      <c r="I513" s="37" t="s">
        <v>1255</v>
      </c>
      <c r="AC513" s="1421" t="s">
        <v>765</v>
      </c>
      <c r="AD513" s="1421"/>
      <c r="AE513" s="1421"/>
      <c r="AF513" s="1421"/>
      <c r="AG513" s="18"/>
      <c r="AH513" s="1265"/>
      <c r="AI513" s="1265"/>
      <c r="AJ513" s="1265"/>
      <c r="AK513" s="126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59"/>
      <c r="C514" s="1260"/>
      <c r="D514" s="1260"/>
      <c r="E514" s="1260"/>
      <c r="F514" s="1260"/>
      <c r="G514" s="1260"/>
      <c r="H514" s="1261"/>
      <c r="I514" t="s">
        <v>1256</v>
      </c>
      <c r="AC514" s="1040">
        <v>3</v>
      </c>
      <c r="AD514" s="1041"/>
      <c r="AE514" s="1041"/>
      <c r="AF514" s="1042"/>
      <c r="AG514" s="18"/>
      <c r="AH514" s="1265"/>
      <c r="AI514" s="1265"/>
      <c r="AJ514" s="1265"/>
      <c r="AK514" s="126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59"/>
      <c r="C515" s="1260"/>
      <c r="D515" s="1260"/>
      <c r="E515" s="1260"/>
      <c r="F515" s="1260"/>
      <c r="G515" s="1260"/>
      <c r="H515" s="1261"/>
      <c r="I515" t="s">
        <v>1257</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59"/>
      <c r="C516" s="1260"/>
      <c r="D516" s="1260"/>
      <c r="E516" s="1260"/>
      <c r="F516" s="1260"/>
      <c r="G516" s="1260"/>
      <c r="H516" s="1261"/>
      <c r="I516" s="730" t="s">
        <v>1258</v>
      </c>
      <c r="J516" s="47"/>
      <c r="K516" s="47"/>
      <c r="L516" s="47"/>
      <c r="M516" s="47"/>
      <c r="N516" s="47"/>
      <c r="O516" s="47"/>
      <c r="P516" s="47"/>
      <c r="Q516" s="47"/>
      <c r="R516" s="47"/>
      <c r="S516" s="47"/>
      <c r="T516" s="47"/>
      <c r="U516" s="47"/>
      <c r="V516" s="47"/>
      <c r="W516" s="47"/>
      <c r="X516" s="47"/>
      <c r="Y516" s="47"/>
      <c r="Z516" s="47"/>
      <c r="AA516" s="47"/>
      <c r="AB516" s="47"/>
      <c r="AC516" s="1417">
        <v>0.95</v>
      </c>
      <c r="AD516" s="1418"/>
      <c r="AE516" s="1418"/>
      <c r="AF516" s="1419"/>
      <c r="AG516" s="40"/>
      <c r="AH516" s="1268"/>
      <c r="AI516" s="1268"/>
      <c r="AJ516" s="1268"/>
      <c r="AK516" s="126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56" t="s">
        <v>1259</v>
      </c>
      <c r="C517" s="1257"/>
      <c r="D517" s="1257"/>
      <c r="E517" s="1257"/>
      <c r="F517" s="1257"/>
      <c r="G517" s="1257"/>
      <c r="H517" s="1258"/>
      <c r="I517" s="7" t="s">
        <v>1260</v>
      </c>
      <c r="J517" s="7"/>
      <c r="K517" s="7"/>
      <c r="L517" s="7"/>
      <c r="M517" s="7"/>
      <c r="N517" s="7"/>
      <c r="O517" s="7"/>
      <c r="P517" s="7"/>
      <c r="Q517" s="7"/>
      <c r="R517" s="7"/>
      <c r="S517" s="7"/>
      <c r="T517" s="7"/>
      <c r="U517" s="7"/>
      <c r="V517" s="7"/>
      <c r="W517" s="7"/>
      <c r="AC517" s="1062" t="s">
        <v>326</v>
      </c>
      <c r="AD517" s="1063"/>
      <c r="AE517" s="1063"/>
      <c r="AF517" s="1063"/>
      <c r="AG517" s="18" t="s">
        <v>1244</v>
      </c>
      <c r="AH517" s="1095"/>
      <c r="AI517" s="1095"/>
      <c r="AJ517" s="1095"/>
      <c r="AK517" s="1096"/>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59"/>
      <c r="C518" s="1260"/>
      <c r="D518" s="1260"/>
      <c r="E518" s="1260"/>
      <c r="F518" s="1260"/>
      <c r="G518" s="1260"/>
      <c r="H518" s="1261"/>
      <c r="I518" t="s">
        <v>1261</v>
      </c>
      <c r="AC518" s="1062">
        <v>3</v>
      </c>
      <c r="AD518" s="1063"/>
      <c r="AE518" s="1063"/>
      <c r="AF518" s="1063"/>
      <c r="AG518" s="18" t="s">
        <v>1244</v>
      </c>
      <c r="AH518" s="1095">
        <v>2026</v>
      </c>
      <c r="AI518" s="1095"/>
      <c r="AJ518" s="1095"/>
      <c r="AK518" s="1096"/>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59"/>
      <c r="C519" s="1260"/>
      <c r="D519" s="1260"/>
      <c r="E519" s="1260"/>
      <c r="F519" s="1260"/>
      <c r="G519" s="1260"/>
      <c r="H519" s="1261"/>
      <c r="I519" s="47" t="s">
        <v>1262</v>
      </c>
      <c r="J519" s="47"/>
      <c r="K519" s="47"/>
      <c r="L519" s="47"/>
      <c r="M519" s="47"/>
      <c r="N519" s="47"/>
      <c r="O519" s="47"/>
      <c r="P519" s="47"/>
      <c r="Q519" s="47"/>
      <c r="R519" s="47"/>
      <c r="S519" s="47"/>
      <c r="T519" s="47"/>
      <c r="U519" s="47"/>
      <c r="V519" s="47"/>
      <c r="W519" s="47"/>
      <c r="X519" s="47"/>
      <c r="Y519" s="47"/>
      <c r="Z519" s="47"/>
      <c r="AA519" s="47"/>
      <c r="AB519" s="47"/>
      <c r="AC519" s="1062">
        <v>12</v>
      </c>
      <c r="AD519" s="1063"/>
      <c r="AE519" s="1063"/>
      <c r="AF519" s="1063"/>
      <c r="AG519" s="40" t="s">
        <v>1244</v>
      </c>
      <c r="AH519" s="1095">
        <v>2026</v>
      </c>
      <c r="AI519" s="1095"/>
      <c r="AJ519" s="1095"/>
      <c r="AK519" s="1096"/>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56" t="s">
        <v>1263</v>
      </c>
      <c r="C520" s="1257"/>
      <c r="D520" s="1257"/>
      <c r="E520" s="1257"/>
      <c r="F520" s="1257"/>
      <c r="G520" s="1257"/>
      <c r="H520" s="1258"/>
      <c r="I520" s="7" t="s">
        <v>1260</v>
      </c>
      <c r="J520" s="7"/>
      <c r="K520" s="7"/>
      <c r="L520" s="7"/>
      <c r="M520" s="7"/>
      <c r="N520" s="7"/>
      <c r="O520" s="7"/>
      <c r="P520" s="7"/>
      <c r="Q520" s="7"/>
      <c r="R520" s="7"/>
      <c r="S520" s="7"/>
      <c r="T520" s="7"/>
      <c r="U520" s="7"/>
      <c r="V520" s="7"/>
      <c r="W520" s="7"/>
      <c r="X520" s="7"/>
      <c r="Y520" s="7"/>
      <c r="Z520" s="7"/>
      <c r="AA520" s="7"/>
      <c r="AB520" s="7"/>
      <c r="AC520" s="1040" t="s">
        <v>326</v>
      </c>
      <c r="AD520" s="1041"/>
      <c r="AE520" s="1041"/>
      <c r="AF520" s="1041"/>
      <c r="AG520" s="194" t="s">
        <v>1244</v>
      </c>
      <c r="AH520" s="1095"/>
      <c r="AI520" s="1095"/>
      <c r="AJ520" s="1095"/>
      <c r="AK520" s="1096"/>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59"/>
      <c r="C521" s="1260"/>
      <c r="D521" s="1260"/>
      <c r="E521" s="1260"/>
      <c r="F521" s="1260"/>
      <c r="G521" s="1260"/>
      <c r="H521" s="1261"/>
      <c r="I521" t="s">
        <v>1261</v>
      </c>
      <c r="AC521" s="1062">
        <v>3</v>
      </c>
      <c r="AD521" s="1063"/>
      <c r="AE521" s="1063"/>
      <c r="AF521" s="1063"/>
      <c r="AG521" s="18" t="s">
        <v>1244</v>
      </c>
      <c r="AH521" s="1095">
        <v>2026</v>
      </c>
      <c r="AI521" s="1095"/>
      <c r="AJ521" s="1095"/>
      <c r="AK521" s="1096"/>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62"/>
      <c r="C522" s="1263"/>
      <c r="D522" s="1263"/>
      <c r="E522" s="1263"/>
      <c r="F522" s="1263"/>
      <c r="G522" s="1263"/>
      <c r="H522" s="1264"/>
      <c r="I522" s="47" t="s">
        <v>1262</v>
      </c>
      <c r="J522" s="47"/>
      <c r="K522" s="47"/>
      <c r="L522" s="47"/>
      <c r="M522" s="47"/>
      <c r="N522" s="47"/>
      <c r="O522" s="47"/>
      <c r="P522" s="47"/>
      <c r="Q522" s="47"/>
      <c r="R522" s="47"/>
      <c r="S522" s="47"/>
      <c r="T522" s="47"/>
      <c r="U522" s="47"/>
      <c r="V522" s="47"/>
      <c r="W522" s="47"/>
      <c r="X522" s="47"/>
      <c r="Y522" s="47"/>
      <c r="Z522" s="47"/>
      <c r="AA522" s="47"/>
      <c r="AB522" s="47"/>
      <c r="AC522" s="1062">
        <v>12</v>
      </c>
      <c r="AD522" s="1063"/>
      <c r="AE522" s="1063"/>
      <c r="AF522" s="1063"/>
      <c r="AG522" s="40" t="s">
        <v>1244</v>
      </c>
      <c r="AH522" s="1095">
        <v>2026</v>
      </c>
      <c r="AI522" s="1095"/>
      <c r="AJ522" s="1095"/>
      <c r="AK522" s="1096"/>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56" t="s">
        <v>1264</v>
      </c>
      <c r="C523" s="1257"/>
      <c r="D523" s="1257"/>
      <c r="E523" s="1257"/>
      <c r="F523" s="1257"/>
      <c r="G523" s="1257"/>
      <c r="H523" s="1258"/>
      <c r="I523" s="6" t="s">
        <v>1265</v>
      </c>
      <c r="J523" s="7"/>
      <c r="K523" s="7"/>
      <c r="L523" s="7"/>
      <c r="M523" s="7"/>
      <c r="N523" s="7"/>
      <c r="O523" s="1087" t="s">
        <v>1266</v>
      </c>
      <c r="P523" s="1088"/>
      <c r="Q523" s="1088"/>
      <c r="R523" s="1088"/>
      <c r="S523" s="1088"/>
      <c r="T523" s="1088"/>
      <c r="U523" s="1088"/>
      <c r="V523" s="1088"/>
      <c r="W523" s="1088"/>
      <c r="X523" s="1088"/>
      <c r="Y523" s="1088"/>
      <c r="Z523" s="1088"/>
      <c r="AA523" s="1088"/>
      <c r="AB523" s="57"/>
      <c r="AC523" s="1040" t="s">
        <v>326</v>
      </c>
      <c r="AD523" s="1041"/>
      <c r="AE523" s="1041"/>
      <c r="AF523" s="1041"/>
      <c r="AG523" s="194" t="s">
        <v>1244</v>
      </c>
      <c r="AH523" s="1095"/>
      <c r="AI523" s="1095"/>
      <c r="AJ523" s="1095"/>
      <c r="AK523" s="1096"/>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59"/>
      <c r="C524" s="1260"/>
      <c r="D524" s="1260"/>
      <c r="E524" s="1260"/>
      <c r="F524" s="1260"/>
      <c r="G524" s="1260"/>
      <c r="H524" s="1261"/>
      <c r="I524" s="173" t="s">
        <v>39</v>
      </c>
      <c r="AB524" s="63"/>
      <c r="AC524" s="1062">
        <v>3</v>
      </c>
      <c r="AD524" s="1063"/>
      <c r="AE524" s="1063"/>
      <c r="AF524" s="1063"/>
      <c r="AG524" s="18" t="s">
        <v>1244</v>
      </c>
      <c r="AH524" s="1095">
        <v>2026</v>
      </c>
      <c r="AI524" s="1095"/>
      <c r="AJ524" s="1095"/>
      <c r="AK524" s="1096"/>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59"/>
      <c r="C525" s="1260"/>
      <c r="D525" s="1260"/>
      <c r="E525" s="1260"/>
      <c r="F525" s="1260"/>
      <c r="G525" s="1260"/>
      <c r="H525" s="1261"/>
      <c r="I525" s="46" t="s">
        <v>1267</v>
      </c>
      <c r="J525" s="47"/>
      <c r="K525" s="47"/>
      <c r="L525" s="47"/>
      <c r="M525" s="47"/>
      <c r="N525" s="47"/>
      <c r="O525" s="47"/>
      <c r="P525" s="47"/>
      <c r="Q525" s="47"/>
      <c r="R525" s="47"/>
      <c r="S525" s="47"/>
      <c r="T525" s="47"/>
      <c r="U525" s="47"/>
      <c r="V525" s="47"/>
      <c r="W525" s="47"/>
      <c r="X525" s="47"/>
      <c r="Y525" s="47"/>
      <c r="Z525" s="47"/>
      <c r="AA525" s="47"/>
      <c r="AB525" s="48"/>
      <c r="AC525" s="1062">
        <v>12</v>
      </c>
      <c r="AD525" s="1063"/>
      <c r="AE525" s="1063"/>
      <c r="AF525" s="1063"/>
      <c r="AG525" s="40" t="s">
        <v>1244</v>
      </c>
      <c r="AH525" s="1095">
        <v>2026</v>
      </c>
      <c r="AI525" s="1095"/>
      <c r="AJ525" s="1095"/>
      <c r="AK525" s="1096"/>
      <c r="AM525" s="37"/>
      <c r="AN525" s="37"/>
      <c r="AO525" s="37"/>
      <c r="AP525" s="37"/>
      <c r="AQ525" s="37"/>
      <c r="AR525" s="37"/>
      <c r="AS525" s="37"/>
      <c r="AT525" s="37"/>
      <c r="AU525" s="37"/>
      <c r="AV525" s="37"/>
      <c r="AW525" s="37"/>
      <c r="AX525" s="37"/>
      <c r="AY525" s="37"/>
      <c r="AZ525" s="37" t="s">
        <v>1268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59"/>
      <c r="C526" s="1260"/>
      <c r="D526" s="1260"/>
      <c r="E526" s="1260"/>
      <c r="F526" s="1260"/>
      <c r="G526" s="1260"/>
      <c r="H526" s="1261"/>
      <c r="I526" s="7" t="s">
        <v>1269</v>
      </c>
      <c r="J526" s="7"/>
      <c r="K526" s="7"/>
      <c r="L526" s="7"/>
      <c r="M526" s="7"/>
      <c r="N526" s="7"/>
      <c r="O526" s="1087" t="s">
        <v>741</v>
      </c>
      <c r="P526" s="1088"/>
      <c r="Q526" s="1088"/>
      <c r="R526" s="1088"/>
      <c r="S526" s="1088"/>
      <c r="T526" s="1088"/>
      <c r="U526" s="1088"/>
      <c r="V526" s="1088"/>
      <c r="W526" s="1088"/>
      <c r="X526" s="1088"/>
      <c r="Y526" s="1088"/>
      <c r="Z526" s="1088"/>
      <c r="AA526" s="1088"/>
      <c r="AC526" s="1062" t="s">
        <v>326</v>
      </c>
      <c r="AD526" s="1063"/>
      <c r="AE526" s="1063"/>
      <c r="AF526" s="1063"/>
      <c r="AG526" s="18" t="s">
        <v>1244</v>
      </c>
      <c r="AH526" s="1095"/>
      <c r="AI526" s="1095"/>
      <c r="AJ526" s="1095"/>
      <c r="AK526" s="1096"/>
      <c r="AM526" s="37"/>
      <c r="AN526" s="37"/>
      <c r="AO526" s="37"/>
      <c r="AP526" s="37"/>
      <c r="AQ526" s="37"/>
      <c r="AR526" s="37"/>
      <c r="AS526" s="37"/>
      <c r="AT526" s="37"/>
      <c r="AU526" s="37"/>
      <c r="AV526" s="37"/>
      <c r="AW526" s="37"/>
      <c r="AX526" s="37"/>
      <c r="AY526" s="37"/>
      <c r="AZ526" s="37" t="s">
        <v>1270</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59"/>
      <c r="C527" s="1260"/>
      <c r="D527" s="1260"/>
      <c r="E527" s="1260"/>
      <c r="F527" s="1260"/>
      <c r="G527" s="1260"/>
      <c r="H527" s="1261"/>
      <c r="I527" t="s">
        <v>39</v>
      </c>
      <c r="AC527" s="1062">
        <v>10</v>
      </c>
      <c r="AD527" s="1063"/>
      <c r="AE527" s="1063"/>
      <c r="AF527" s="1063"/>
      <c r="AG527" s="18" t="s">
        <v>1244</v>
      </c>
      <c r="AH527" s="1095">
        <v>2025</v>
      </c>
      <c r="AI527" s="1095"/>
      <c r="AJ527" s="1095"/>
      <c r="AK527" s="1096"/>
      <c r="AM527" s="37"/>
      <c r="AN527" s="37"/>
      <c r="AO527" s="37"/>
      <c r="AP527" s="37"/>
      <c r="AQ527" s="37"/>
      <c r="AR527" s="37"/>
      <c r="AS527" s="37"/>
      <c r="AT527" s="37"/>
      <c r="AU527" s="37"/>
      <c r="AV527" s="37"/>
      <c r="AW527" s="37"/>
      <c r="AX527" s="37"/>
      <c r="AY527" s="37"/>
      <c r="AZ527" s="37" t="s">
        <v>1271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59"/>
      <c r="C528" s="1260"/>
      <c r="D528" s="1260"/>
      <c r="E528" s="1260"/>
      <c r="F528" s="1260"/>
      <c r="G528" s="1260"/>
      <c r="H528" s="1261"/>
      <c r="I528" s="47" t="s">
        <v>1267</v>
      </c>
      <c r="J528" s="47"/>
      <c r="K528" s="47"/>
      <c r="L528" s="47"/>
      <c r="M528" s="47"/>
      <c r="N528" s="47"/>
      <c r="O528" s="47"/>
      <c r="P528" s="47"/>
      <c r="Q528" s="47"/>
      <c r="R528" s="47"/>
      <c r="S528" s="47"/>
      <c r="T528" s="47"/>
      <c r="U528" s="47"/>
      <c r="V528" s="47"/>
      <c r="W528" s="47"/>
      <c r="X528" s="47"/>
      <c r="Y528" s="47"/>
      <c r="Z528" s="47"/>
      <c r="AA528" s="47"/>
      <c r="AB528" s="47"/>
      <c r="AC528" s="1062">
        <v>12</v>
      </c>
      <c r="AD528" s="1063"/>
      <c r="AE528" s="1063"/>
      <c r="AF528" s="1063"/>
      <c r="AG528" s="40" t="s">
        <v>1244</v>
      </c>
      <c r="AH528" s="1095">
        <v>2026</v>
      </c>
      <c r="AI528" s="1095"/>
      <c r="AJ528" s="1095"/>
      <c r="AK528" s="1096"/>
      <c r="AM528" s="37"/>
      <c r="AN528" s="37"/>
      <c r="AO528" s="37"/>
      <c r="AP528" s="37"/>
      <c r="AQ528" s="37"/>
      <c r="AR528" s="37"/>
      <c r="AS528" s="37"/>
      <c r="AT528" s="37"/>
      <c r="AU528" s="37"/>
      <c r="AV528" s="37"/>
      <c r="AW528" s="37"/>
      <c r="AX528" s="37"/>
      <c r="AY528" s="37"/>
      <c r="AZ528" s="37" t="s">
        <v>1272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59"/>
      <c r="C529" s="1260"/>
      <c r="D529" s="1260"/>
      <c r="E529" s="1260"/>
      <c r="F529" s="1260"/>
      <c r="G529" s="1260"/>
      <c r="H529" s="1261"/>
      <c r="I529" s="7" t="s">
        <v>1269</v>
      </c>
      <c r="J529" s="7"/>
      <c r="K529" s="7"/>
      <c r="L529" s="7"/>
      <c r="M529" s="7"/>
      <c r="N529" s="7"/>
      <c r="O529" s="1087" t="s">
        <v>1273</v>
      </c>
      <c r="P529" s="1088"/>
      <c r="Q529" s="1088"/>
      <c r="R529" s="1088"/>
      <c r="S529" s="1088"/>
      <c r="T529" s="1088"/>
      <c r="U529" s="1088"/>
      <c r="V529" s="1088"/>
      <c r="W529" s="1088"/>
      <c r="X529" s="1088"/>
      <c r="Y529" s="1088"/>
      <c r="Z529" s="1088"/>
      <c r="AA529" s="1088"/>
      <c r="AC529" s="1062" t="s">
        <v>326</v>
      </c>
      <c r="AD529" s="1063"/>
      <c r="AE529" s="1063"/>
      <c r="AF529" s="1063"/>
      <c r="AG529" s="18" t="s">
        <v>1244</v>
      </c>
      <c r="AH529" s="1095"/>
      <c r="AI529" s="1095"/>
      <c r="AJ529" s="1095"/>
      <c r="AK529" s="1096"/>
      <c r="AM529" s="37"/>
      <c r="AN529" s="37"/>
      <c r="AO529" s="37"/>
      <c r="AP529" s="37"/>
      <c r="AQ529" s="37"/>
      <c r="AR529" s="37"/>
      <c r="AS529" s="37"/>
      <c r="AT529" s="37"/>
      <c r="AU529" s="37"/>
      <c r="AV529" s="37"/>
      <c r="AW529" s="37"/>
      <c r="AX529" s="37"/>
      <c r="AY529" s="37"/>
      <c r="AZ529" s="37" t="s">
        <v>1274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59"/>
      <c r="C530" s="1260"/>
      <c r="D530" s="1260"/>
      <c r="E530" s="1260"/>
      <c r="F530" s="1260"/>
      <c r="G530" s="1260"/>
      <c r="H530" s="1261"/>
      <c r="I530" t="s">
        <v>39</v>
      </c>
      <c r="AC530" s="1062">
        <v>8</v>
      </c>
      <c r="AD530" s="1063"/>
      <c r="AE530" s="1063"/>
      <c r="AF530" s="1063"/>
      <c r="AG530" s="18" t="s">
        <v>1244</v>
      </c>
      <c r="AH530" s="1095">
        <v>2025</v>
      </c>
      <c r="AI530" s="1095"/>
      <c r="AJ530" s="1095"/>
      <c r="AK530" s="1096"/>
      <c r="AM530" s="37"/>
      <c r="AN530" s="37"/>
      <c r="AO530" s="37"/>
      <c r="AP530" s="37"/>
      <c r="AQ530" s="37"/>
      <c r="AR530" s="37"/>
      <c r="AS530" s="37"/>
      <c r="AT530" s="37"/>
      <c r="AU530" s="37"/>
      <c r="AV530" s="37"/>
      <c r="AW530" s="37"/>
      <c r="AX530" s="37"/>
      <c r="AY530" s="37"/>
      <c r="AZ530" s="37" t="s">
        <v>1275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59"/>
      <c r="C531" s="1260"/>
      <c r="D531" s="1260"/>
      <c r="E531" s="1260"/>
      <c r="F531" s="1260"/>
      <c r="G531" s="1260"/>
      <c r="H531" s="1261"/>
      <c r="I531" s="47" t="s">
        <v>1267</v>
      </c>
      <c r="J531" s="47"/>
      <c r="K531" s="47"/>
      <c r="L531" s="47"/>
      <c r="M531" s="47"/>
      <c r="N531" s="47"/>
      <c r="O531" s="47"/>
      <c r="P531" s="47"/>
      <c r="Q531" s="47"/>
      <c r="R531" s="47"/>
      <c r="S531" s="47"/>
      <c r="T531" s="47"/>
      <c r="U531" s="47"/>
      <c r="V531" s="47"/>
      <c r="W531" s="47"/>
      <c r="X531" s="47"/>
      <c r="Y531" s="47"/>
      <c r="Z531" s="47"/>
      <c r="AA531" s="47"/>
      <c r="AB531" s="47"/>
      <c r="AC531" s="1062">
        <v>12</v>
      </c>
      <c r="AD531" s="1063"/>
      <c r="AE531" s="1063"/>
      <c r="AF531" s="1063"/>
      <c r="AG531" s="40" t="s">
        <v>1244</v>
      </c>
      <c r="AH531" s="1095">
        <v>2026</v>
      </c>
      <c r="AI531" s="1095"/>
      <c r="AJ531" s="1095"/>
      <c r="AK531" s="1096"/>
      <c r="AM531" s="37"/>
      <c r="AN531" s="37"/>
      <c r="AO531" s="37"/>
      <c r="AP531" s="37"/>
      <c r="AQ531" s="37"/>
      <c r="AR531" s="37"/>
      <c r="AS531" s="37"/>
      <c r="AT531" s="37"/>
      <c r="AU531" s="37"/>
      <c r="AV531" s="37"/>
      <c r="AW531" s="37"/>
      <c r="AX531" s="37"/>
      <c r="AY531" s="37"/>
      <c r="AZ531" s="37" t="s">
        <v>1276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59"/>
      <c r="C532" s="1260"/>
      <c r="D532" s="1260"/>
      <c r="E532" s="1260"/>
      <c r="F532" s="1260"/>
      <c r="G532" s="1260"/>
      <c r="H532" s="1261"/>
      <c r="I532" s="7" t="s">
        <v>1269</v>
      </c>
      <c r="J532" s="7"/>
      <c r="K532" s="7"/>
      <c r="L532" s="7"/>
      <c r="M532" s="7"/>
      <c r="N532" s="7"/>
      <c r="O532" s="1420"/>
      <c r="P532" s="1088"/>
      <c r="Q532" s="1088"/>
      <c r="R532" s="1088"/>
      <c r="S532" s="1088"/>
      <c r="T532" s="1088"/>
      <c r="U532" s="1088"/>
      <c r="V532" s="1088"/>
      <c r="W532" s="1088"/>
      <c r="X532" s="1088"/>
      <c r="Y532" s="1088"/>
      <c r="Z532" s="1088"/>
      <c r="AA532" s="1088"/>
      <c r="AC532" s="1062" t="s">
        <v>326</v>
      </c>
      <c r="AD532" s="1063"/>
      <c r="AE532" s="1063"/>
      <c r="AF532" s="1063"/>
      <c r="AG532" s="18" t="s">
        <v>1244</v>
      </c>
      <c r="AH532" s="1095"/>
      <c r="AI532" s="1095"/>
      <c r="AJ532" s="1095"/>
      <c r="AK532" s="1096"/>
      <c r="AM532" s="37"/>
      <c r="AN532" s="37"/>
      <c r="AO532" s="37"/>
      <c r="AP532" s="37"/>
      <c r="AQ532" s="37"/>
      <c r="AR532" s="37"/>
      <c r="AS532" s="37"/>
      <c r="AT532" s="37"/>
      <c r="AU532" s="37"/>
      <c r="AV532" s="37"/>
      <c r="AW532" s="37"/>
      <c r="AX532" s="37"/>
      <c r="AY532" s="37"/>
      <c r="AZ532" s="37" t="s">
        <v>1277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59"/>
      <c r="C533" s="1260"/>
      <c r="D533" s="1260"/>
      <c r="E533" s="1260"/>
      <c r="F533" s="1260"/>
      <c r="G533" s="1260"/>
      <c r="H533" s="1261"/>
      <c r="I533" t="s">
        <v>39</v>
      </c>
      <c r="AC533" s="1062" t="s">
        <v>326</v>
      </c>
      <c r="AD533" s="1063"/>
      <c r="AE533" s="1063"/>
      <c r="AF533" s="1063"/>
      <c r="AG533" s="18" t="s">
        <v>1244</v>
      </c>
      <c r="AH533" s="1095"/>
      <c r="AI533" s="1095"/>
      <c r="AJ533" s="1095"/>
      <c r="AK533" s="1096"/>
      <c r="AM533" s="37"/>
      <c r="AN533" s="37"/>
      <c r="AO533" s="37"/>
      <c r="AP533" s="37"/>
      <c r="AQ533" s="37"/>
      <c r="AR533" s="37"/>
      <c r="AS533" s="37"/>
      <c r="AT533" s="37"/>
      <c r="AU533" s="37"/>
      <c r="AV533" s="37"/>
      <c r="AW533" s="37"/>
      <c r="AX533" s="37"/>
      <c r="AY533" s="37"/>
      <c r="AZ533" s="37" t="s">
        <v>1278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59"/>
      <c r="C534" s="1260"/>
      <c r="D534" s="1260"/>
      <c r="E534" s="1260"/>
      <c r="F534" s="1260"/>
      <c r="G534" s="1260"/>
      <c r="H534" s="1261"/>
      <c r="I534" s="47" t="s">
        <v>1267</v>
      </c>
      <c r="J534" s="47"/>
      <c r="K534" s="47"/>
      <c r="L534" s="47"/>
      <c r="M534" s="47"/>
      <c r="N534" s="47"/>
      <c r="O534" s="47"/>
      <c r="P534" s="47"/>
      <c r="Q534" s="47"/>
      <c r="R534" s="47"/>
      <c r="S534" s="47"/>
      <c r="T534" s="47"/>
      <c r="U534" s="47"/>
      <c r="V534" s="47"/>
      <c r="W534" s="47"/>
      <c r="X534" s="47"/>
      <c r="Y534" s="47"/>
      <c r="Z534" s="47"/>
      <c r="AA534" s="47"/>
      <c r="AB534" s="47"/>
      <c r="AC534" s="1062" t="s">
        <v>326</v>
      </c>
      <c r="AD534" s="1063"/>
      <c r="AE534" s="1063"/>
      <c r="AF534" s="1063"/>
      <c r="AG534" s="40" t="s">
        <v>1244</v>
      </c>
      <c r="AH534" s="1095"/>
      <c r="AI534" s="1095"/>
      <c r="AJ534" s="1095"/>
      <c r="AK534" s="1096"/>
      <c r="AM534" s="37"/>
      <c r="AN534" s="37"/>
      <c r="AO534" s="37"/>
      <c r="AP534" s="37"/>
      <c r="AQ534" s="37"/>
      <c r="AR534" s="37"/>
      <c r="AS534" s="37"/>
      <c r="AT534" s="37"/>
      <c r="AU534" s="37"/>
      <c r="AV534" s="37"/>
      <c r="AW534" s="37"/>
      <c r="AX534" s="37"/>
      <c r="AY534" s="37"/>
      <c r="AZ534" s="37" t="s">
        <v>1279</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59"/>
      <c r="C535" s="1260"/>
      <c r="D535" s="1260"/>
      <c r="E535" s="1260"/>
      <c r="F535" s="1260"/>
      <c r="G535" s="1260"/>
      <c r="H535" s="1261"/>
      <c r="I535" s="7" t="s">
        <v>1269</v>
      </c>
      <c r="J535" s="7"/>
      <c r="K535" s="7"/>
      <c r="L535" s="7"/>
      <c r="M535" s="7"/>
      <c r="N535" s="7"/>
      <c r="O535" s="1087" t="s">
        <v>1169</v>
      </c>
      <c r="P535" s="1088"/>
      <c r="Q535" s="1088"/>
      <c r="R535" s="1088"/>
      <c r="S535" s="1088"/>
      <c r="T535" s="1088"/>
      <c r="U535" s="1088"/>
      <c r="V535" s="1088"/>
      <c r="W535" s="1088"/>
      <c r="X535" s="1088"/>
      <c r="Y535" s="1088"/>
      <c r="Z535" s="1088"/>
      <c r="AA535" s="1088"/>
      <c r="AC535" s="1062" t="s">
        <v>326</v>
      </c>
      <c r="AD535" s="1063"/>
      <c r="AE535" s="1063"/>
      <c r="AF535" s="1063"/>
      <c r="AG535" s="18" t="s">
        <v>1244</v>
      </c>
      <c r="AH535" s="1095"/>
      <c r="AI535" s="1095"/>
      <c r="AJ535" s="1095"/>
      <c r="AK535" s="1096"/>
      <c r="AM535" s="37"/>
      <c r="AN535" s="37"/>
      <c r="AO535" s="37"/>
      <c r="AP535" s="37"/>
      <c r="AQ535" s="37"/>
      <c r="AR535" s="37"/>
      <c r="AS535" s="37"/>
      <c r="AT535" s="37"/>
      <c r="AU535" s="37"/>
      <c r="AV535" s="37"/>
      <c r="AW535" s="37"/>
      <c r="AX535" s="37"/>
      <c r="AY535" s="37"/>
      <c r="AZ535" s="37" t="s">
        <v>1280</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59"/>
      <c r="C536" s="1260"/>
      <c r="D536" s="1260"/>
      <c r="E536" s="1260"/>
      <c r="F536" s="1260"/>
      <c r="G536" s="1260"/>
      <c r="H536" s="1261"/>
      <c r="I536" t="s">
        <v>39</v>
      </c>
      <c r="AC536" s="1062" t="s">
        <v>326</v>
      </c>
      <c r="AD536" s="1063"/>
      <c r="AE536" s="1063"/>
      <c r="AF536" s="1063"/>
      <c r="AG536" s="40" t="s">
        <v>1244</v>
      </c>
      <c r="AH536" s="1095"/>
      <c r="AI536" s="1095"/>
      <c r="AJ536" s="1095"/>
      <c r="AK536" s="1096"/>
      <c r="AM536" s="37"/>
      <c r="AN536" s="37"/>
      <c r="AO536" s="37"/>
      <c r="AP536" s="37"/>
      <c r="AQ536" s="37"/>
      <c r="AR536" s="37"/>
      <c r="AS536" s="37"/>
      <c r="AT536" s="37"/>
      <c r="AU536" s="37"/>
      <c r="AV536" s="37"/>
      <c r="AW536" s="37"/>
      <c r="AX536" s="37"/>
      <c r="AY536" s="37"/>
      <c r="AZ536" s="37" t="s">
        <v>1281</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59"/>
      <c r="C537" s="1260"/>
      <c r="D537" s="1260"/>
      <c r="E537" s="1260"/>
      <c r="F537" s="1260"/>
      <c r="G537" s="1260"/>
      <c r="H537" s="1261"/>
      <c r="I537" s="47" t="s">
        <v>1267</v>
      </c>
      <c r="J537" s="47"/>
      <c r="K537" s="47"/>
      <c r="L537" s="47"/>
      <c r="M537" s="47"/>
      <c r="N537" s="47"/>
      <c r="O537" s="47"/>
      <c r="P537" s="47"/>
      <c r="Q537" s="47"/>
      <c r="R537" s="47"/>
      <c r="S537" s="47"/>
      <c r="T537" s="47"/>
      <c r="U537" s="47"/>
      <c r="V537" s="47"/>
      <c r="W537" s="47"/>
      <c r="X537" s="47"/>
      <c r="Y537" s="47"/>
      <c r="Z537" s="47"/>
      <c r="AA537" s="47"/>
      <c r="AB537" s="47"/>
      <c r="AC537" s="1062" t="s">
        <v>326</v>
      </c>
      <c r="AD537" s="1063"/>
      <c r="AE537" s="1063"/>
      <c r="AF537" s="1063"/>
      <c r="AG537" s="18" t="s">
        <v>1244</v>
      </c>
      <c r="AH537" s="1095"/>
      <c r="AI537" s="1095"/>
      <c r="AJ537" s="1095"/>
      <c r="AK537" s="1096"/>
      <c r="AM537" s="37"/>
      <c r="AN537" s="37"/>
      <c r="AO537" s="37"/>
      <c r="AP537" s="37"/>
      <c r="AQ537" s="37"/>
      <c r="AR537" s="37"/>
      <c r="AS537" s="37"/>
      <c r="AT537" s="37"/>
      <c r="AU537" s="37"/>
      <c r="AV537" s="37"/>
      <c r="AW537" s="37"/>
      <c r="AX537" s="37"/>
      <c r="AY537" s="37"/>
      <c r="AZ537" s="37" t="s">
        <v>1282</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59"/>
      <c r="C538" s="1260"/>
      <c r="D538" s="1260"/>
      <c r="E538" s="1260"/>
      <c r="F538" s="1260"/>
      <c r="G538" s="1260"/>
      <c r="H538" s="1261"/>
      <c r="I538" s="7" t="s">
        <v>1269</v>
      </c>
      <c r="J538" s="7"/>
      <c r="K538" s="7"/>
      <c r="L538" s="7"/>
      <c r="M538" s="7"/>
      <c r="N538" s="7"/>
      <c r="O538" s="1087" t="s">
        <v>1169</v>
      </c>
      <c r="P538" s="1088"/>
      <c r="Q538" s="1088"/>
      <c r="R538" s="1088"/>
      <c r="S538" s="1088"/>
      <c r="T538" s="1088"/>
      <c r="U538" s="1088"/>
      <c r="V538" s="1088"/>
      <c r="W538" s="1088"/>
      <c r="X538" s="1088"/>
      <c r="Y538" s="1088"/>
      <c r="Z538" s="1088"/>
      <c r="AA538" s="1088"/>
      <c r="AC538" s="1062" t="s">
        <v>326</v>
      </c>
      <c r="AD538" s="1063"/>
      <c r="AE538" s="1063"/>
      <c r="AF538" s="1063"/>
      <c r="AG538" s="40" t="s">
        <v>1244</v>
      </c>
      <c r="AH538" s="1095"/>
      <c r="AI538" s="1095"/>
      <c r="AJ538" s="1095"/>
      <c r="AK538" s="1096"/>
      <c r="AM538" s="37"/>
      <c r="AN538" s="37"/>
      <c r="AO538" s="37"/>
      <c r="AP538" s="37"/>
      <c r="AQ538" s="37"/>
      <c r="AR538" s="37"/>
      <c r="AS538" s="37"/>
      <c r="AT538" s="37"/>
      <c r="AU538" s="37"/>
      <c r="AV538" s="37"/>
      <c r="AW538" s="37"/>
      <c r="AX538" s="37"/>
      <c r="AY538" s="37"/>
      <c r="AZ538" s="37" t="s">
        <v>1283</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59"/>
      <c r="C539" s="1260"/>
      <c r="D539" s="1260"/>
      <c r="E539" s="1260"/>
      <c r="F539" s="1260"/>
      <c r="G539" s="1260"/>
      <c r="H539" s="1261"/>
      <c r="I539" t="s">
        <v>39</v>
      </c>
      <c r="AC539" s="1062" t="s">
        <v>326</v>
      </c>
      <c r="AD539" s="1063"/>
      <c r="AE539" s="1063"/>
      <c r="AF539" s="1063"/>
      <c r="AG539" s="18" t="s">
        <v>1244</v>
      </c>
      <c r="AH539" s="1095"/>
      <c r="AI539" s="1095"/>
      <c r="AJ539" s="1095"/>
      <c r="AK539" s="1096"/>
      <c r="AM539" s="37"/>
      <c r="AN539" s="37"/>
      <c r="AO539" s="37"/>
      <c r="AP539" s="37"/>
      <c r="AQ539" s="37"/>
      <c r="AR539" s="37"/>
      <c r="AS539" s="37"/>
      <c r="AT539" s="37"/>
      <c r="AU539" s="37"/>
      <c r="AV539" s="37"/>
      <c r="AW539" s="37"/>
      <c r="AX539" s="37"/>
      <c r="AY539" s="37"/>
      <c r="AZ539" s="37" t="s">
        <v>1284</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59"/>
      <c r="C540" s="1260"/>
      <c r="D540" s="1260"/>
      <c r="E540" s="1260"/>
      <c r="F540" s="1260"/>
      <c r="G540" s="1260"/>
      <c r="H540" s="1261"/>
      <c r="I540" s="47" t="s">
        <v>1267</v>
      </c>
      <c r="J540" s="47"/>
      <c r="K540" s="47"/>
      <c r="L540" s="47"/>
      <c r="M540" s="47"/>
      <c r="N540" s="47"/>
      <c r="O540" s="47"/>
      <c r="P540" s="47"/>
      <c r="Q540" s="47"/>
      <c r="R540" s="47"/>
      <c r="S540" s="47"/>
      <c r="T540" s="47"/>
      <c r="U540" s="47"/>
      <c r="V540" s="47"/>
      <c r="W540" s="47"/>
      <c r="X540" s="47"/>
      <c r="Y540" s="47"/>
      <c r="Z540" s="47"/>
      <c r="AA540" s="47"/>
      <c r="AB540" s="47"/>
      <c r="AC540" s="1062" t="s">
        <v>326</v>
      </c>
      <c r="AD540" s="1063"/>
      <c r="AE540" s="1063"/>
      <c r="AF540" s="1063"/>
      <c r="AG540" s="40" t="s">
        <v>1244</v>
      </c>
      <c r="AH540" s="1095"/>
      <c r="AI540" s="1095"/>
      <c r="AJ540" s="1095"/>
      <c r="AK540" s="1096"/>
      <c r="AM540" s="37"/>
      <c r="AN540" s="37"/>
      <c r="AO540" s="37"/>
      <c r="AP540" s="37"/>
      <c r="AQ540" s="37"/>
      <c r="AR540" s="37"/>
      <c r="AS540" s="37"/>
      <c r="AT540" s="37"/>
      <c r="AU540" s="37"/>
      <c r="AV540" s="37"/>
      <c r="AW540" s="37"/>
      <c r="AX540" s="37"/>
      <c r="AY540" s="37"/>
      <c r="AZ540" s="37" t="s">
        <v>1285</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59"/>
      <c r="C541" s="1260"/>
      <c r="D541" s="1260"/>
      <c r="E541" s="1260"/>
      <c r="F541" s="1260"/>
      <c r="G541" s="1260"/>
      <c r="H541" s="1261"/>
      <c r="I541" s="7" t="s">
        <v>1286</v>
      </c>
      <c r="J541" s="7"/>
      <c r="K541" s="7"/>
      <c r="L541" s="7"/>
      <c r="M541" s="7"/>
      <c r="N541" s="7"/>
      <c r="O541" s="7"/>
      <c r="P541" s="7"/>
      <c r="Q541" s="7"/>
      <c r="R541" s="7"/>
      <c r="S541" s="7"/>
      <c r="T541" s="7"/>
      <c r="U541" s="7"/>
      <c r="V541" s="7"/>
      <c r="W541" s="7"/>
      <c r="AC541" s="1062">
        <v>12</v>
      </c>
      <c r="AD541" s="1063"/>
      <c r="AE541" s="1063"/>
      <c r="AF541" s="1063"/>
      <c r="AG541" s="40" t="s">
        <v>1244</v>
      </c>
      <c r="AH541" s="1095">
        <v>2026</v>
      </c>
      <c r="AI541" s="1095"/>
      <c r="AJ541" s="1095"/>
      <c r="AK541" s="1096"/>
      <c r="AM541" s="37"/>
      <c r="AN541" s="37"/>
      <c r="AO541" s="37"/>
      <c r="AP541" s="37"/>
      <c r="AQ541" s="37"/>
      <c r="AR541" s="37"/>
      <c r="AS541" s="37"/>
      <c r="AT541" s="37"/>
      <c r="AU541" s="37"/>
      <c r="AV541" s="37"/>
      <c r="AW541" s="37"/>
      <c r="AX541" s="37"/>
      <c r="AY541" s="37"/>
      <c r="AZ541" s="37" t="s">
        <v>1287</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59"/>
      <c r="C542" s="1260"/>
      <c r="D542" s="1260"/>
      <c r="E542" s="1260"/>
      <c r="F542" s="1260"/>
      <c r="G542" s="1260"/>
      <c r="H542" s="1261"/>
      <c r="I542" t="s">
        <v>1288</v>
      </c>
      <c r="AC542" s="1062">
        <v>12</v>
      </c>
      <c r="AD542" s="1063"/>
      <c r="AE542" s="1063"/>
      <c r="AF542" s="1063"/>
      <c r="AG542" s="18" t="s">
        <v>1244</v>
      </c>
      <c r="AH542" s="1095">
        <v>2026</v>
      </c>
      <c r="AI542" s="1095"/>
      <c r="AJ542" s="1095"/>
      <c r="AK542" s="1096"/>
      <c r="AM542" s="37"/>
      <c r="AN542" s="37"/>
      <c r="AO542" s="37"/>
      <c r="AP542" s="37"/>
      <c r="AQ542" s="37"/>
      <c r="AR542" s="37"/>
      <c r="AS542" s="37"/>
      <c r="AT542" s="37"/>
      <c r="AU542" s="37"/>
      <c r="AV542" s="37"/>
      <c r="AW542" s="37"/>
      <c r="AX542" s="37"/>
      <c r="AY542" s="37"/>
      <c r="AZ542" s="37" t="s">
        <v>1289</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59"/>
      <c r="C543" s="1260"/>
      <c r="D543" s="1260"/>
      <c r="E543" s="1260"/>
      <c r="F543" s="1260"/>
      <c r="G543" s="1260"/>
      <c r="H543" s="1261"/>
      <c r="I543" t="s">
        <v>1290</v>
      </c>
      <c r="AC543" s="1062">
        <v>12</v>
      </c>
      <c r="AD543" s="1063"/>
      <c r="AE543" s="1063"/>
      <c r="AF543" s="1063"/>
      <c r="AG543" s="40" t="s">
        <v>1244</v>
      </c>
      <c r="AH543" s="1095">
        <v>2027</v>
      </c>
      <c r="AI543" s="1095"/>
      <c r="AJ543" s="1095"/>
      <c r="AK543" s="1096"/>
      <c r="AM543" s="37"/>
      <c r="AN543" s="37"/>
      <c r="AO543" s="37"/>
      <c r="AP543" s="37"/>
      <c r="AQ543" s="37"/>
      <c r="AR543" s="37"/>
      <c r="AS543" s="37"/>
      <c r="AT543" s="37"/>
      <c r="AU543" s="37"/>
      <c r="AV543" s="37"/>
      <c r="AW543" s="37"/>
      <c r="AX543" s="37"/>
      <c r="AY543" s="37"/>
      <c r="AZ543" s="37" t="s">
        <v>1291</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59"/>
      <c r="C544" s="1260"/>
      <c r="D544" s="1260"/>
      <c r="E544" s="1260"/>
      <c r="F544" s="1260"/>
      <c r="G544" s="1260"/>
      <c r="H544" s="1261"/>
      <c r="I544" t="s">
        <v>1292</v>
      </c>
      <c r="AC544" s="1062">
        <v>12</v>
      </c>
      <c r="AD544" s="1063"/>
      <c r="AE544" s="1063"/>
      <c r="AF544" s="1063"/>
      <c r="AG544" s="40" t="s">
        <v>1244</v>
      </c>
      <c r="AH544" s="1095">
        <v>2027</v>
      </c>
      <c r="AI544" s="1095"/>
      <c r="AJ544" s="1095"/>
      <c r="AK544" s="1096"/>
      <c r="AM544" s="37"/>
      <c r="AN544" s="37"/>
      <c r="AO544" s="37"/>
      <c r="AP544" s="37"/>
      <c r="AQ544" s="37"/>
      <c r="AR544" s="37"/>
      <c r="AS544" s="37"/>
      <c r="AT544" s="37"/>
      <c r="AU544" s="37"/>
      <c r="AV544" s="37"/>
      <c r="AW544" s="37"/>
      <c r="AX544" s="37"/>
      <c r="AY544" s="37"/>
      <c r="AZ544" s="37" t="s">
        <v>1293</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62"/>
      <c r="C545" s="1263"/>
      <c r="D545" s="1263"/>
      <c r="E545" s="1263"/>
      <c r="F545" s="1263"/>
      <c r="G545" s="1263"/>
      <c r="H545" s="1264"/>
      <c r="I545" s="47" t="s">
        <v>1294</v>
      </c>
      <c r="J545" s="47"/>
      <c r="K545" s="47"/>
      <c r="L545" s="47"/>
      <c r="M545" s="47"/>
      <c r="N545" s="47"/>
      <c r="O545" s="47"/>
      <c r="P545" s="47"/>
      <c r="Q545" s="47"/>
      <c r="R545" s="47"/>
      <c r="S545" s="47"/>
      <c r="T545" s="47"/>
      <c r="U545" s="47"/>
      <c r="V545" s="47"/>
      <c r="W545" s="47"/>
      <c r="X545" s="47"/>
      <c r="Y545" s="47"/>
      <c r="Z545" s="47"/>
      <c r="AA545" s="47"/>
      <c r="AB545" s="47"/>
      <c r="AC545" s="1062">
        <v>5</v>
      </c>
      <c r="AD545" s="1063"/>
      <c r="AE545" s="1063"/>
      <c r="AF545" s="1063"/>
      <c r="AG545" s="40" t="s">
        <v>1244</v>
      </c>
      <c r="AH545" s="1095">
        <v>2028</v>
      </c>
      <c r="AI545" s="1095"/>
      <c r="AJ545" s="1095"/>
      <c r="AK545" s="1096"/>
      <c r="AM545" s="37"/>
      <c r="AN545" s="37"/>
      <c r="AO545" s="37"/>
      <c r="AP545" s="37"/>
      <c r="AQ545" s="37"/>
      <c r="AR545" s="37"/>
      <c r="AS545" s="37"/>
      <c r="AT545" s="37"/>
      <c r="AU545" s="37"/>
      <c r="AV545" s="37"/>
      <c r="AW545" s="37"/>
      <c r="AX545" s="37"/>
      <c r="AY545" s="37"/>
      <c r="AZ545" s="37" t="s">
        <v>1295</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1296</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1297</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1298</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1299</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1300</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793</v>
      </c>
      <c r="B550" s="3"/>
      <c r="C550" s="3" t="s">
        <v>182</v>
      </c>
      <c r="AT550" s="37"/>
      <c r="AU550" s="37"/>
      <c r="AV550" s="37"/>
      <c r="AW550" s="37"/>
      <c r="AX550" s="37"/>
      <c r="AY550" s="37"/>
      <c r="AZ550" t="s">
        <v>1301</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1302</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56" t="s">
        <v>1303</v>
      </c>
      <c r="C554" s="1257"/>
      <c r="D554" s="1257"/>
      <c r="E554" s="1257"/>
      <c r="F554" s="1257"/>
      <c r="G554" s="1257"/>
      <c r="H554" s="1257"/>
      <c r="I554" s="1257"/>
      <c r="J554" s="1257"/>
      <c r="K554" s="1257"/>
      <c r="L554" s="1257"/>
      <c r="M554" s="1117" t="s">
        <v>1304</v>
      </c>
      <c r="N554" s="1117"/>
      <c r="O554" s="1117"/>
      <c r="P554" s="1117"/>
      <c r="Q554" s="1256" t="s">
        <v>1305</v>
      </c>
      <c r="R554" s="1257"/>
      <c r="S554" s="1258"/>
      <c r="T554" s="1256" t="s">
        <v>1306</v>
      </c>
      <c r="U554" s="1257"/>
      <c r="V554" s="1258"/>
      <c r="W554" s="1256" t="s">
        <v>1307</v>
      </c>
      <c r="X554" s="1257"/>
      <c r="Y554" s="1258"/>
      <c r="Z554" s="1256" t="s">
        <v>1308</v>
      </c>
      <c r="AA554" s="1257"/>
      <c r="AB554" s="1257"/>
      <c r="AC554" s="1257"/>
      <c r="AD554" s="1258"/>
      <c r="AE554" s="1256" t="s">
        <v>1309</v>
      </c>
      <c r="AF554" s="1257"/>
      <c r="AG554" s="1257"/>
      <c r="AH554" s="1258"/>
      <c r="AI554" s="1256" t="s">
        <v>1310</v>
      </c>
      <c r="AJ554" s="1257"/>
      <c r="AK554" s="1257"/>
      <c r="AL554" s="1258"/>
      <c r="AM554" s="1256" t="s">
        <v>1311</v>
      </c>
      <c r="AN554" s="1257"/>
      <c r="AO554" s="1257"/>
      <c r="AP554" s="1257"/>
      <c r="AQ554" s="1257"/>
      <c r="AR554" s="1257"/>
      <c r="AS554" s="1258"/>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59"/>
      <c r="C555" s="1260"/>
      <c r="D555" s="1260"/>
      <c r="E555" s="1260"/>
      <c r="F555" s="1260"/>
      <c r="G555" s="1260"/>
      <c r="H555" s="1260"/>
      <c r="I555" s="1260"/>
      <c r="J555" s="1260"/>
      <c r="K555" s="1260"/>
      <c r="L555" s="1260"/>
      <c r="M555" s="1117"/>
      <c r="N555" s="1117"/>
      <c r="O555" s="1117"/>
      <c r="P555" s="1117"/>
      <c r="Q555" s="1259"/>
      <c r="R555" s="1260"/>
      <c r="S555" s="1261"/>
      <c r="T555" s="1259"/>
      <c r="U555" s="1260"/>
      <c r="V555" s="1261"/>
      <c r="W555" s="1259"/>
      <c r="X555" s="1260"/>
      <c r="Y555" s="1261"/>
      <c r="Z555" s="1259"/>
      <c r="AA555" s="1260"/>
      <c r="AB555" s="1260"/>
      <c r="AC555" s="1260"/>
      <c r="AD555" s="1261"/>
      <c r="AE555" s="1259"/>
      <c r="AF555" s="1260"/>
      <c r="AG555" s="1260"/>
      <c r="AH555" s="1261"/>
      <c r="AI555" s="1259"/>
      <c r="AJ555" s="1260"/>
      <c r="AK555" s="1260"/>
      <c r="AL555" s="1261"/>
      <c r="AM555" s="1259"/>
      <c r="AN555" s="1260"/>
      <c r="AO555" s="1260"/>
      <c r="AP555" s="1260"/>
      <c r="AQ555" s="1260"/>
      <c r="AR555" s="1260"/>
      <c r="AS555" s="1261"/>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62"/>
      <c r="C556" s="1263"/>
      <c r="D556" s="1263"/>
      <c r="E556" s="1263"/>
      <c r="F556" s="1263"/>
      <c r="G556" s="1263"/>
      <c r="H556" s="1263"/>
      <c r="I556" s="1263"/>
      <c r="J556" s="1263"/>
      <c r="K556" s="1263"/>
      <c r="L556" s="1263"/>
      <c r="M556" s="1117"/>
      <c r="N556" s="1117"/>
      <c r="O556" s="1117"/>
      <c r="P556" s="1117"/>
      <c r="Q556" s="1262"/>
      <c r="R556" s="1263"/>
      <c r="S556" s="1264"/>
      <c r="T556" s="1262"/>
      <c r="U556" s="1263"/>
      <c r="V556" s="1264"/>
      <c r="W556" s="1262"/>
      <c r="X556" s="1263"/>
      <c r="Y556" s="1264"/>
      <c r="Z556" s="1262"/>
      <c r="AA556" s="1263"/>
      <c r="AB556" s="1263"/>
      <c r="AC556" s="1263"/>
      <c r="AD556" s="1264"/>
      <c r="AE556" s="1262"/>
      <c r="AF556" s="1263"/>
      <c r="AG556" s="1263"/>
      <c r="AH556" s="1264"/>
      <c r="AI556" s="1262"/>
      <c r="AJ556" s="1263"/>
      <c r="AK556" s="1263"/>
      <c r="AL556" s="1264"/>
      <c r="AM556" s="1262"/>
      <c r="AN556" s="1263"/>
      <c r="AO556" s="1263"/>
      <c r="AP556" s="1263"/>
      <c r="AQ556" s="1263"/>
      <c r="AR556" s="1263"/>
      <c r="AS556" s="1264"/>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71" t="s">
        <v>1312</v>
      </c>
      <c r="D557" s="1071"/>
      <c r="E557" s="1071"/>
      <c r="F557" s="1071"/>
      <c r="G557" s="1071"/>
      <c r="H557" s="1071"/>
      <c r="I557" s="1071"/>
      <c r="J557" s="1071"/>
      <c r="K557" s="1071"/>
      <c r="L557" s="1071"/>
      <c r="M557" s="1070" t="s">
        <v>1280</v>
      </c>
      <c r="N557" s="1070"/>
      <c r="O557" s="1070"/>
      <c r="P557" s="1070"/>
      <c r="Q557" s="1075">
        <v>20</v>
      </c>
      <c r="R557" s="1075"/>
      <c r="S557" s="1076"/>
      <c r="T557" s="1074"/>
      <c r="U557" s="1075"/>
      <c r="V557" s="1076"/>
      <c r="W557" s="1367">
        <v>6.0999999999999999E-2</v>
      </c>
      <c r="X557" s="1368"/>
      <c r="Y557" s="1369"/>
      <c r="Z557" s="1370" t="s">
        <v>1313</v>
      </c>
      <c r="AA557" s="1370"/>
      <c r="AB557" s="1370"/>
      <c r="AC557" s="1370"/>
      <c r="AD557" s="1370"/>
      <c r="AE557" s="1371">
        <v>1</v>
      </c>
      <c r="AF557" s="1372"/>
      <c r="AG557" s="1372"/>
      <c r="AH557" s="1373"/>
      <c r="AI557" s="1374"/>
      <c r="AJ557" s="1375"/>
      <c r="AK557" s="1375"/>
      <c r="AL557" s="1376"/>
      <c r="AM557" s="1176">
        <v>12394224</v>
      </c>
      <c r="AN557" s="1177"/>
      <c r="AO557" s="1177"/>
      <c r="AP557" s="1177"/>
      <c r="AQ557" s="1177"/>
      <c r="AR557" s="1177"/>
      <c r="AS557" s="1178"/>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71" t="s">
        <v>1314</v>
      </c>
      <c r="D558" s="1071"/>
      <c r="E558" s="1071"/>
      <c r="F558" s="1071"/>
      <c r="G558" s="1071"/>
      <c r="H558" s="1071"/>
      <c r="I558" s="1071"/>
      <c r="J558" s="1071"/>
      <c r="K558" s="1071"/>
      <c r="L558" s="1071"/>
      <c r="M558" s="1070" t="s">
        <v>1282</v>
      </c>
      <c r="N558" s="1070"/>
      <c r="O558" s="1070"/>
      <c r="P558" s="1070"/>
      <c r="Q558" s="1074">
        <v>20</v>
      </c>
      <c r="R558" s="1075"/>
      <c r="S558" s="1076"/>
      <c r="T558" s="1074"/>
      <c r="U558" s="1075"/>
      <c r="V558" s="1076"/>
      <c r="W558" s="1367">
        <v>0.04</v>
      </c>
      <c r="X558" s="1368"/>
      <c r="Y558" s="1369"/>
      <c r="Z558" s="1370" t="s">
        <v>1315</v>
      </c>
      <c r="AA558" s="1370"/>
      <c r="AB558" s="1370"/>
      <c r="AC558" s="1370"/>
      <c r="AD558" s="1370"/>
      <c r="AE558" s="1371">
        <v>2</v>
      </c>
      <c r="AF558" s="1372"/>
      <c r="AG558" s="1372"/>
      <c r="AH558" s="1373"/>
      <c r="AI558" s="1374"/>
      <c r="AJ558" s="1375"/>
      <c r="AK558" s="1375"/>
      <c r="AL558" s="1376"/>
      <c r="AM558" s="1176">
        <v>5700000</v>
      </c>
      <c r="AN558" s="1177"/>
      <c r="AO558" s="1177"/>
      <c r="AP558" s="1177"/>
      <c r="AQ558" s="1177"/>
      <c r="AR558" s="1177"/>
      <c r="AS558" s="1178"/>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71" t="s">
        <v>1316</v>
      </c>
      <c r="D559" s="1071"/>
      <c r="E559" s="1071"/>
      <c r="F559" s="1071"/>
      <c r="G559" s="1071"/>
      <c r="H559" s="1071"/>
      <c r="I559" s="1071"/>
      <c r="J559" s="1071"/>
      <c r="K559" s="1071"/>
      <c r="L559" s="1071"/>
      <c r="M559" s="1070" t="s">
        <v>1282</v>
      </c>
      <c r="N559" s="1070"/>
      <c r="O559" s="1070"/>
      <c r="P559" s="1070"/>
      <c r="Q559" s="1074">
        <v>20</v>
      </c>
      <c r="R559" s="1075"/>
      <c r="S559" s="1076"/>
      <c r="T559" s="1074"/>
      <c r="U559" s="1075"/>
      <c r="V559" s="1076"/>
      <c r="W559" s="1367">
        <v>0.03</v>
      </c>
      <c r="X559" s="1368"/>
      <c r="Y559" s="1369"/>
      <c r="Z559" s="1370" t="s">
        <v>1315</v>
      </c>
      <c r="AA559" s="1370"/>
      <c r="AB559" s="1370"/>
      <c r="AC559" s="1370"/>
      <c r="AD559" s="1370"/>
      <c r="AE559" s="1371">
        <v>3</v>
      </c>
      <c r="AF559" s="1372"/>
      <c r="AG559" s="1372"/>
      <c r="AH559" s="1373"/>
      <c r="AI559" s="1374"/>
      <c r="AJ559" s="1375"/>
      <c r="AK559" s="1375"/>
      <c r="AL559" s="1376"/>
      <c r="AM559" s="1176">
        <f>8517984+1000000</f>
        <v>9517984</v>
      </c>
      <c r="AN559" s="1177"/>
      <c r="AO559" s="1177"/>
      <c r="AP559" s="1177"/>
      <c r="AQ559" s="1177"/>
      <c r="AR559" s="1177"/>
      <c r="AS559" s="1178"/>
      <c r="AT559" s="834" t="str">
        <f t="shared" ref="AT559:AT564" si="1">IF(AND(NOT(C558=""),C559="",NOT(C560="")),"!","")</f>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378" t="s">
        <v>1317</v>
      </c>
      <c r="D560" s="1071"/>
      <c r="E560" s="1071"/>
      <c r="F560" s="1071"/>
      <c r="G560" s="1071"/>
      <c r="H560" s="1071"/>
      <c r="I560" s="1071"/>
      <c r="J560" s="1071"/>
      <c r="K560" s="1071"/>
      <c r="L560" s="1071"/>
      <c r="M560" s="1070" t="s">
        <v>1271</v>
      </c>
      <c r="N560" s="1070"/>
      <c r="O560" s="1070"/>
      <c r="P560" s="1070"/>
      <c r="Q560" s="1074"/>
      <c r="R560" s="1075"/>
      <c r="S560" s="1076"/>
      <c r="T560" s="1074"/>
      <c r="U560" s="1075"/>
      <c r="V560" s="1076"/>
      <c r="W560" s="1377"/>
      <c r="X560" s="1368"/>
      <c r="Y560" s="1369"/>
      <c r="Z560" s="1370" t="s">
        <v>1268</v>
      </c>
      <c r="AA560" s="1370"/>
      <c r="AB560" s="1370"/>
      <c r="AC560" s="1370"/>
      <c r="AD560" s="1370"/>
      <c r="AE560" s="1371"/>
      <c r="AF560" s="1372"/>
      <c r="AG560" s="1372"/>
      <c r="AH560" s="1373"/>
      <c r="AI560" s="1374"/>
      <c r="AJ560" s="1375"/>
      <c r="AK560" s="1375"/>
      <c r="AL560" s="1376"/>
      <c r="AM560" s="1405">
        <f>2162016-1</f>
        <v>2162015</v>
      </c>
      <c r="AN560" s="1177"/>
      <c r="AO560" s="1177"/>
      <c r="AP560" s="1177"/>
      <c r="AQ560" s="1177"/>
      <c r="AR560" s="1177"/>
      <c r="AS560" s="1178"/>
      <c r="AT560" s="834" t="str">
        <f t="shared" si="1"/>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378" t="s">
        <v>1318</v>
      </c>
      <c r="D561" s="1071"/>
      <c r="E561" s="1071"/>
      <c r="F561" s="1071"/>
      <c r="G561" s="1071"/>
      <c r="H561" s="1071"/>
      <c r="I561" s="1071"/>
      <c r="J561" s="1071"/>
      <c r="K561" s="1071"/>
      <c r="L561" s="1071"/>
      <c r="M561" s="1070" t="s">
        <v>1277</v>
      </c>
      <c r="N561" s="1070"/>
      <c r="O561" s="1070"/>
      <c r="P561" s="1070"/>
      <c r="Q561" s="1074"/>
      <c r="R561" s="1075"/>
      <c r="S561" s="1076"/>
      <c r="T561" s="1074"/>
      <c r="U561" s="1075"/>
      <c r="V561" s="1076"/>
      <c r="W561" s="1367"/>
      <c r="X561" s="1368"/>
      <c r="Y561" s="1369"/>
      <c r="Z561" s="1370" t="s">
        <v>1268</v>
      </c>
      <c r="AA561" s="1370"/>
      <c r="AB561" s="1370"/>
      <c r="AC561" s="1370"/>
      <c r="AD561" s="1370"/>
      <c r="AE561" s="1371"/>
      <c r="AF561" s="1372"/>
      <c r="AG561" s="1372"/>
      <c r="AH561" s="1373"/>
      <c r="AI561" s="1374"/>
      <c r="AJ561" s="1375"/>
      <c r="AK561" s="1375"/>
      <c r="AL561" s="1376"/>
      <c r="AM561" s="1405">
        <f>1492693-215000</f>
        <v>1277693</v>
      </c>
      <c r="AN561" s="1177"/>
      <c r="AO561" s="1177"/>
      <c r="AP561" s="1177"/>
      <c r="AQ561" s="1177"/>
      <c r="AR561" s="1177"/>
      <c r="AS561" s="1178"/>
      <c r="AT561" s="834" t="str">
        <f t="shared" si="1"/>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1319</v>
      </c>
      <c r="C562" s="1071" t="s">
        <v>1320</v>
      </c>
      <c r="D562" s="1071"/>
      <c r="E562" s="1071"/>
      <c r="F562" s="1071"/>
      <c r="G562" s="1071"/>
      <c r="H562" s="1071"/>
      <c r="I562" s="1071"/>
      <c r="J562" s="1071"/>
      <c r="K562" s="1071"/>
      <c r="L562" s="1072"/>
      <c r="M562" s="1381" t="s">
        <v>1270</v>
      </c>
      <c r="N562" s="1382"/>
      <c r="O562" s="1382"/>
      <c r="P562" s="1383"/>
      <c r="Q562" s="1074"/>
      <c r="R562" s="1075"/>
      <c r="S562" s="1076"/>
      <c r="T562" s="1074"/>
      <c r="U562" s="1075"/>
      <c r="V562" s="1076"/>
      <c r="W562" s="1367"/>
      <c r="X562" s="1368"/>
      <c r="Y562" s="1369"/>
      <c r="Z562" s="1379" t="s">
        <v>1268</v>
      </c>
      <c r="AA562" s="1370"/>
      <c r="AB562" s="1370"/>
      <c r="AC562" s="1370"/>
      <c r="AD562" s="1380"/>
      <c r="AE562" s="1371"/>
      <c r="AF562" s="1372"/>
      <c r="AG562" s="1372"/>
      <c r="AH562" s="1373"/>
      <c r="AI562" s="1374"/>
      <c r="AJ562" s="1375"/>
      <c r="AK562" s="1375"/>
      <c r="AL562" s="1376"/>
      <c r="AM562" s="1176">
        <v>494161</v>
      </c>
      <c r="AN562" s="1177"/>
      <c r="AO562" s="1177"/>
      <c r="AP562" s="1177"/>
      <c r="AQ562" s="1177"/>
      <c r="AR562" s="1177"/>
      <c r="AS562" s="1178"/>
      <c r="AT562" s="834" t="str">
        <f t="shared" si="1"/>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1321</v>
      </c>
      <c r="C563" s="1071"/>
      <c r="D563" s="1071"/>
      <c r="E563" s="1071"/>
      <c r="F563" s="1071"/>
      <c r="G563" s="1071"/>
      <c r="H563" s="1071"/>
      <c r="I563" s="1071"/>
      <c r="J563" s="1071"/>
      <c r="K563" s="1071"/>
      <c r="L563" s="1072"/>
      <c r="M563" s="1381" t="s">
        <v>1268</v>
      </c>
      <c r="N563" s="1382"/>
      <c r="O563" s="1382"/>
      <c r="P563" s="1383"/>
      <c r="Q563" s="1074"/>
      <c r="R563" s="1075"/>
      <c r="S563" s="1076"/>
      <c r="T563" s="1074"/>
      <c r="U563" s="1075"/>
      <c r="V563" s="1076"/>
      <c r="W563" s="1367"/>
      <c r="X563" s="1368"/>
      <c r="Y563" s="1369"/>
      <c r="Z563" s="1379" t="s">
        <v>1268</v>
      </c>
      <c r="AA563" s="1370"/>
      <c r="AB563" s="1370"/>
      <c r="AC563" s="1370"/>
      <c r="AD563" s="1380"/>
      <c r="AE563" s="1371"/>
      <c r="AF563" s="1372"/>
      <c r="AG563" s="1372"/>
      <c r="AH563" s="1373"/>
      <c r="AI563" s="1374"/>
      <c r="AJ563" s="1375"/>
      <c r="AK563" s="1375"/>
      <c r="AL563" s="1376"/>
      <c r="AM563" s="1176"/>
      <c r="AN563" s="1177"/>
      <c r="AO563" s="1177"/>
      <c r="AP563" s="1177"/>
      <c r="AQ563" s="1177"/>
      <c r="AR563" s="1177"/>
      <c r="AS563" s="1178"/>
      <c r="AT563" s="834" t="str">
        <f t="shared" si="1"/>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1322</v>
      </c>
      <c r="C564" s="1378"/>
      <c r="D564" s="1071"/>
      <c r="E564" s="1071"/>
      <c r="F564" s="1071"/>
      <c r="G564" s="1071"/>
      <c r="H564" s="1071"/>
      <c r="I564" s="1071"/>
      <c r="J564" s="1071"/>
      <c r="K564" s="1071"/>
      <c r="L564" s="1071"/>
      <c r="M564" s="1070" t="s">
        <v>1268</v>
      </c>
      <c r="N564" s="1070"/>
      <c r="O564" s="1070"/>
      <c r="P564" s="1070"/>
      <c r="Q564" s="1074"/>
      <c r="R564" s="1075"/>
      <c r="S564" s="1076"/>
      <c r="T564" s="1074"/>
      <c r="U564" s="1075"/>
      <c r="V564" s="1076"/>
      <c r="W564" s="1367"/>
      <c r="X564" s="1368"/>
      <c r="Y564" s="1369"/>
      <c r="Z564" s="1370" t="s">
        <v>1268</v>
      </c>
      <c r="AA564" s="1370"/>
      <c r="AB564" s="1370"/>
      <c r="AC564" s="1370"/>
      <c r="AD564" s="1370"/>
      <c r="AE564" s="1371"/>
      <c r="AF564" s="1372"/>
      <c r="AG564" s="1372"/>
      <c r="AH564" s="1373"/>
      <c r="AI564" s="1374"/>
      <c r="AJ564" s="1375"/>
      <c r="AK564" s="1375"/>
      <c r="AL564" s="1376"/>
      <c r="AM564" s="1405"/>
      <c r="AN564" s="1177"/>
      <c r="AO564" s="1177"/>
      <c r="AP564" s="1177"/>
      <c r="AQ564" s="1177"/>
      <c r="AR564" s="1177"/>
      <c r="AS564" s="1178"/>
      <c r="AT564" s="834" t="str">
        <f t="shared" si="1"/>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1323</v>
      </c>
      <c r="C565" s="1071"/>
      <c r="D565" s="1071"/>
      <c r="E565" s="1071"/>
      <c r="F565" s="1071"/>
      <c r="G565" s="1071"/>
      <c r="H565" s="1071"/>
      <c r="I565" s="1071"/>
      <c r="J565" s="1071"/>
      <c r="K565" s="1071"/>
      <c r="L565" s="1071"/>
      <c r="M565" s="1070" t="s">
        <v>1268</v>
      </c>
      <c r="N565" s="1070"/>
      <c r="O565" s="1070"/>
      <c r="P565" s="1070"/>
      <c r="Q565" s="1074"/>
      <c r="R565" s="1075"/>
      <c r="S565" s="1076"/>
      <c r="T565" s="1074"/>
      <c r="U565" s="1075"/>
      <c r="V565" s="1076"/>
      <c r="W565" s="1367"/>
      <c r="X565" s="1368"/>
      <c r="Y565" s="1369"/>
      <c r="Z565" s="1370" t="s">
        <v>1268</v>
      </c>
      <c r="AA565" s="1370"/>
      <c r="AB565" s="1370"/>
      <c r="AC565" s="1370"/>
      <c r="AD565" s="1370"/>
      <c r="AE565" s="1371"/>
      <c r="AF565" s="1372"/>
      <c r="AG565" s="1372"/>
      <c r="AH565" s="1373"/>
      <c r="AI565" s="1374"/>
      <c r="AJ565" s="1375"/>
      <c r="AK565" s="1375"/>
      <c r="AL565" s="1376"/>
      <c r="AM565" s="1176"/>
      <c r="AN565" s="1177"/>
      <c r="AO565" s="1177"/>
      <c r="AP565" s="1177"/>
      <c r="AQ565" s="1177"/>
      <c r="AR565" s="1177"/>
      <c r="AS565" s="1178"/>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1324</v>
      </c>
      <c r="C566" s="1071"/>
      <c r="D566" s="1071"/>
      <c r="E566" s="1071"/>
      <c r="F566" s="1071"/>
      <c r="G566" s="1071"/>
      <c r="H566" s="1071"/>
      <c r="I566" s="1071"/>
      <c r="J566" s="1071"/>
      <c r="K566" s="1071"/>
      <c r="L566" s="1072"/>
      <c r="M566" s="1070" t="s">
        <v>1268</v>
      </c>
      <c r="N566" s="1070"/>
      <c r="O566" s="1070"/>
      <c r="P566" s="1070"/>
      <c r="Q566" s="1074"/>
      <c r="R566" s="1075"/>
      <c r="S566" s="1076"/>
      <c r="T566" s="1074"/>
      <c r="U566" s="1075"/>
      <c r="V566" s="1076"/>
      <c r="W566" s="1367"/>
      <c r="X566" s="1368"/>
      <c r="Y566" s="1369"/>
      <c r="Z566" s="1370" t="s">
        <v>1268</v>
      </c>
      <c r="AA566" s="1370"/>
      <c r="AB566" s="1370"/>
      <c r="AC566" s="1370"/>
      <c r="AD566" s="1370"/>
      <c r="AE566" s="1371"/>
      <c r="AF566" s="1372"/>
      <c r="AG566" s="1372"/>
      <c r="AH566" s="1373"/>
      <c r="AI566" s="1374"/>
      <c r="AJ566" s="1375"/>
      <c r="AK566" s="1375"/>
      <c r="AL566" s="1376"/>
      <c r="AM566" s="1405"/>
      <c r="AN566" s="1177"/>
      <c r="AO566" s="1177"/>
      <c r="AP566" s="1177"/>
      <c r="AQ566" s="1177"/>
      <c r="AR566" s="1177"/>
      <c r="AS566" s="1178"/>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1325</v>
      </c>
      <c r="C567" s="1071"/>
      <c r="D567" s="1071"/>
      <c r="E567" s="1071"/>
      <c r="F567" s="1071"/>
      <c r="G567" s="1071"/>
      <c r="H567" s="1071"/>
      <c r="I567" s="1071"/>
      <c r="J567" s="1071"/>
      <c r="K567" s="1071"/>
      <c r="L567" s="1071"/>
      <c r="M567" s="1070" t="s">
        <v>1268</v>
      </c>
      <c r="N567" s="1070"/>
      <c r="O567" s="1070"/>
      <c r="P567" s="1070"/>
      <c r="Q567" s="1074"/>
      <c r="R567" s="1075"/>
      <c r="S567" s="1076"/>
      <c r="T567" s="1074"/>
      <c r="U567" s="1075"/>
      <c r="V567" s="1076"/>
      <c r="W567" s="1367"/>
      <c r="X567" s="1368"/>
      <c r="Y567" s="1369"/>
      <c r="Z567" s="1370" t="s">
        <v>1268</v>
      </c>
      <c r="AA567" s="1370"/>
      <c r="AB567" s="1370"/>
      <c r="AC567" s="1370"/>
      <c r="AD567" s="1370"/>
      <c r="AE567" s="1371"/>
      <c r="AF567" s="1372"/>
      <c r="AG567" s="1372"/>
      <c r="AH567" s="1373"/>
      <c r="AI567" s="1374"/>
      <c r="AJ567" s="1375"/>
      <c r="AK567" s="1375"/>
      <c r="AL567" s="1376"/>
      <c r="AM567" s="1176"/>
      <c r="AN567" s="1177"/>
      <c r="AO567" s="1177"/>
      <c r="AP567" s="1177"/>
      <c r="AQ567" s="1177"/>
      <c r="AR567" s="1177"/>
      <c r="AS567" s="1178"/>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1326</v>
      </c>
      <c r="C568" s="1071"/>
      <c r="D568" s="1071"/>
      <c r="E568" s="1071"/>
      <c r="F568" s="1071"/>
      <c r="G568" s="1071"/>
      <c r="H568" s="1071"/>
      <c r="I568" s="1071"/>
      <c r="J568" s="1071"/>
      <c r="K568" s="1071"/>
      <c r="L568" s="1071"/>
      <c r="M568" s="1070" t="s">
        <v>1268</v>
      </c>
      <c r="N568" s="1070"/>
      <c r="O568" s="1070"/>
      <c r="P568" s="1070"/>
      <c r="Q568" s="1074"/>
      <c r="R568" s="1075"/>
      <c r="S568" s="1076"/>
      <c r="T568" s="1074"/>
      <c r="U568" s="1075"/>
      <c r="V568" s="1076"/>
      <c r="W568" s="1367"/>
      <c r="X568" s="1368"/>
      <c r="Y568" s="1369"/>
      <c r="Z568" s="1370" t="s">
        <v>1268</v>
      </c>
      <c r="AA568" s="1370"/>
      <c r="AB568" s="1370"/>
      <c r="AC568" s="1370"/>
      <c r="AD568" s="1370"/>
      <c r="AE568" s="1371"/>
      <c r="AF568" s="1372"/>
      <c r="AG568" s="1372"/>
      <c r="AH568" s="1373"/>
      <c r="AI568" s="1374"/>
      <c r="AJ568" s="1375"/>
      <c r="AK568" s="1375"/>
      <c r="AL568" s="1376"/>
      <c r="AM568" s="1176"/>
      <c r="AN568" s="1177"/>
      <c r="AO568" s="1177"/>
      <c r="AP568" s="1177"/>
      <c r="AQ568" s="1177"/>
      <c r="AR568" s="1177"/>
      <c r="AS568" s="1178"/>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7" t="s">
        <v>1327</v>
      </c>
      <c r="C569" s="1078"/>
      <c r="D569" s="1078"/>
      <c r="E569" s="1078"/>
      <c r="F569" s="1078"/>
      <c r="G569" s="1078"/>
      <c r="H569" s="1078"/>
      <c r="I569" s="1078"/>
      <c r="J569" s="1078"/>
      <c r="K569" s="1078"/>
      <c r="L569" s="1078"/>
      <c r="M569" s="1078"/>
      <c r="N569" s="1078"/>
      <c r="O569" s="1078"/>
      <c r="P569" s="1078"/>
      <c r="Q569" s="1078"/>
      <c r="R569" s="1078"/>
      <c r="S569" s="1078"/>
      <c r="T569" s="1078"/>
      <c r="U569" s="1079"/>
      <c r="V569" s="1078"/>
      <c r="W569" s="1078"/>
      <c r="X569" s="1078"/>
      <c r="Y569" s="1078"/>
      <c r="Z569" s="1078"/>
      <c r="AA569" s="1078"/>
      <c r="AB569" s="1078"/>
      <c r="AC569" s="1078"/>
      <c r="AD569" s="1078"/>
      <c r="AE569" s="1078"/>
      <c r="AF569" s="1078"/>
      <c r="AG569" s="1078"/>
      <c r="AH569" s="1078"/>
      <c r="AI569" s="1078"/>
      <c r="AJ569" s="1078"/>
      <c r="AK569" s="1078"/>
      <c r="AL569" s="1080"/>
      <c r="AM569" s="1172">
        <f>SUM(AM557:AS568)</f>
        <v>31546077</v>
      </c>
      <c r="AN569" s="1173"/>
      <c r="AO569" s="1173"/>
      <c r="AP569" s="1173"/>
      <c r="AQ569" s="1173"/>
      <c r="AR569" s="1173"/>
      <c r="AS569" s="1174"/>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1328</v>
      </c>
      <c r="C571"/>
      <c r="G571" s="1180" t="str">
        <f>C557</f>
        <v>JP Morgan Chase Const. Loan</v>
      </c>
      <c r="H571" s="1180"/>
      <c r="I571" s="1180"/>
      <c r="J571" s="1180"/>
      <c r="K571" s="1180"/>
      <c r="L571" s="1180"/>
      <c r="M571" s="1180"/>
      <c r="N571" s="1180"/>
      <c r="O571" s="1180"/>
      <c r="P571" s="1180"/>
      <c r="Q571" s="1180"/>
      <c r="R571" s="1180"/>
      <c r="S571" s="12"/>
      <c r="T571" s="54" t="s">
        <v>28</v>
      </c>
      <c r="U571" t="s">
        <v>1328</v>
      </c>
      <c r="Z571" s="1180" t="str">
        <f>C558</f>
        <v>City of San Jose Loan</v>
      </c>
      <c r="AA571" s="1180"/>
      <c r="AB571" s="1180"/>
      <c r="AC571" s="1180"/>
      <c r="AD571" s="1180"/>
      <c r="AE571" s="1180"/>
      <c r="AF571" s="1180"/>
      <c r="AG571" s="1180"/>
      <c r="AH571" s="1180"/>
      <c r="AI571" s="1180"/>
      <c r="AJ571" s="1180"/>
      <c r="AK571" s="118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983</v>
      </c>
      <c r="C572"/>
      <c r="G572" s="1358" t="s">
        <v>1329</v>
      </c>
      <c r="H572" s="1020"/>
      <c r="I572" s="1020"/>
      <c r="J572" s="1020"/>
      <c r="K572" s="1020"/>
      <c r="L572" s="1020"/>
      <c r="M572" s="1020"/>
      <c r="N572" s="1020"/>
      <c r="O572" s="1020"/>
      <c r="P572" s="1020"/>
      <c r="Q572" s="1020"/>
      <c r="R572" s="1020"/>
      <c r="S572" s="12"/>
      <c r="T572" s="4"/>
      <c r="U572" t="s">
        <v>983</v>
      </c>
      <c r="Z572" s="1358" t="s">
        <v>1330</v>
      </c>
      <c r="AA572" s="1020"/>
      <c r="AB572" s="1020"/>
      <c r="AC572" s="1020"/>
      <c r="AD572" s="1020"/>
      <c r="AE572" s="1020"/>
      <c r="AF572" s="1020"/>
      <c r="AG572" s="1020"/>
      <c r="AH572" s="1020"/>
      <c r="AI572" s="1020"/>
      <c r="AJ572" s="1020"/>
      <c r="AK572" s="102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847</v>
      </c>
      <c r="C573"/>
      <c r="G573" s="1358" t="s">
        <v>875</v>
      </c>
      <c r="H573" s="1020"/>
      <c r="I573" s="1020"/>
      <c r="J573" s="1020"/>
      <c r="K573" s="1020"/>
      <c r="L573" s="1020"/>
      <c r="M573" s="1020"/>
      <c r="N573" s="1020"/>
      <c r="O573" s="1020"/>
      <c r="P573" s="1020"/>
      <c r="Q573" s="1020"/>
      <c r="R573" s="1020"/>
      <c r="T573" s="4"/>
      <c r="U573" t="s">
        <v>847</v>
      </c>
      <c r="Z573" s="1018" t="s">
        <v>734</v>
      </c>
      <c r="AA573" s="1018"/>
      <c r="AB573" s="1018"/>
      <c r="AC573" s="1018"/>
      <c r="AD573" s="1018"/>
      <c r="AE573" s="1018"/>
      <c r="AF573" s="1018"/>
      <c r="AG573" s="1018"/>
      <c r="AH573" s="1018"/>
      <c r="AI573" s="1018"/>
      <c r="AJ573" s="1018"/>
      <c r="AK573" s="101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1331</v>
      </c>
      <c r="C574"/>
      <c r="G574" s="1020" t="s">
        <v>1332</v>
      </c>
      <c r="H574" s="1020"/>
      <c r="I574" s="1020"/>
      <c r="J574" s="1020"/>
      <c r="K574" s="1020"/>
      <c r="L574" s="1020"/>
      <c r="M574" s="1020"/>
      <c r="N574" s="1020"/>
      <c r="O574" s="1020"/>
      <c r="P574" s="1020"/>
      <c r="Q574" s="1020"/>
      <c r="R574" s="1020"/>
      <c r="S574" s="12"/>
      <c r="T574" s="4"/>
      <c r="U574" t="s">
        <v>1331</v>
      </c>
      <c r="Z574" s="1356" t="s">
        <v>1333</v>
      </c>
      <c r="AA574" s="1018"/>
      <c r="AB574" s="1018"/>
      <c r="AC574" s="1018"/>
      <c r="AD574" s="1018"/>
      <c r="AE574" s="1018"/>
      <c r="AF574" s="1018"/>
      <c r="AG574" s="1018"/>
      <c r="AH574" s="1018"/>
      <c r="AI574" s="1018"/>
      <c r="AJ574" s="1018"/>
      <c r="AK574" s="101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762</v>
      </c>
      <c r="C575"/>
      <c r="G575" s="1024">
        <v>4153157916</v>
      </c>
      <c r="H575" s="1024"/>
      <c r="I575" s="1024"/>
      <c r="J575" s="1024"/>
      <c r="K575" s="1024"/>
      <c r="L575" s="1024"/>
      <c r="O575" s="810" t="s">
        <v>992</v>
      </c>
      <c r="P575" s="1279"/>
      <c r="Q575" s="1279"/>
      <c r="R575" s="1279"/>
      <c r="S575" s="14"/>
      <c r="T575" s="4"/>
      <c r="U575" t="s">
        <v>762</v>
      </c>
      <c r="Z575" s="1255">
        <v>4089753797</v>
      </c>
      <c r="AA575" s="1024"/>
      <c r="AB575" s="1024"/>
      <c r="AC575" s="1024"/>
      <c r="AD575" s="1024"/>
      <c r="AE575" s="1024"/>
      <c r="AH575" s="810" t="s">
        <v>992</v>
      </c>
      <c r="AI575" s="1279"/>
      <c r="AJ575" s="1279"/>
      <c r="AK575" s="1279"/>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1334</v>
      </c>
      <c r="C576"/>
      <c r="H576" s="1020" t="s">
        <v>1335</v>
      </c>
      <c r="I576" s="1020"/>
      <c r="J576" s="1020"/>
      <c r="K576" s="1020"/>
      <c r="L576" s="1020"/>
      <c r="M576" s="1020"/>
      <c r="N576" s="1020"/>
      <c r="O576" s="1020"/>
      <c r="P576" s="1020"/>
      <c r="Q576" s="1020"/>
      <c r="R576" s="1020"/>
      <c r="S576" s="12"/>
      <c r="T576" s="4"/>
      <c r="U576" t="s">
        <v>1334</v>
      </c>
      <c r="AA576" s="1358" t="s">
        <v>1336</v>
      </c>
      <c r="AB576" s="1020"/>
      <c r="AC576" s="1020"/>
      <c r="AD576" s="1020"/>
      <c r="AE576" s="1020"/>
      <c r="AF576" s="1020"/>
      <c r="AG576" s="1020"/>
      <c r="AH576" s="1020"/>
      <c r="AI576" s="1020"/>
      <c r="AJ576" s="1020"/>
      <c r="AK576" s="102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1337</v>
      </c>
      <c r="C577"/>
      <c r="N577" s="1065" t="s">
        <v>765</v>
      </c>
      <c r="O577" s="1065"/>
      <c r="T577" s="4"/>
      <c r="U577" t="s">
        <v>1337</v>
      </c>
      <c r="AG577" s="1065" t="s">
        <v>765</v>
      </c>
      <c r="AH577" s="1065"/>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1328</v>
      </c>
      <c r="C579"/>
      <c r="G579" s="1180" t="str">
        <f>C559</f>
        <v>SCCHA MTW Loan</v>
      </c>
      <c r="H579" s="1180"/>
      <c r="I579" s="1180"/>
      <c r="J579" s="1180"/>
      <c r="K579" s="1180"/>
      <c r="L579" s="1180"/>
      <c r="M579" s="1180"/>
      <c r="N579" s="1180"/>
      <c r="O579" s="1180"/>
      <c r="P579" s="1180"/>
      <c r="Q579" s="1180"/>
      <c r="R579" s="1180"/>
      <c r="T579" s="54" t="s">
        <v>92</v>
      </c>
      <c r="U579" t="s">
        <v>1328</v>
      </c>
      <c r="Z579" s="1180" t="str">
        <f>C560</f>
        <v>Costs Deferred Until Conversion</v>
      </c>
      <c r="AA579" s="1180"/>
      <c r="AB579" s="1180"/>
      <c r="AC579" s="1180"/>
      <c r="AD579" s="1180"/>
      <c r="AE579" s="1180"/>
      <c r="AF579" s="1180"/>
      <c r="AG579" s="1180"/>
      <c r="AH579" s="1180"/>
      <c r="AI579" s="1180"/>
      <c r="AJ579" s="1180"/>
      <c r="AK579" s="118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983</v>
      </c>
      <c r="C580"/>
      <c r="G580" s="1358" t="s">
        <v>984</v>
      </c>
      <c r="H580" s="1020"/>
      <c r="I580" s="1020"/>
      <c r="J580" s="1020"/>
      <c r="K580" s="1020"/>
      <c r="L580" s="1020"/>
      <c r="M580" s="1020"/>
      <c r="N580" s="1020"/>
      <c r="O580" s="1020"/>
      <c r="P580" s="1020"/>
      <c r="Q580" s="1020"/>
      <c r="R580" s="1020"/>
      <c r="T580" s="4"/>
      <c r="U580" t="s">
        <v>983</v>
      </c>
      <c r="Z580" s="1020" t="s">
        <v>984</v>
      </c>
      <c r="AA580" s="1020"/>
      <c r="AB580" s="1020"/>
      <c r="AC580" s="1020"/>
      <c r="AD580" s="1020"/>
      <c r="AE580" s="1020"/>
      <c r="AF580" s="1020"/>
      <c r="AG580" s="1020"/>
      <c r="AH580" s="1020"/>
      <c r="AI580" s="1020"/>
      <c r="AJ580" s="1020"/>
      <c r="AK580" s="102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847</v>
      </c>
      <c r="C581"/>
      <c r="G581" s="1018" t="s">
        <v>734</v>
      </c>
      <c r="H581" s="1018"/>
      <c r="I581" s="1018"/>
      <c r="J581" s="1018"/>
      <c r="K581" s="1018"/>
      <c r="L581" s="1018"/>
      <c r="M581" s="1018"/>
      <c r="N581" s="1018"/>
      <c r="O581" s="1018"/>
      <c r="P581" s="1018"/>
      <c r="Q581" s="1018"/>
      <c r="R581" s="1018"/>
      <c r="T581" s="4"/>
      <c r="U581" t="s">
        <v>847</v>
      </c>
      <c r="Z581" s="1018" t="s">
        <v>734</v>
      </c>
      <c r="AA581" s="1018"/>
      <c r="AB581" s="1018"/>
      <c r="AC581" s="1018"/>
      <c r="AD581" s="1018"/>
      <c r="AE581" s="1018"/>
      <c r="AF581" s="1018"/>
      <c r="AG581" s="1018"/>
      <c r="AH581" s="1018"/>
      <c r="AI581" s="1018"/>
      <c r="AJ581" s="1018"/>
      <c r="AK581" s="101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1331</v>
      </c>
      <c r="C582"/>
      <c r="G582" s="1356" t="s">
        <v>989</v>
      </c>
      <c r="H582" s="1018"/>
      <c r="I582" s="1018"/>
      <c r="J582" s="1018"/>
      <c r="K582" s="1018"/>
      <c r="L582" s="1018"/>
      <c r="M582" s="1018"/>
      <c r="N582" s="1018"/>
      <c r="O582" s="1018"/>
      <c r="P582" s="1018"/>
      <c r="Q582" s="1018"/>
      <c r="R582" s="1018"/>
      <c r="T582" s="4"/>
      <c r="U582" t="s">
        <v>1331</v>
      </c>
      <c r="Z582" s="1018" t="s">
        <v>989</v>
      </c>
      <c r="AA582" s="1018"/>
      <c r="AB582" s="1018"/>
      <c r="AC582" s="1018"/>
      <c r="AD582" s="1018"/>
      <c r="AE582" s="1018"/>
      <c r="AF582" s="1018"/>
      <c r="AG582" s="1018"/>
      <c r="AH582" s="1018"/>
      <c r="AI582" s="1018"/>
      <c r="AJ582" s="1018"/>
      <c r="AK582" s="101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762</v>
      </c>
      <c r="C583"/>
      <c r="G583" s="1255" t="s">
        <v>1338</v>
      </c>
      <c r="H583" s="1024"/>
      <c r="I583" s="1024"/>
      <c r="J583" s="1024"/>
      <c r="K583" s="1024"/>
      <c r="L583" s="1024"/>
      <c r="O583" s="810" t="s">
        <v>992</v>
      </c>
      <c r="P583" s="1279"/>
      <c r="Q583" s="1279"/>
      <c r="R583" s="1279"/>
      <c r="T583" s="4"/>
      <c r="U583" t="s">
        <v>762</v>
      </c>
      <c r="Z583" s="1024" t="s">
        <v>1338</v>
      </c>
      <c r="AA583" s="1024"/>
      <c r="AB583" s="1024"/>
      <c r="AC583" s="1024"/>
      <c r="AD583" s="1024"/>
      <c r="AE583" s="1024"/>
      <c r="AH583" s="810" t="s">
        <v>992</v>
      </c>
      <c r="AI583" s="1279"/>
      <c r="AJ583" s="1279"/>
      <c r="AK583" s="1279"/>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1334</v>
      </c>
      <c r="C584"/>
      <c r="H584" s="1020" t="s">
        <v>1336</v>
      </c>
      <c r="I584" s="1020"/>
      <c r="J584" s="1020"/>
      <c r="K584" s="1020"/>
      <c r="L584" s="1020"/>
      <c r="M584" s="1020"/>
      <c r="N584" s="1020"/>
      <c r="O584" s="1020"/>
      <c r="P584" s="1020"/>
      <c r="Q584" s="1020"/>
      <c r="R584" s="1020"/>
      <c r="T584" s="4"/>
      <c r="U584" t="s">
        <v>1334</v>
      </c>
      <c r="AA584" s="1020" t="s">
        <v>1336</v>
      </c>
      <c r="AB584" s="1020"/>
      <c r="AC584" s="1020"/>
      <c r="AD584" s="1020"/>
      <c r="AE584" s="1020"/>
      <c r="AF584" s="1020"/>
      <c r="AG584" s="1020"/>
      <c r="AH584" s="1020"/>
      <c r="AI584" s="1020"/>
      <c r="AJ584" s="1020"/>
      <c r="AK584" s="102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1337</v>
      </c>
      <c r="C585"/>
      <c r="N585" s="1095" t="s">
        <v>765</v>
      </c>
      <c r="O585" s="1095"/>
      <c r="T585" s="4"/>
      <c r="U585" t="s">
        <v>1337</v>
      </c>
      <c r="AG585" s="1095" t="s">
        <v>765</v>
      </c>
      <c r="AH585" s="1095"/>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1328</v>
      </c>
      <c r="C587"/>
      <c r="G587" s="1180" t="str">
        <f>C561</f>
        <v>Limited Partner Equity</v>
      </c>
      <c r="H587" s="1180"/>
      <c r="I587" s="1180"/>
      <c r="J587" s="1180"/>
      <c r="K587" s="1180"/>
      <c r="L587" s="1180"/>
      <c r="M587" s="1180"/>
      <c r="N587" s="1180"/>
      <c r="O587" s="1180"/>
      <c r="P587" s="1180"/>
      <c r="Q587" s="1180"/>
      <c r="R587" s="1180"/>
      <c r="T587" s="54" t="s">
        <v>1319</v>
      </c>
      <c r="U587" t="s">
        <v>1328</v>
      </c>
      <c r="Z587" s="1180" t="str">
        <f>C562</f>
        <v>Accrued/Deferred interest</v>
      </c>
      <c r="AA587" s="1180"/>
      <c r="AB587" s="1180"/>
      <c r="AC587" s="1180"/>
      <c r="AD587" s="1180"/>
      <c r="AE587" s="1180"/>
      <c r="AF587" s="1180"/>
      <c r="AG587" s="1180"/>
      <c r="AH587" s="1180"/>
      <c r="AI587" s="1180"/>
      <c r="AJ587" s="1180"/>
      <c r="AK587" s="118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983</v>
      </c>
      <c r="C588"/>
      <c r="G588" s="1020" t="s">
        <v>1065</v>
      </c>
      <c r="H588" s="1020"/>
      <c r="I588" s="1020"/>
      <c r="J588" s="1020"/>
      <c r="K588" s="1020"/>
      <c r="L588" s="1020"/>
      <c r="M588" s="1020"/>
      <c r="N588" s="1020"/>
      <c r="O588" s="1020"/>
      <c r="P588" s="1020"/>
      <c r="Q588" s="1020"/>
      <c r="R588" s="1020"/>
      <c r="T588" s="4"/>
      <c r="U588" t="s">
        <v>983</v>
      </c>
      <c r="Z588" s="1061" t="s">
        <v>984</v>
      </c>
      <c r="AA588" s="1020"/>
      <c r="AB588" s="1020"/>
      <c r="AC588" s="1020"/>
      <c r="AD588" s="1020"/>
      <c r="AE588" s="1020"/>
      <c r="AF588" s="1020"/>
      <c r="AG588" s="1020"/>
      <c r="AH588" s="1020"/>
      <c r="AI588" s="1020"/>
      <c r="AJ588" s="1020"/>
      <c r="AK588" s="1020"/>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847</v>
      </c>
      <c r="C589"/>
      <c r="G589" s="1020"/>
      <c r="H589" s="1020"/>
      <c r="I589" s="1020"/>
      <c r="J589" s="1020"/>
      <c r="K589" s="1020"/>
      <c r="L589" s="1020"/>
      <c r="M589" s="1020"/>
      <c r="N589" s="1020"/>
      <c r="O589" s="1020"/>
      <c r="P589" s="1020"/>
      <c r="Q589" s="1020"/>
      <c r="R589" s="1020"/>
      <c r="T589" s="4"/>
      <c r="U589" t="s">
        <v>847</v>
      </c>
      <c r="Z589" s="1230" t="s">
        <v>734</v>
      </c>
      <c r="AA589" s="1018"/>
      <c r="AB589" s="1018"/>
      <c r="AC589" s="1018"/>
      <c r="AD589" s="1018"/>
      <c r="AE589" s="1018"/>
      <c r="AF589" s="1018"/>
      <c r="AG589" s="1018"/>
      <c r="AH589" s="1018"/>
      <c r="AI589" s="1018"/>
      <c r="AJ589" s="1018"/>
      <c r="AK589" s="1018"/>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1331</v>
      </c>
      <c r="C590"/>
      <c r="G590" s="1020"/>
      <c r="H590" s="1020"/>
      <c r="I590" s="1020"/>
      <c r="J590" s="1020"/>
      <c r="K590" s="1020"/>
      <c r="L590" s="1020"/>
      <c r="M590" s="1020"/>
      <c r="N590" s="1020"/>
      <c r="O590" s="1020"/>
      <c r="P590" s="1020"/>
      <c r="Q590" s="1020"/>
      <c r="R590" s="1020"/>
      <c r="T590" s="4"/>
      <c r="U590" t="s">
        <v>1331</v>
      </c>
      <c r="Z590" s="1230" t="s">
        <v>989</v>
      </c>
      <c r="AA590" s="1018"/>
      <c r="AB590" s="1018"/>
      <c r="AC590" s="1018"/>
      <c r="AD590" s="1018"/>
      <c r="AE590" s="1018"/>
      <c r="AF590" s="1018"/>
      <c r="AG590" s="1018"/>
      <c r="AH590" s="1018"/>
      <c r="AI590" s="1018"/>
      <c r="AJ590" s="1018"/>
      <c r="AK590" s="1018"/>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762</v>
      </c>
      <c r="C591"/>
      <c r="G591" s="1357"/>
      <c r="H591" s="1024"/>
      <c r="I591" s="1024"/>
      <c r="J591" s="1024"/>
      <c r="K591" s="1024"/>
      <c r="L591" s="1024"/>
      <c r="O591" s="810" t="s">
        <v>992</v>
      </c>
      <c r="P591" s="1279"/>
      <c r="Q591" s="1279"/>
      <c r="R591" s="1279"/>
      <c r="T591" s="4"/>
      <c r="U591" t="s">
        <v>762</v>
      </c>
      <c r="Z591" s="1357" t="s">
        <v>1338</v>
      </c>
      <c r="AA591" s="1024"/>
      <c r="AB591" s="1024"/>
      <c r="AC591" s="1024"/>
      <c r="AD591" s="1024"/>
      <c r="AE591" s="1024"/>
      <c r="AH591" s="810" t="s">
        <v>992</v>
      </c>
      <c r="AI591" s="1279"/>
      <c r="AJ591" s="1279"/>
      <c r="AK591" s="1279"/>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1334</v>
      </c>
      <c r="C592"/>
      <c r="H592" s="1020"/>
      <c r="I592" s="1020"/>
      <c r="J592" s="1020"/>
      <c r="K592" s="1020"/>
      <c r="L592" s="1020"/>
      <c r="M592" s="1020"/>
      <c r="N592" s="1020"/>
      <c r="O592" s="1020"/>
      <c r="P592" s="1020"/>
      <c r="Q592" s="1020"/>
      <c r="R592" s="1020"/>
      <c r="T592" s="4"/>
      <c r="U592" t="s">
        <v>1334</v>
      </c>
      <c r="AA592" s="1020" t="s">
        <v>1339</v>
      </c>
      <c r="AB592" s="1020"/>
      <c r="AC592" s="1020"/>
      <c r="AD592" s="1020"/>
      <c r="AE592" s="1020"/>
      <c r="AF592" s="1020"/>
      <c r="AG592" s="1020"/>
      <c r="AH592" s="1020"/>
      <c r="AI592" s="1020"/>
      <c r="AJ592" s="1020"/>
      <c r="AK592" s="1020"/>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1337</v>
      </c>
      <c r="C593"/>
      <c r="N593" s="1095" t="s">
        <v>708</v>
      </c>
      <c r="O593" s="1095"/>
      <c r="T593" s="4"/>
      <c r="U593" t="s">
        <v>1337</v>
      </c>
      <c r="AG593" s="1095" t="s">
        <v>765</v>
      </c>
      <c r="AH593" s="1095"/>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1321</v>
      </c>
      <c r="B595" t="s">
        <v>1328</v>
      </c>
      <c r="C595"/>
      <c r="G595" s="1180">
        <f>C563</f>
        <v>0</v>
      </c>
      <c r="H595" s="1180"/>
      <c r="I595" s="1180"/>
      <c r="J595" s="1180"/>
      <c r="K595" s="1180"/>
      <c r="L595" s="1180"/>
      <c r="M595" s="1180"/>
      <c r="N595" s="1180"/>
      <c r="O595" s="1180"/>
      <c r="P595" s="1180"/>
      <c r="Q595" s="1180"/>
      <c r="R595" s="1180"/>
      <c r="T595" s="54" t="s">
        <v>1322</v>
      </c>
      <c r="U595" t="s">
        <v>1328</v>
      </c>
      <c r="Z595" s="1180">
        <f>C564</f>
        <v>0</v>
      </c>
      <c r="AA595" s="1180"/>
      <c r="AB595" s="1180"/>
      <c r="AC595" s="1180"/>
      <c r="AD595" s="1180"/>
      <c r="AE595" s="1180"/>
      <c r="AF595" s="1180"/>
      <c r="AG595" s="1180"/>
      <c r="AH595" s="1180"/>
      <c r="AI595" s="1180"/>
      <c r="AJ595" s="1180"/>
      <c r="AK595" s="1180"/>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983</v>
      </c>
      <c r="C596"/>
      <c r="G596" s="1020"/>
      <c r="H596" s="1020"/>
      <c r="I596" s="1020"/>
      <c r="J596" s="1020"/>
      <c r="K596" s="1020"/>
      <c r="L596" s="1020"/>
      <c r="M596" s="1020"/>
      <c r="N596" s="1020"/>
      <c r="O596" s="1020"/>
      <c r="P596" s="1020"/>
      <c r="Q596" s="1020"/>
      <c r="R596" s="1020"/>
      <c r="T596" s="4"/>
      <c r="U596" t="s">
        <v>983</v>
      </c>
      <c r="Z596" s="1020"/>
      <c r="AA596" s="1020"/>
      <c r="AB596" s="1020"/>
      <c r="AC596" s="1020"/>
      <c r="AD596" s="1020"/>
      <c r="AE596" s="1020"/>
      <c r="AF596" s="1020"/>
      <c r="AG596" s="1020"/>
      <c r="AH596" s="1020"/>
      <c r="AI596" s="1020"/>
      <c r="AJ596" s="1020"/>
      <c r="AK596" s="1020"/>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847</v>
      </c>
      <c r="C597"/>
      <c r="D597"/>
      <c r="E597"/>
      <c r="F597"/>
      <c r="G597" s="1020"/>
      <c r="H597" s="1020"/>
      <c r="I597" s="1020"/>
      <c r="J597" s="1020"/>
      <c r="K597" s="1020"/>
      <c r="L597" s="1020"/>
      <c r="M597" s="1020"/>
      <c r="N597" s="1020"/>
      <c r="O597" s="1020"/>
      <c r="P597" s="1020"/>
      <c r="Q597" s="1020"/>
      <c r="R597" s="1020"/>
      <c r="S597"/>
      <c r="T597" s="4"/>
      <c r="U597" t="s">
        <v>847</v>
      </c>
      <c r="V597"/>
      <c r="W597"/>
      <c r="X597"/>
      <c r="Y597"/>
      <c r="Z597" s="1018"/>
      <c r="AA597" s="1018"/>
      <c r="AB597" s="1018"/>
      <c r="AC597" s="1018"/>
      <c r="AD597" s="1018"/>
      <c r="AE597" s="1018"/>
      <c r="AF597" s="1018"/>
      <c r="AG597" s="1018"/>
      <c r="AH597" s="1018"/>
      <c r="AI597" s="1018"/>
      <c r="AJ597" s="1018"/>
      <c r="AK597" s="1018"/>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1340</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1331</v>
      </c>
      <c r="C598"/>
      <c r="D598"/>
      <c r="E598"/>
      <c r="F598"/>
      <c r="G598" s="1020"/>
      <c r="H598" s="1020"/>
      <c r="I598" s="1020"/>
      <c r="J598" s="1020"/>
      <c r="K598" s="1020"/>
      <c r="L598" s="1020"/>
      <c r="M598" s="1020"/>
      <c r="N598" s="1020"/>
      <c r="O598" s="1020"/>
      <c r="P598" s="1020"/>
      <c r="Q598" s="1020"/>
      <c r="R598" s="1020"/>
      <c r="S598"/>
      <c r="T598" s="4"/>
      <c r="U598" t="s">
        <v>1331</v>
      </c>
      <c r="V598"/>
      <c r="W598"/>
      <c r="X598"/>
      <c r="Y598"/>
      <c r="Z598" s="1230"/>
      <c r="AA598" s="1018"/>
      <c r="AB598" s="1018"/>
      <c r="AC598" s="1018"/>
      <c r="AD598" s="1018"/>
      <c r="AE598" s="1018"/>
      <c r="AF598" s="1018"/>
      <c r="AG598" s="1018"/>
      <c r="AH598" s="1018"/>
      <c r="AI598" s="1018"/>
      <c r="AJ598" s="1018"/>
      <c r="AK598" s="1018"/>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1341</v>
      </c>
      <c r="BO598" s="732"/>
      <c r="BP598" s="732"/>
      <c r="BQ598" s="153"/>
      <c r="BR598" s="733"/>
      <c r="BS598" s="732" t="s">
        <v>1342</v>
      </c>
      <c r="BT598" s="732"/>
      <c r="BU598" s="732"/>
      <c r="BV598" s="153"/>
      <c r="BW598" s="733"/>
      <c r="BX598" s="733" t="s">
        <v>1343</v>
      </c>
      <c r="BY598" s="732"/>
      <c r="BZ598" s="732"/>
      <c r="CA598" s="732"/>
      <c r="CB598" s="732"/>
      <c r="CC598" s="732" t="s">
        <v>1344</v>
      </c>
      <c r="CD598" s="732"/>
      <c r="CE598" s="732"/>
      <c r="CF598" s="732"/>
      <c r="CG598" s="732"/>
      <c r="CH598" s="732" t="s">
        <v>1345</v>
      </c>
      <c r="CI598" s="732"/>
      <c r="CJ598" s="732"/>
      <c r="CK598" s="732"/>
      <c r="CL598" s="732"/>
      <c r="CM598" s="732" t="s">
        <v>1346</v>
      </c>
      <c r="CN598" s="732"/>
      <c r="CO598" s="732"/>
      <c r="CP598" s="153"/>
      <c r="CQ598" s="733"/>
      <c r="CR598" s="37"/>
      <c r="CS598" s="37" t="s">
        <v>1347</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762</v>
      </c>
      <c r="C599"/>
      <c r="D599"/>
      <c r="E599"/>
      <c r="F599"/>
      <c r="G599" s="1357"/>
      <c r="H599" s="1024"/>
      <c r="I599" s="1024"/>
      <c r="J599" s="1024"/>
      <c r="K599" s="1024"/>
      <c r="L599" s="1024"/>
      <c r="M599"/>
      <c r="N599"/>
      <c r="O599" s="810" t="s">
        <v>992</v>
      </c>
      <c r="P599" s="1279"/>
      <c r="Q599" s="1279"/>
      <c r="R599" s="1279"/>
      <c r="S599"/>
      <c r="T599" s="4"/>
      <c r="U599" t="s">
        <v>762</v>
      </c>
      <c r="V599"/>
      <c r="W599"/>
      <c r="X599"/>
      <c r="Y599"/>
      <c r="Z599" s="1357"/>
      <c r="AA599" s="1024"/>
      <c r="AB599" s="1024"/>
      <c r="AC599" s="1024"/>
      <c r="AD599" s="1024"/>
      <c r="AE599" s="1024"/>
      <c r="AF599"/>
      <c r="AG599"/>
      <c r="AH599" s="810" t="s">
        <v>992</v>
      </c>
      <c r="AI599" s="1279"/>
      <c r="AJ599" s="1279"/>
      <c r="AK599" s="1279"/>
      <c r="AL599"/>
      <c r="AM599" s="37"/>
      <c r="AN599" s="37"/>
      <c r="AO599" s="37"/>
      <c r="AP599" s="37"/>
      <c r="AQ599" s="37"/>
      <c r="AR599" s="37"/>
      <c r="AS599" s="37"/>
      <c r="AT599" s="37"/>
      <c r="AU599" s="37"/>
      <c r="AV599" s="37"/>
      <c r="AW599" s="37"/>
      <c r="AX599" s="37"/>
      <c r="AY599" s="37"/>
      <c r="AZ599" s="37" t="s">
        <v>1348</v>
      </c>
      <c r="BA599" s="37"/>
      <c r="BB599" s="37"/>
      <c r="BC599" s="37"/>
      <c r="BD599" s="37"/>
      <c r="BE599" s="178" t="s">
        <v>1349</v>
      </c>
      <c r="BF599" s="179"/>
      <c r="BG599" s="1034"/>
      <c r="BH599" s="1037"/>
      <c r="BI599" s="178" t="s">
        <v>1350</v>
      </c>
      <c r="BJ599" s="179"/>
      <c r="BK599" s="1034"/>
      <c r="BL599" s="1037"/>
      <c r="BM599" s="37"/>
      <c r="BN599" s="1034">
        <f>IF(B703="SRO/Studio",G703,0)</f>
        <v>57</v>
      </c>
      <c r="BO599" s="1035"/>
      <c r="BP599" s="1035"/>
      <c r="BQ599" s="1035"/>
      <c r="BR599" s="1036"/>
      <c r="BS599" s="1034">
        <f>IF(B703="1 Bedroom",G703,0)</f>
        <v>0</v>
      </c>
      <c r="BT599" s="1035"/>
      <c r="BU599" s="1035"/>
      <c r="BV599" s="1035"/>
      <c r="BW599" s="1037"/>
      <c r="BX599" s="1034">
        <f>IF(B703="2 Bedrooms",G703,0)</f>
        <v>0</v>
      </c>
      <c r="BY599" s="1035"/>
      <c r="BZ599" s="1035"/>
      <c r="CA599" s="1035"/>
      <c r="CB599" s="1037"/>
      <c r="CC599" s="1034">
        <f>IF(B703="3 Bedrooms",G703,0)</f>
        <v>0</v>
      </c>
      <c r="CD599" s="1035"/>
      <c r="CE599" s="1035"/>
      <c r="CF599" s="1035"/>
      <c r="CG599" s="1037"/>
      <c r="CH599" s="1034">
        <f>IF(B703="4 Bedrooms",G703,0)</f>
        <v>0</v>
      </c>
      <c r="CI599" s="1035"/>
      <c r="CJ599" s="1035"/>
      <c r="CK599" s="1035"/>
      <c r="CL599" s="1037"/>
      <c r="CM599" s="1038">
        <f>IF(B703="5 Bedrooms",G703,0)</f>
        <v>0</v>
      </c>
      <c r="CN599" s="1039"/>
      <c r="CO599" s="1039"/>
      <c r="CP599" s="1039"/>
      <c r="CQ599" s="1036"/>
      <c r="CR599" s="37"/>
      <c r="CS599" s="732" t="s">
        <v>1341</v>
      </c>
      <c r="CT599" s="732"/>
      <c r="CU599" s="732"/>
      <c r="CV599" s="732"/>
      <c r="CW599" s="732"/>
      <c r="CX599" s="732" t="s">
        <v>1342</v>
      </c>
      <c r="CY599" s="732"/>
      <c r="CZ599" s="153"/>
      <c r="DA599" s="154"/>
      <c r="DB599" s="733"/>
      <c r="DC599" s="732" t="s">
        <v>1343</v>
      </c>
      <c r="DD599" s="732"/>
      <c r="DE599" s="732"/>
      <c r="DF599" s="732"/>
      <c r="DG599" s="732"/>
      <c r="DH599" s="732" t="s">
        <v>1344</v>
      </c>
      <c r="DI599" s="732"/>
      <c r="DJ599" s="732"/>
      <c r="DK599" s="732"/>
      <c r="DL599" s="732"/>
      <c r="DM599" s="732" t="s">
        <v>1351</v>
      </c>
      <c r="DN599" s="732"/>
      <c r="DO599" s="732"/>
      <c r="DP599" s="732"/>
      <c r="DQ599" s="732"/>
      <c r="DR599" s="732" t="s">
        <v>1352</v>
      </c>
      <c r="DS599" s="732"/>
      <c r="DT599" s="732"/>
      <c r="DU599" s="732"/>
      <c r="DV599" s="732"/>
    </row>
    <row r="600" spans="1:126" s="5" customFormat="1" ht="12.95" customHeight="1">
      <c r="A600" s="4"/>
      <c r="B600" t="s">
        <v>1334</v>
      </c>
      <c r="C600"/>
      <c r="D600"/>
      <c r="E600"/>
      <c r="F600"/>
      <c r="G600"/>
      <c r="H600" s="1020"/>
      <c r="I600" s="1020"/>
      <c r="J600" s="1020"/>
      <c r="K600" s="1020"/>
      <c r="L600" s="1020"/>
      <c r="M600" s="1020"/>
      <c r="N600" s="1020"/>
      <c r="O600" s="1020"/>
      <c r="P600" s="1020"/>
      <c r="Q600" s="1020"/>
      <c r="R600" s="1020"/>
      <c r="S600"/>
      <c r="T600" s="4"/>
      <c r="U600" t="s">
        <v>1334</v>
      </c>
      <c r="V600"/>
      <c r="W600"/>
      <c r="X600"/>
      <c r="Y600"/>
      <c r="Z600"/>
      <c r="AA600" s="1020"/>
      <c r="AB600" s="1020"/>
      <c r="AC600" s="1020"/>
      <c r="AD600" s="1020"/>
      <c r="AE600" s="1020"/>
      <c r="AF600" s="1020"/>
      <c r="AG600" s="1020"/>
      <c r="AH600" s="1020"/>
      <c r="AI600" s="1020"/>
      <c r="AJ600" s="1020"/>
      <c r="AK600" s="1020"/>
      <c r="AL600"/>
      <c r="AM600" s="37"/>
      <c r="AN600" s="37"/>
      <c r="AO600" s="37"/>
      <c r="AP600" s="37"/>
      <c r="AQ600" s="37"/>
      <c r="AR600" s="37"/>
      <c r="AS600" s="37"/>
      <c r="AT600" s="37"/>
      <c r="AU600" s="37"/>
      <c r="AV600" s="37"/>
      <c r="AW600" s="37"/>
      <c r="AX600" s="37"/>
      <c r="AY600" s="37"/>
      <c r="AZ600" s="37" t="s">
        <v>1342</v>
      </c>
      <c r="BA600" s="37"/>
      <c r="BB600" s="37"/>
      <c r="BC600" s="37"/>
      <c r="BD600" s="37"/>
      <c r="BE600" s="1034">
        <f>IF(AND(AH703&lt;=0.5,AH703&gt;=0.36),1,0)</f>
        <v>0</v>
      </c>
      <c r="BF600" s="1037"/>
      <c r="BG600" s="1034">
        <f t="shared" ref="BG600:BG623" si="2">IF(BE600=1,G703,0)</f>
        <v>0</v>
      </c>
      <c r="BH600" s="1037"/>
      <c r="BI600" s="1034">
        <f>IF(AND(AH703&lt;=0.35,AH703&gt;0),1,0)</f>
        <v>1</v>
      </c>
      <c r="BJ600" s="1037"/>
      <c r="BK600" s="1034">
        <f t="shared" ref="BK600:BK623" si="3">IF(BI600=1,G703,0)</f>
        <v>57</v>
      </c>
      <c r="BL600" s="1037"/>
      <c r="BM600" s="37"/>
      <c r="BN600" s="1034">
        <f t="shared" ref="BN600:BN633" si="4">IF(B704="SRO/Studio",G704,0)</f>
        <v>0</v>
      </c>
      <c r="BO600" s="1035"/>
      <c r="BP600" s="1035"/>
      <c r="BQ600" s="1035"/>
      <c r="BR600" s="1036"/>
      <c r="BS600" s="1034">
        <f t="shared" ref="BS600:BS633" si="5">IF(B704="1 Bedroom",G704,0)</f>
        <v>0</v>
      </c>
      <c r="BT600" s="1035"/>
      <c r="BU600" s="1035"/>
      <c r="BV600" s="1035"/>
      <c r="BW600" s="1037"/>
      <c r="BX600" s="1034">
        <f t="shared" ref="BX600:BX633" si="6">IF(B704="2 Bedrooms",G704,0)</f>
        <v>0</v>
      </c>
      <c r="BY600" s="1035"/>
      <c r="BZ600" s="1035"/>
      <c r="CA600" s="1035"/>
      <c r="CB600" s="1037"/>
      <c r="CC600" s="1034">
        <f t="shared" ref="CC600:CC633" si="7">IF(B704="3 Bedrooms",G704,0)</f>
        <v>0</v>
      </c>
      <c r="CD600" s="1035"/>
      <c r="CE600" s="1035"/>
      <c r="CF600" s="1035"/>
      <c r="CG600" s="1037"/>
      <c r="CH600" s="1034">
        <f t="shared" ref="CH600:CH633" si="8">IF(B704="4 Bedrooms",G704,0)</f>
        <v>0</v>
      </c>
      <c r="CI600" s="1035"/>
      <c r="CJ600" s="1035"/>
      <c r="CK600" s="1035"/>
      <c r="CL600" s="1037"/>
      <c r="CM600" s="1038">
        <f t="shared" ref="CM600:CM633" si="9">IF(B704="5 Bedrooms",G704,0)</f>
        <v>0</v>
      </c>
      <c r="CN600" s="1039"/>
      <c r="CO600" s="1039"/>
      <c r="CP600" s="1039"/>
      <c r="CQ600" s="1036"/>
      <c r="CR600" s="37"/>
      <c r="CS600" s="1031">
        <f>IF(AND(B703="SRO/Studio",AH703&lt;=0.3),G703,0)</f>
        <v>57</v>
      </c>
      <c r="CT600" s="1032"/>
      <c r="CU600" s="1032"/>
      <c r="CV600" s="1032"/>
      <c r="CW600" s="1033"/>
      <c r="CX600" s="1031">
        <f>IF(AND(B703="1 Bedroom",AH703&lt;=0.3),G703,0)</f>
        <v>0</v>
      </c>
      <c r="CY600" s="1032"/>
      <c r="CZ600" s="1032"/>
      <c r="DA600" s="1032"/>
      <c r="DB600" s="1033"/>
      <c r="DC600" s="1031">
        <f>IF(AND(B703="2 Bedrooms",AH703&lt;=0.3),G703,0)</f>
        <v>0</v>
      </c>
      <c r="DD600" s="1032"/>
      <c r="DE600" s="1032"/>
      <c r="DF600" s="1032"/>
      <c r="DG600" s="1033"/>
      <c r="DH600" s="1031">
        <f>IF(AND(B703="3 Bedrooms",AH703&lt;=0.3),G703,0)</f>
        <v>0</v>
      </c>
      <c r="DI600" s="1032"/>
      <c r="DJ600" s="1032"/>
      <c r="DK600" s="1032"/>
      <c r="DL600" s="1033"/>
      <c r="DM600" s="1031">
        <f>IF(AND(B703="4 Bedrooms",AH703&lt;=0.3),G703,0)</f>
        <v>0</v>
      </c>
      <c r="DN600" s="1032"/>
      <c r="DO600" s="1032"/>
      <c r="DP600" s="1032"/>
      <c r="DQ600" s="1033"/>
      <c r="DR600" s="1031">
        <f>IF(AND(B703="5 Bedrooms",AH703&lt;=0.3),G703,0)</f>
        <v>0</v>
      </c>
      <c r="DS600" s="1032"/>
      <c r="DT600" s="1032"/>
      <c r="DU600" s="1032"/>
      <c r="DV600" s="1033"/>
    </row>
    <row r="601" spans="1:126" s="5" customFormat="1" ht="12.95" customHeight="1">
      <c r="A601" s="4"/>
      <c r="B601" t="s">
        <v>1337</v>
      </c>
      <c r="C601"/>
      <c r="D601"/>
      <c r="E601"/>
      <c r="F601"/>
      <c r="G601"/>
      <c r="H601"/>
      <c r="I601"/>
      <c r="J601"/>
      <c r="K601"/>
      <c r="L601"/>
      <c r="M601"/>
      <c r="N601" s="1095" t="s">
        <v>708</v>
      </c>
      <c r="O601" s="1095"/>
      <c r="P601"/>
      <c r="Q601"/>
      <c r="R601"/>
      <c r="S601"/>
      <c r="T601" s="4"/>
      <c r="U601" t="s">
        <v>1337</v>
      </c>
      <c r="V601"/>
      <c r="W601"/>
      <c r="X601"/>
      <c r="Y601"/>
      <c r="Z601"/>
      <c r="AA601"/>
      <c r="AB601"/>
      <c r="AC601"/>
      <c r="AD601"/>
      <c r="AE601"/>
      <c r="AF601"/>
      <c r="AG601" s="1095" t="s">
        <v>708</v>
      </c>
      <c r="AH601" s="1095"/>
      <c r="AI601"/>
      <c r="AJ601"/>
      <c r="AK601"/>
      <c r="AL601"/>
      <c r="AM601" s="37"/>
      <c r="AN601" s="37"/>
      <c r="AO601" s="37"/>
      <c r="AP601" s="37"/>
      <c r="AQ601" s="37"/>
      <c r="AR601" s="37"/>
      <c r="AS601" s="37"/>
      <c r="AT601" s="37"/>
      <c r="AU601" s="37"/>
      <c r="AV601" s="37"/>
      <c r="AW601" s="37"/>
      <c r="AX601" s="37"/>
      <c r="AY601" s="37"/>
      <c r="AZ601" s="37" t="s">
        <v>1343</v>
      </c>
      <c r="BA601" s="37"/>
      <c r="BB601" s="37"/>
      <c r="BC601" s="37"/>
      <c r="BD601" s="37"/>
      <c r="BE601" s="1034">
        <f t="shared" ref="BE601:BE623" si="10">IF(AND(AH704&lt;=0.5,AH704&gt;=0.36),1,0)</f>
        <v>0</v>
      </c>
      <c r="BF601" s="1037"/>
      <c r="BG601" s="1034">
        <f t="shared" si="2"/>
        <v>0</v>
      </c>
      <c r="BH601" s="1037"/>
      <c r="BI601" s="1034">
        <f t="shared" ref="BI601:BI623" si="11">IF(AND(AH704&lt;=0.35,AH704&gt;0),1,0)</f>
        <v>0</v>
      </c>
      <c r="BJ601" s="1037"/>
      <c r="BK601" s="1034">
        <f t="shared" si="3"/>
        <v>0</v>
      </c>
      <c r="BL601" s="1037"/>
      <c r="BM601" s="37"/>
      <c r="BN601" s="1034">
        <f t="shared" si="4"/>
        <v>0</v>
      </c>
      <c r="BO601" s="1035"/>
      <c r="BP601" s="1035"/>
      <c r="BQ601" s="1035"/>
      <c r="BR601" s="1036"/>
      <c r="BS601" s="1034">
        <f t="shared" si="5"/>
        <v>0</v>
      </c>
      <c r="BT601" s="1035"/>
      <c r="BU601" s="1035"/>
      <c r="BV601" s="1035"/>
      <c r="BW601" s="1037"/>
      <c r="BX601" s="1034">
        <f t="shared" si="6"/>
        <v>0</v>
      </c>
      <c r="BY601" s="1035"/>
      <c r="BZ601" s="1035"/>
      <c r="CA601" s="1035"/>
      <c r="CB601" s="1037"/>
      <c r="CC601" s="1034">
        <f t="shared" si="7"/>
        <v>0</v>
      </c>
      <c r="CD601" s="1035"/>
      <c r="CE601" s="1035"/>
      <c r="CF601" s="1035"/>
      <c r="CG601" s="1037"/>
      <c r="CH601" s="1034">
        <f t="shared" si="8"/>
        <v>0</v>
      </c>
      <c r="CI601" s="1035"/>
      <c r="CJ601" s="1035"/>
      <c r="CK601" s="1035"/>
      <c r="CL601" s="1037"/>
      <c r="CM601" s="1038">
        <f t="shared" si="9"/>
        <v>0</v>
      </c>
      <c r="CN601" s="1039"/>
      <c r="CO601" s="1039"/>
      <c r="CP601" s="1039"/>
      <c r="CQ601" s="1036"/>
      <c r="CR601" s="37"/>
      <c r="CS601" s="1031">
        <f t="shared" ref="CS601:CS623" si="12">IF(AND(B704="SRO/Studio",AH704&lt;=0.3),G704,0)</f>
        <v>0</v>
      </c>
      <c r="CT601" s="1032"/>
      <c r="CU601" s="1032"/>
      <c r="CV601" s="1032"/>
      <c r="CW601" s="1033"/>
      <c r="CX601" s="1031">
        <f t="shared" ref="CX601:CX623" si="13">IF(AND(B704="1 Bedroom",AH704&lt;=0.3),G704,0)</f>
        <v>0</v>
      </c>
      <c r="CY601" s="1032"/>
      <c r="CZ601" s="1032"/>
      <c r="DA601" s="1032"/>
      <c r="DB601" s="1033"/>
      <c r="DC601" s="1031">
        <f t="shared" ref="DC601:DC623" si="14">IF(AND(B704="2 Bedrooms",AH704&lt;=0.3),G704,0)</f>
        <v>0</v>
      </c>
      <c r="DD601" s="1032"/>
      <c r="DE601" s="1032"/>
      <c r="DF601" s="1032"/>
      <c r="DG601" s="1033"/>
      <c r="DH601" s="1031">
        <f t="shared" ref="DH601:DH623" si="15">IF(AND(B704="3 Bedrooms",AH704&lt;=0.3),G704,0)</f>
        <v>0</v>
      </c>
      <c r="DI601" s="1032"/>
      <c r="DJ601" s="1032"/>
      <c r="DK601" s="1032"/>
      <c r="DL601" s="1033"/>
      <c r="DM601" s="1031">
        <f t="shared" ref="DM601:DM623" si="16">IF(AND(B704="4 Bedrooms",AH704&lt;=0.3),G704,0)</f>
        <v>0</v>
      </c>
      <c r="DN601" s="1032"/>
      <c r="DO601" s="1032"/>
      <c r="DP601" s="1032"/>
      <c r="DQ601" s="1033"/>
      <c r="DR601" s="1031">
        <f t="shared" ref="DR601:DR623" si="17">IF(AND(B704="5 Bedrooms",AH704&lt;=0.3),G704,0)</f>
        <v>0</v>
      </c>
      <c r="DS601" s="1032"/>
      <c r="DT601" s="1032"/>
      <c r="DU601" s="1032"/>
      <c r="DV601" s="1033"/>
    </row>
    <row r="602" spans="1:126" ht="12.95" customHeight="1">
      <c r="C602"/>
      <c r="AZ602" s="37" t="s">
        <v>1344</v>
      </c>
      <c r="BA602" s="37"/>
      <c r="BB602" s="37"/>
      <c r="BC602" s="37"/>
      <c r="BD602" s="37"/>
      <c r="BE602" s="1034">
        <f t="shared" si="10"/>
        <v>0</v>
      </c>
      <c r="BF602" s="1037"/>
      <c r="BG602" s="1034">
        <f t="shared" si="2"/>
        <v>0</v>
      </c>
      <c r="BH602" s="1037"/>
      <c r="BI602" s="1034">
        <f t="shared" si="11"/>
        <v>0</v>
      </c>
      <c r="BJ602" s="1037"/>
      <c r="BK602" s="1034">
        <f t="shared" si="3"/>
        <v>0</v>
      </c>
      <c r="BL602" s="1037"/>
      <c r="BN602" s="1034">
        <f t="shared" si="4"/>
        <v>0</v>
      </c>
      <c r="BO602" s="1035"/>
      <c r="BP602" s="1035"/>
      <c r="BQ602" s="1035"/>
      <c r="BR602" s="1036"/>
      <c r="BS602" s="1034">
        <f t="shared" si="5"/>
        <v>0</v>
      </c>
      <c r="BT602" s="1035"/>
      <c r="BU602" s="1035"/>
      <c r="BV602" s="1035"/>
      <c r="BW602" s="1037"/>
      <c r="BX602" s="1034">
        <f t="shared" si="6"/>
        <v>0</v>
      </c>
      <c r="BY602" s="1035"/>
      <c r="BZ602" s="1035"/>
      <c r="CA602" s="1035"/>
      <c r="CB602" s="1037"/>
      <c r="CC602" s="1034">
        <f t="shared" si="7"/>
        <v>0</v>
      </c>
      <c r="CD602" s="1035"/>
      <c r="CE602" s="1035"/>
      <c r="CF602" s="1035"/>
      <c r="CG602" s="1037"/>
      <c r="CH602" s="1034">
        <f t="shared" si="8"/>
        <v>0</v>
      </c>
      <c r="CI602" s="1035"/>
      <c r="CJ602" s="1035"/>
      <c r="CK602" s="1035"/>
      <c r="CL602" s="1037"/>
      <c r="CM602" s="1038">
        <f t="shared" si="9"/>
        <v>0</v>
      </c>
      <c r="CN602" s="1039"/>
      <c r="CO602" s="1039"/>
      <c r="CP602" s="1039"/>
      <c r="CQ602" s="1036"/>
      <c r="CS602" s="1031">
        <f t="shared" si="12"/>
        <v>0</v>
      </c>
      <c r="CT602" s="1032"/>
      <c r="CU602" s="1032"/>
      <c r="CV602" s="1032"/>
      <c r="CW602" s="1033"/>
      <c r="CX602" s="1031">
        <f t="shared" si="13"/>
        <v>0</v>
      </c>
      <c r="CY602" s="1032"/>
      <c r="CZ602" s="1032"/>
      <c r="DA602" s="1032"/>
      <c r="DB602" s="1033"/>
      <c r="DC602" s="1031">
        <f t="shared" si="14"/>
        <v>0</v>
      </c>
      <c r="DD602" s="1032"/>
      <c r="DE602" s="1032"/>
      <c r="DF602" s="1032"/>
      <c r="DG602" s="1033"/>
      <c r="DH602" s="1031">
        <f t="shared" si="15"/>
        <v>0</v>
      </c>
      <c r="DI602" s="1032"/>
      <c r="DJ602" s="1032"/>
      <c r="DK602" s="1032"/>
      <c r="DL602" s="1033"/>
      <c r="DM602" s="1031">
        <f t="shared" si="16"/>
        <v>0</v>
      </c>
      <c r="DN602" s="1032"/>
      <c r="DO602" s="1032"/>
      <c r="DP602" s="1032"/>
      <c r="DQ602" s="1033"/>
      <c r="DR602" s="1031">
        <f t="shared" si="17"/>
        <v>0</v>
      </c>
      <c r="DS602" s="1032"/>
      <c r="DT602" s="1032"/>
      <c r="DU602" s="1032"/>
      <c r="DV602" s="1033"/>
    </row>
    <row r="603" spans="1:126" ht="12.95" customHeight="1">
      <c r="A603" s="54" t="s">
        <v>1323</v>
      </c>
      <c r="B603" t="s">
        <v>1328</v>
      </c>
      <c r="C603"/>
      <c r="G603" s="1180">
        <f>C565</f>
        <v>0</v>
      </c>
      <c r="H603" s="1180"/>
      <c r="I603" s="1180"/>
      <c r="J603" s="1180"/>
      <c r="K603" s="1180"/>
      <c r="L603" s="1180"/>
      <c r="M603" s="1180"/>
      <c r="N603" s="1180"/>
      <c r="O603" s="1180"/>
      <c r="P603" s="1180"/>
      <c r="Q603" s="1180"/>
      <c r="R603" s="1180"/>
      <c r="T603" s="54" t="s">
        <v>1324</v>
      </c>
      <c r="U603" t="s">
        <v>1328</v>
      </c>
      <c r="Z603" s="1180">
        <f>C566</f>
        <v>0</v>
      </c>
      <c r="AA603" s="1180"/>
      <c r="AB603" s="1180"/>
      <c r="AC603" s="1180"/>
      <c r="AD603" s="1180"/>
      <c r="AE603" s="1180"/>
      <c r="AF603" s="1180"/>
      <c r="AG603" s="1180"/>
      <c r="AH603" s="1180"/>
      <c r="AI603" s="1180"/>
      <c r="AJ603" s="1180"/>
      <c r="AK603" s="1180"/>
      <c r="AZ603" s="37" t="s">
        <v>1345</v>
      </c>
      <c r="BA603" s="37"/>
      <c r="BB603" s="37"/>
      <c r="BC603" s="37"/>
      <c r="BD603" s="37"/>
      <c r="BE603" s="1034">
        <f t="shared" si="10"/>
        <v>0</v>
      </c>
      <c r="BF603" s="1037"/>
      <c r="BG603" s="1034">
        <f t="shared" si="2"/>
        <v>0</v>
      </c>
      <c r="BH603" s="1037"/>
      <c r="BI603" s="1034">
        <f t="shared" si="11"/>
        <v>0</v>
      </c>
      <c r="BJ603" s="1037"/>
      <c r="BK603" s="1034">
        <f t="shared" si="3"/>
        <v>0</v>
      </c>
      <c r="BL603" s="1037"/>
      <c r="BN603" s="1034">
        <f t="shared" si="4"/>
        <v>0</v>
      </c>
      <c r="BO603" s="1035"/>
      <c r="BP603" s="1035"/>
      <c r="BQ603" s="1035"/>
      <c r="BR603" s="1036"/>
      <c r="BS603" s="1034">
        <f t="shared" si="5"/>
        <v>0</v>
      </c>
      <c r="BT603" s="1035"/>
      <c r="BU603" s="1035"/>
      <c r="BV603" s="1035"/>
      <c r="BW603" s="1037"/>
      <c r="BX603" s="1034">
        <f t="shared" si="6"/>
        <v>0</v>
      </c>
      <c r="BY603" s="1035"/>
      <c r="BZ603" s="1035"/>
      <c r="CA603" s="1035"/>
      <c r="CB603" s="1037"/>
      <c r="CC603" s="1034">
        <f t="shared" si="7"/>
        <v>0</v>
      </c>
      <c r="CD603" s="1035"/>
      <c r="CE603" s="1035"/>
      <c r="CF603" s="1035"/>
      <c r="CG603" s="1037"/>
      <c r="CH603" s="1034">
        <f t="shared" si="8"/>
        <v>0</v>
      </c>
      <c r="CI603" s="1035"/>
      <c r="CJ603" s="1035"/>
      <c r="CK603" s="1035"/>
      <c r="CL603" s="1037"/>
      <c r="CM603" s="1038">
        <f t="shared" si="9"/>
        <v>0</v>
      </c>
      <c r="CN603" s="1039"/>
      <c r="CO603" s="1039"/>
      <c r="CP603" s="1039"/>
      <c r="CQ603" s="1036"/>
      <c r="CS603" s="1031">
        <f t="shared" si="12"/>
        <v>0</v>
      </c>
      <c r="CT603" s="1032"/>
      <c r="CU603" s="1032"/>
      <c r="CV603" s="1032"/>
      <c r="CW603" s="1033"/>
      <c r="CX603" s="1031">
        <f t="shared" si="13"/>
        <v>0</v>
      </c>
      <c r="CY603" s="1032"/>
      <c r="CZ603" s="1032"/>
      <c r="DA603" s="1032"/>
      <c r="DB603" s="1033"/>
      <c r="DC603" s="1031">
        <f t="shared" si="14"/>
        <v>0</v>
      </c>
      <c r="DD603" s="1032"/>
      <c r="DE603" s="1032"/>
      <c r="DF603" s="1032"/>
      <c r="DG603" s="1033"/>
      <c r="DH603" s="1031">
        <f t="shared" si="15"/>
        <v>0</v>
      </c>
      <c r="DI603" s="1032"/>
      <c r="DJ603" s="1032"/>
      <c r="DK603" s="1032"/>
      <c r="DL603" s="1033"/>
      <c r="DM603" s="1031">
        <f t="shared" si="16"/>
        <v>0</v>
      </c>
      <c r="DN603" s="1032"/>
      <c r="DO603" s="1032"/>
      <c r="DP603" s="1032"/>
      <c r="DQ603" s="1033"/>
      <c r="DR603" s="1031">
        <f t="shared" si="17"/>
        <v>0</v>
      </c>
      <c r="DS603" s="1032"/>
      <c r="DT603" s="1032"/>
      <c r="DU603" s="1032"/>
      <c r="DV603" s="1033"/>
    </row>
    <row r="604" spans="1:126" ht="12.95" customHeight="1">
      <c r="A604" s="4"/>
      <c r="B604" t="s">
        <v>983</v>
      </c>
      <c r="C604"/>
      <c r="G604" s="1020"/>
      <c r="H604" s="1020"/>
      <c r="I604" s="1020"/>
      <c r="J604" s="1020"/>
      <c r="K604" s="1020"/>
      <c r="L604" s="1020"/>
      <c r="M604" s="1020"/>
      <c r="N604" s="1020"/>
      <c r="O604" s="1020"/>
      <c r="P604" s="1020"/>
      <c r="Q604" s="1020"/>
      <c r="R604" s="1020"/>
      <c r="T604" s="4"/>
      <c r="U604" t="s">
        <v>983</v>
      </c>
      <c r="Z604" s="1020"/>
      <c r="AA604" s="1020"/>
      <c r="AB604" s="1020"/>
      <c r="AC604" s="1020"/>
      <c r="AD604" s="1020"/>
      <c r="AE604" s="1020"/>
      <c r="AF604" s="1020"/>
      <c r="AG604" s="1020"/>
      <c r="AH604" s="1020"/>
      <c r="AI604" s="1020"/>
      <c r="AJ604" s="1020"/>
      <c r="AK604" s="1020"/>
      <c r="AZ604" s="37" t="s">
        <v>1352</v>
      </c>
      <c r="BA604" s="37"/>
      <c r="BB604" s="37"/>
      <c r="BC604" s="37"/>
      <c r="BD604" s="37"/>
      <c r="BE604" s="1034">
        <f t="shared" si="10"/>
        <v>0</v>
      </c>
      <c r="BF604" s="1037"/>
      <c r="BG604" s="1034">
        <f t="shared" si="2"/>
        <v>0</v>
      </c>
      <c r="BH604" s="1037"/>
      <c r="BI604" s="1034">
        <f t="shared" si="11"/>
        <v>0</v>
      </c>
      <c r="BJ604" s="1037"/>
      <c r="BK604" s="1034">
        <f t="shared" si="3"/>
        <v>0</v>
      </c>
      <c r="BL604" s="1037"/>
      <c r="BN604" s="1034">
        <f t="shared" si="4"/>
        <v>0</v>
      </c>
      <c r="BO604" s="1035"/>
      <c r="BP604" s="1035"/>
      <c r="BQ604" s="1035"/>
      <c r="BR604" s="1036"/>
      <c r="BS604" s="1034">
        <f t="shared" si="5"/>
        <v>0</v>
      </c>
      <c r="BT604" s="1035"/>
      <c r="BU604" s="1035"/>
      <c r="BV604" s="1035"/>
      <c r="BW604" s="1037"/>
      <c r="BX604" s="1034">
        <f t="shared" si="6"/>
        <v>0</v>
      </c>
      <c r="BY604" s="1035"/>
      <c r="BZ604" s="1035"/>
      <c r="CA604" s="1035"/>
      <c r="CB604" s="1037"/>
      <c r="CC604" s="1034">
        <f t="shared" si="7"/>
        <v>0</v>
      </c>
      <c r="CD604" s="1035"/>
      <c r="CE604" s="1035"/>
      <c r="CF604" s="1035"/>
      <c r="CG604" s="1037"/>
      <c r="CH604" s="1034">
        <f t="shared" si="8"/>
        <v>0</v>
      </c>
      <c r="CI604" s="1035"/>
      <c r="CJ604" s="1035"/>
      <c r="CK604" s="1035"/>
      <c r="CL604" s="1037"/>
      <c r="CM604" s="1038">
        <f t="shared" si="9"/>
        <v>0</v>
      </c>
      <c r="CN604" s="1039"/>
      <c r="CO604" s="1039"/>
      <c r="CP604" s="1039"/>
      <c r="CQ604" s="1036"/>
      <c r="CS604" s="1031">
        <f t="shared" si="12"/>
        <v>0</v>
      </c>
      <c r="CT604" s="1032"/>
      <c r="CU604" s="1032"/>
      <c r="CV604" s="1032"/>
      <c r="CW604" s="1033"/>
      <c r="CX604" s="1031">
        <f t="shared" si="13"/>
        <v>0</v>
      </c>
      <c r="CY604" s="1032"/>
      <c r="CZ604" s="1032"/>
      <c r="DA604" s="1032"/>
      <c r="DB604" s="1033"/>
      <c r="DC604" s="1031">
        <f t="shared" si="14"/>
        <v>0</v>
      </c>
      <c r="DD604" s="1032"/>
      <c r="DE604" s="1032"/>
      <c r="DF604" s="1032"/>
      <c r="DG604" s="1033"/>
      <c r="DH604" s="1031">
        <f t="shared" si="15"/>
        <v>0</v>
      </c>
      <c r="DI604" s="1032"/>
      <c r="DJ604" s="1032"/>
      <c r="DK604" s="1032"/>
      <c r="DL604" s="1033"/>
      <c r="DM604" s="1031">
        <f t="shared" si="16"/>
        <v>0</v>
      </c>
      <c r="DN604" s="1032"/>
      <c r="DO604" s="1032"/>
      <c r="DP604" s="1032"/>
      <c r="DQ604" s="1033"/>
      <c r="DR604" s="1031">
        <f t="shared" si="17"/>
        <v>0</v>
      </c>
      <c r="DS604" s="1032"/>
      <c r="DT604" s="1032"/>
      <c r="DU604" s="1032"/>
      <c r="DV604" s="1033"/>
    </row>
    <row r="605" spans="1:126" ht="12.95" customHeight="1">
      <c r="A605" s="4"/>
      <c r="B605" t="s">
        <v>847</v>
      </c>
      <c r="C605"/>
      <c r="G605" s="1020"/>
      <c r="H605" s="1020"/>
      <c r="I605" s="1020"/>
      <c r="J605" s="1020"/>
      <c r="K605" s="1020"/>
      <c r="L605" s="1020"/>
      <c r="M605" s="1020"/>
      <c r="N605" s="1020"/>
      <c r="O605" s="1020"/>
      <c r="P605" s="1020"/>
      <c r="Q605" s="1020"/>
      <c r="R605" s="1020"/>
      <c r="T605" s="4"/>
      <c r="U605" t="s">
        <v>847</v>
      </c>
      <c r="Z605" s="1018"/>
      <c r="AA605" s="1018"/>
      <c r="AB605" s="1018"/>
      <c r="AC605" s="1018"/>
      <c r="AD605" s="1018"/>
      <c r="AE605" s="1018"/>
      <c r="AF605" s="1018"/>
      <c r="AG605" s="1018"/>
      <c r="AH605" s="1018"/>
      <c r="AI605" s="1018"/>
      <c r="AJ605" s="1018"/>
      <c r="AK605" s="1018"/>
      <c r="AZ605" s="37"/>
      <c r="BA605" s="37"/>
      <c r="BB605" s="37"/>
      <c r="BC605" s="37"/>
      <c r="BD605" s="37"/>
      <c r="BE605" s="1034">
        <f t="shared" si="10"/>
        <v>0</v>
      </c>
      <c r="BF605" s="1037"/>
      <c r="BG605" s="1034">
        <f t="shared" si="2"/>
        <v>0</v>
      </c>
      <c r="BH605" s="1037"/>
      <c r="BI605" s="1034">
        <f t="shared" si="11"/>
        <v>0</v>
      </c>
      <c r="BJ605" s="1037"/>
      <c r="BK605" s="1034">
        <f t="shared" si="3"/>
        <v>0</v>
      </c>
      <c r="BL605" s="1037"/>
      <c r="BN605" s="1034">
        <f t="shared" si="4"/>
        <v>0</v>
      </c>
      <c r="BO605" s="1035"/>
      <c r="BP605" s="1035"/>
      <c r="BQ605" s="1035"/>
      <c r="BR605" s="1036"/>
      <c r="BS605" s="1034">
        <f t="shared" si="5"/>
        <v>0</v>
      </c>
      <c r="BT605" s="1035"/>
      <c r="BU605" s="1035"/>
      <c r="BV605" s="1035"/>
      <c r="BW605" s="1037"/>
      <c r="BX605" s="1034">
        <f t="shared" si="6"/>
        <v>0</v>
      </c>
      <c r="BY605" s="1035"/>
      <c r="BZ605" s="1035"/>
      <c r="CA605" s="1035"/>
      <c r="CB605" s="1037"/>
      <c r="CC605" s="1034">
        <f t="shared" si="7"/>
        <v>0</v>
      </c>
      <c r="CD605" s="1035"/>
      <c r="CE605" s="1035"/>
      <c r="CF605" s="1035"/>
      <c r="CG605" s="1037"/>
      <c r="CH605" s="1034">
        <f t="shared" si="8"/>
        <v>0</v>
      </c>
      <c r="CI605" s="1035"/>
      <c r="CJ605" s="1035"/>
      <c r="CK605" s="1035"/>
      <c r="CL605" s="1037"/>
      <c r="CM605" s="1038">
        <f t="shared" si="9"/>
        <v>0</v>
      </c>
      <c r="CN605" s="1039"/>
      <c r="CO605" s="1039"/>
      <c r="CP605" s="1039"/>
      <c r="CQ605" s="1036"/>
      <c r="CS605" s="1031">
        <f t="shared" si="12"/>
        <v>0</v>
      </c>
      <c r="CT605" s="1032"/>
      <c r="CU605" s="1032"/>
      <c r="CV605" s="1032"/>
      <c r="CW605" s="1033"/>
      <c r="CX605" s="1031">
        <f t="shared" si="13"/>
        <v>0</v>
      </c>
      <c r="CY605" s="1032"/>
      <c r="CZ605" s="1032"/>
      <c r="DA605" s="1032"/>
      <c r="DB605" s="1033"/>
      <c r="DC605" s="1031">
        <f t="shared" si="14"/>
        <v>0</v>
      </c>
      <c r="DD605" s="1032"/>
      <c r="DE605" s="1032"/>
      <c r="DF605" s="1032"/>
      <c r="DG605" s="1033"/>
      <c r="DH605" s="1031">
        <f t="shared" si="15"/>
        <v>0</v>
      </c>
      <c r="DI605" s="1032"/>
      <c r="DJ605" s="1032"/>
      <c r="DK605" s="1032"/>
      <c r="DL605" s="1033"/>
      <c r="DM605" s="1031">
        <f t="shared" si="16"/>
        <v>0</v>
      </c>
      <c r="DN605" s="1032"/>
      <c r="DO605" s="1032"/>
      <c r="DP605" s="1032"/>
      <c r="DQ605" s="1033"/>
      <c r="DR605" s="1031">
        <f t="shared" si="17"/>
        <v>0</v>
      </c>
      <c r="DS605" s="1032"/>
      <c r="DT605" s="1032"/>
      <c r="DU605" s="1032"/>
      <c r="DV605" s="1033"/>
    </row>
    <row r="606" spans="1:126" ht="12.95" customHeight="1">
      <c r="A606" s="4"/>
      <c r="B606" t="s">
        <v>1331</v>
      </c>
      <c r="C606"/>
      <c r="G606" s="1020"/>
      <c r="H606" s="1020"/>
      <c r="I606" s="1020"/>
      <c r="J606" s="1020"/>
      <c r="K606" s="1020"/>
      <c r="L606" s="1020"/>
      <c r="M606" s="1020"/>
      <c r="N606" s="1020"/>
      <c r="O606" s="1020"/>
      <c r="P606" s="1020"/>
      <c r="Q606" s="1020"/>
      <c r="R606" s="1020"/>
      <c r="T606" s="4"/>
      <c r="U606" t="s">
        <v>1331</v>
      </c>
      <c r="Z606" s="1018"/>
      <c r="AA606" s="1018"/>
      <c r="AB606" s="1018"/>
      <c r="AC606" s="1018"/>
      <c r="AD606" s="1018"/>
      <c r="AE606" s="1018"/>
      <c r="AF606" s="1018"/>
      <c r="AG606" s="1018"/>
      <c r="AH606" s="1018"/>
      <c r="AI606" s="1018"/>
      <c r="AJ606" s="1018"/>
      <c r="AK606" s="1018"/>
      <c r="AZ606" s="37"/>
      <c r="BA606" s="37"/>
      <c r="BB606" s="37"/>
      <c r="BC606" s="37"/>
      <c r="BD606" s="37"/>
      <c r="BE606" s="1034">
        <f t="shared" si="10"/>
        <v>0</v>
      </c>
      <c r="BF606" s="1037"/>
      <c r="BG606" s="1034">
        <f t="shared" si="2"/>
        <v>0</v>
      </c>
      <c r="BH606" s="1037"/>
      <c r="BI606" s="1034">
        <f t="shared" si="11"/>
        <v>0</v>
      </c>
      <c r="BJ606" s="1037"/>
      <c r="BK606" s="1034">
        <f t="shared" si="3"/>
        <v>0</v>
      </c>
      <c r="BL606" s="1037"/>
      <c r="BN606" s="1034">
        <f t="shared" si="4"/>
        <v>0</v>
      </c>
      <c r="BO606" s="1035"/>
      <c r="BP606" s="1035"/>
      <c r="BQ606" s="1035"/>
      <c r="BR606" s="1036"/>
      <c r="BS606" s="1034">
        <f t="shared" si="5"/>
        <v>0</v>
      </c>
      <c r="BT606" s="1035"/>
      <c r="BU606" s="1035"/>
      <c r="BV606" s="1035"/>
      <c r="BW606" s="1037"/>
      <c r="BX606" s="1034">
        <f t="shared" si="6"/>
        <v>0</v>
      </c>
      <c r="BY606" s="1035"/>
      <c r="BZ606" s="1035"/>
      <c r="CA606" s="1035"/>
      <c r="CB606" s="1037"/>
      <c r="CC606" s="1034">
        <f t="shared" si="7"/>
        <v>0</v>
      </c>
      <c r="CD606" s="1035"/>
      <c r="CE606" s="1035"/>
      <c r="CF606" s="1035"/>
      <c r="CG606" s="1037"/>
      <c r="CH606" s="1034">
        <f t="shared" si="8"/>
        <v>0</v>
      </c>
      <c r="CI606" s="1035"/>
      <c r="CJ606" s="1035"/>
      <c r="CK606" s="1035"/>
      <c r="CL606" s="1037"/>
      <c r="CM606" s="1038">
        <f t="shared" si="9"/>
        <v>0</v>
      </c>
      <c r="CN606" s="1039"/>
      <c r="CO606" s="1039"/>
      <c r="CP606" s="1039"/>
      <c r="CQ606" s="1036"/>
      <c r="CS606" s="1031">
        <f t="shared" si="12"/>
        <v>0</v>
      </c>
      <c r="CT606" s="1032"/>
      <c r="CU606" s="1032"/>
      <c r="CV606" s="1032"/>
      <c r="CW606" s="1033"/>
      <c r="CX606" s="1031">
        <f t="shared" si="13"/>
        <v>0</v>
      </c>
      <c r="CY606" s="1032"/>
      <c r="CZ606" s="1032"/>
      <c r="DA606" s="1032"/>
      <c r="DB606" s="1033"/>
      <c r="DC606" s="1031">
        <f t="shared" si="14"/>
        <v>0</v>
      </c>
      <c r="DD606" s="1032"/>
      <c r="DE606" s="1032"/>
      <c r="DF606" s="1032"/>
      <c r="DG606" s="1033"/>
      <c r="DH606" s="1031">
        <f t="shared" si="15"/>
        <v>0</v>
      </c>
      <c r="DI606" s="1032"/>
      <c r="DJ606" s="1032"/>
      <c r="DK606" s="1032"/>
      <c r="DL606" s="1033"/>
      <c r="DM606" s="1031">
        <f t="shared" si="16"/>
        <v>0</v>
      </c>
      <c r="DN606" s="1032"/>
      <c r="DO606" s="1032"/>
      <c r="DP606" s="1032"/>
      <c r="DQ606" s="1033"/>
      <c r="DR606" s="1031">
        <f t="shared" si="17"/>
        <v>0</v>
      </c>
      <c r="DS606" s="1032"/>
      <c r="DT606" s="1032"/>
      <c r="DU606" s="1032"/>
      <c r="DV606" s="1033"/>
    </row>
    <row r="607" spans="1:126" ht="12.95" customHeight="1">
      <c r="A607" s="4"/>
      <c r="B607" t="s">
        <v>762</v>
      </c>
      <c r="C607"/>
      <c r="G607" s="1024"/>
      <c r="H607" s="1024"/>
      <c r="I607" s="1024"/>
      <c r="J607" s="1024"/>
      <c r="K607" s="1024"/>
      <c r="L607" s="1024"/>
      <c r="O607" s="810" t="s">
        <v>992</v>
      </c>
      <c r="P607" s="1279"/>
      <c r="Q607" s="1279"/>
      <c r="R607" s="1279"/>
      <c r="T607" s="4"/>
      <c r="U607" t="s">
        <v>762</v>
      </c>
      <c r="Z607" s="1024"/>
      <c r="AA607" s="1024"/>
      <c r="AB607" s="1024"/>
      <c r="AC607" s="1024"/>
      <c r="AD607" s="1024"/>
      <c r="AE607" s="1024"/>
      <c r="AH607" s="810" t="s">
        <v>992</v>
      </c>
      <c r="AI607" s="1279"/>
      <c r="AJ607" s="1279"/>
      <c r="AK607" s="1279"/>
      <c r="AZ607" s="37"/>
      <c r="BA607" s="37"/>
      <c r="BB607" s="37"/>
      <c r="BC607" s="37"/>
      <c r="BD607" s="37"/>
      <c r="BE607" s="1034">
        <f t="shared" si="10"/>
        <v>0</v>
      </c>
      <c r="BF607" s="1037"/>
      <c r="BG607" s="1034">
        <f t="shared" si="2"/>
        <v>0</v>
      </c>
      <c r="BH607" s="1037"/>
      <c r="BI607" s="1034">
        <f t="shared" si="11"/>
        <v>0</v>
      </c>
      <c r="BJ607" s="1037"/>
      <c r="BK607" s="1034">
        <f t="shared" si="3"/>
        <v>0</v>
      </c>
      <c r="BL607" s="1037"/>
      <c r="BN607" s="1034">
        <f t="shared" si="4"/>
        <v>0</v>
      </c>
      <c r="BO607" s="1035"/>
      <c r="BP607" s="1035"/>
      <c r="BQ607" s="1035"/>
      <c r="BR607" s="1036"/>
      <c r="BS607" s="1034">
        <f t="shared" si="5"/>
        <v>0</v>
      </c>
      <c r="BT607" s="1035"/>
      <c r="BU607" s="1035"/>
      <c r="BV607" s="1035"/>
      <c r="BW607" s="1037"/>
      <c r="BX607" s="1034">
        <f t="shared" si="6"/>
        <v>0</v>
      </c>
      <c r="BY607" s="1035"/>
      <c r="BZ607" s="1035"/>
      <c r="CA607" s="1035"/>
      <c r="CB607" s="1037"/>
      <c r="CC607" s="1034">
        <f t="shared" si="7"/>
        <v>0</v>
      </c>
      <c r="CD607" s="1035"/>
      <c r="CE607" s="1035"/>
      <c r="CF607" s="1035"/>
      <c r="CG607" s="1037"/>
      <c r="CH607" s="1034">
        <f t="shared" si="8"/>
        <v>0</v>
      </c>
      <c r="CI607" s="1035"/>
      <c r="CJ607" s="1035"/>
      <c r="CK607" s="1035"/>
      <c r="CL607" s="1037"/>
      <c r="CM607" s="1038">
        <f t="shared" si="9"/>
        <v>0</v>
      </c>
      <c r="CN607" s="1039"/>
      <c r="CO607" s="1039"/>
      <c r="CP607" s="1039"/>
      <c r="CQ607" s="1036"/>
      <c r="CS607" s="1031">
        <f t="shared" si="12"/>
        <v>0</v>
      </c>
      <c r="CT607" s="1032"/>
      <c r="CU607" s="1032"/>
      <c r="CV607" s="1032"/>
      <c r="CW607" s="1033"/>
      <c r="CX607" s="1031">
        <f t="shared" si="13"/>
        <v>0</v>
      </c>
      <c r="CY607" s="1032"/>
      <c r="CZ607" s="1032"/>
      <c r="DA607" s="1032"/>
      <c r="DB607" s="1033"/>
      <c r="DC607" s="1031">
        <f t="shared" si="14"/>
        <v>0</v>
      </c>
      <c r="DD607" s="1032"/>
      <c r="DE607" s="1032"/>
      <c r="DF607" s="1032"/>
      <c r="DG607" s="1033"/>
      <c r="DH607" s="1031">
        <f t="shared" si="15"/>
        <v>0</v>
      </c>
      <c r="DI607" s="1032"/>
      <c r="DJ607" s="1032"/>
      <c r="DK607" s="1032"/>
      <c r="DL607" s="1033"/>
      <c r="DM607" s="1031">
        <f t="shared" si="16"/>
        <v>0</v>
      </c>
      <c r="DN607" s="1032"/>
      <c r="DO607" s="1032"/>
      <c r="DP607" s="1032"/>
      <c r="DQ607" s="1033"/>
      <c r="DR607" s="1031">
        <f t="shared" si="17"/>
        <v>0</v>
      </c>
      <c r="DS607" s="1032"/>
      <c r="DT607" s="1032"/>
      <c r="DU607" s="1032"/>
      <c r="DV607" s="1033"/>
    </row>
    <row r="608" spans="1:126" s="5" customFormat="1" ht="12.95" customHeight="1">
      <c r="A608" s="4"/>
      <c r="B608" t="s">
        <v>1334</v>
      </c>
      <c r="C608"/>
      <c r="D608"/>
      <c r="E608"/>
      <c r="F608"/>
      <c r="G608"/>
      <c r="H608" s="1020"/>
      <c r="I608" s="1020"/>
      <c r="J608" s="1020"/>
      <c r="K608" s="1020"/>
      <c r="L608" s="1020"/>
      <c r="M608" s="1020"/>
      <c r="N608" s="1020"/>
      <c r="O608" s="1020"/>
      <c r="P608" s="1020"/>
      <c r="Q608" s="1020"/>
      <c r="R608" s="1020"/>
      <c r="S608"/>
      <c r="T608" s="4"/>
      <c r="U608" t="s">
        <v>1334</v>
      </c>
      <c r="V608"/>
      <c r="W608"/>
      <c r="X608"/>
      <c r="Y608"/>
      <c r="Z608"/>
      <c r="AA608" s="1020"/>
      <c r="AB608" s="1020"/>
      <c r="AC608" s="1020"/>
      <c r="AD608" s="1020"/>
      <c r="AE608" s="1020"/>
      <c r="AF608" s="1020"/>
      <c r="AG608" s="1020"/>
      <c r="AH608" s="1020"/>
      <c r="AI608" s="1020"/>
      <c r="AJ608" s="1020"/>
      <c r="AK608" s="1020"/>
      <c r="AL608"/>
      <c r="AM608" s="37"/>
      <c r="AN608" s="37"/>
      <c r="AO608" s="37"/>
      <c r="AP608" s="37"/>
      <c r="AQ608" s="37"/>
      <c r="AR608" s="37"/>
      <c r="AS608" s="37"/>
      <c r="AT608" s="37"/>
      <c r="AU608" s="37"/>
      <c r="AV608" s="37"/>
      <c r="AW608" s="37"/>
      <c r="AX608" s="37"/>
      <c r="AY608" s="37"/>
      <c r="AZ608" s="37"/>
      <c r="BA608" s="37"/>
      <c r="BB608" s="37"/>
      <c r="BC608" s="37"/>
      <c r="BD608" s="37"/>
      <c r="BE608" s="1034">
        <f t="shared" si="10"/>
        <v>0</v>
      </c>
      <c r="BF608" s="1037"/>
      <c r="BG608" s="1034">
        <f t="shared" si="2"/>
        <v>0</v>
      </c>
      <c r="BH608" s="1037"/>
      <c r="BI608" s="1034">
        <f t="shared" si="11"/>
        <v>0</v>
      </c>
      <c r="BJ608" s="1037"/>
      <c r="BK608" s="1034">
        <f t="shared" si="3"/>
        <v>0</v>
      </c>
      <c r="BL608" s="1037"/>
      <c r="BM608" s="37"/>
      <c r="BN608" s="1034">
        <f t="shared" si="4"/>
        <v>0</v>
      </c>
      <c r="BO608" s="1035"/>
      <c r="BP608" s="1035"/>
      <c r="BQ608" s="1035"/>
      <c r="BR608" s="1036"/>
      <c r="BS608" s="1034">
        <f t="shared" si="5"/>
        <v>0</v>
      </c>
      <c r="BT608" s="1035"/>
      <c r="BU608" s="1035"/>
      <c r="BV608" s="1035"/>
      <c r="BW608" s="1037"/>
      <c r="BX608" s="1034">
        <f t="shared" si="6"/>
        <v>0</v>
      </c>
      <c r="BY608" s="1035"/>
      <c r="BZ608" s="1035"/>
      <c r="CA608" s="1035"/>
      <c r="CB608" s="1037"/>
      <c r="CC608" s="1034">
        <f t="shared" si="7"/>
        <v>0</v>
      </c>
      <c r="CD608" s="1035"/>
      <c r="CE608" s="1035"/>
      <c r="CF608" s="1035"/>
      <c r="CG608" s="1037"/>
      <c r="CH608" s="1034">
        <f t="shared" si="8"/>
        <v>0</v>
      </c>
      <c r="CI608" s="1035"/>
      <c r="CJ608" s="1035"/>
      <c r="CK608" s="1035"/>
      <c r="CL608" s="1037"/>
      <c r="CM608" s="1038">
        <f t="shared" si="9"/>
        <v>0</v>
      </c>
      <c r="CN608" s="1039"/>
      <c r="CO608" s="1039"/>
      <c r="CP608" s="1039"/>
      <c r="CQ608" s="1036"/>
      <c r="CR608" s="37"/>
      <c r="CS608" s="1031">
        <f t="shared" si="12"/>
        <v>0</v>
      </c>
      <c r="CT608" s="1032"/>
      <c r="CU608" s="1032"/>
      <c r="CV608" s="1032"/>
      <c r="CW608" s="1033"/>
      <c r="CX608" s="1031">
        <f t="shared" si="13"/>
        <v>0</v>
      </c>
      <c r="CY608" s="1032"/>
      <c r="CZ608" s="1032"/>
      <c r="DA608" s="1032"/>
      <c r="DB608" s="1033"/>
      <c r="DC608" s="1031">
        <f t="shared" si="14"/>
        <v>0</v>
      </c>
      <c r="DD608" s="1032"/>
      <c r="DE608" s="1032"/>
      <c r="DF608" s="1032"/>
      <c r="DG608" s="1033"/>
      <c r="DH608" s="1031">
        <f t="shared" si="15"/>
        <v>0</v>
      </c>
      <c r="DI608" s="1032"/>
      <c r="DJ608" s="1032"/>
      <c r="DK608" s="1032"/>
      <c r="DL608" s="1033"/>
      <c r="DM608" s="1031">
        <f t="shared" si="16"/>
        <v>0</v>
      </c>
      <c r="DN608" s="1032"/>
      <c r="DO608" s="1032"/>
      <c r="DP608" s="1032"/>
      <c r="DQ608" s="1033"/>
      <c r="DR608" s="1031">
        <f t="shared" si="17"/>
        <v>0</v>
      </c>
      <c r="DS608" s="1032"/>
      <c r="DT608" s="1032"/>
      <c r="DU608" s="1032"/>
      <c r="DV608" s="1033"/>
    </row>
    <row r="609" spans="1:126" s="5" customFormat="1" ht="12.95" customHeight="1">
      <c r="A609" s="4"/>
      <c r="B609" t="s">
        <v>1337</v>
      </c>
      <c r="C609"/>
      <c r="D609"/>
      <c r="E609"/>
      <c r="F609"/>
      <c r="G609"/>
      <c r="H609"/>
      <c r="I609"/>
      <c r="J609"/>
      <c r="K609"/>
      <c r="L609"/>
      <c r="M609"/>
      <c r="N609" s="1095" t="s">
        <v>708</v>
      </c>
      <c r="O609" s="1095"/>
      <c r="P609"/>
      <c r="Q609"/>
      <c r="R609"/>
      <c r="S609"/>
      <c r="T609" s="4"/>
      <c r="U609" t="s">
        <v>1337</v>
      </c>
      <c r="V609"/>
      <c r="W609"/>
      <c r="X609"/>
      <c r="Y609"/>
      <c r="Z609"/>
      <c r="AA609"/>
      <c r="AB609"/>
      <c r="AC609"/>
      <c r="AD609"/>
      <c r="AE609"/>
      <c r="AF609"/>
      <c r="AG609" s="1095" t="s">
        <v>708</v>
      </c>
      <c r="AH609" s="1095"/>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4">
        <f t="shared" si="10"/>
        <v>0</v>
      </c>
      <c r="BF609" s="1037"/>
      <c r="BG609" s="1034">
        <f t="shared" si="2"/>
        <v>0</v>
      </c>
      <c r="BH609" s="1037"/>
      <c r="BI609" s="1034">
        <f t="shared" si="11"/>
        <v>0</v>
      </c>
      <c r="BJ609" s="1037"/>
      <c r="BK609" s="1034">
        <f t="shared" si="3"/>
        <v>0</v>
      </c>
      <c r="BL609" s="1037"/>
      <c r="BM609" s="37"/>
      <c r="BN609" s="1034">
        <f t="shared" si="4"/>
        <v>0</v>
      </c>
      <c r="BO609" s="1035"/>
      <c r="BP609" s="1035"/>
      <c r="BQ609" s="1035"/>
      <c r="BR609" s="1036"/>
      <c r="BS609" s="1034">
        <f t="shared" si="5"/>
        <v>0</v>
      </c>
      <c r="BT609" s="1035"/>
      <c r="BU609" s="1035"/>
      <c r="BV609" s="1035"/>
      <c r="BW609" s="1037"/>
      <c r="BX609" s="1034">
        <f t="shared" si="6"/>
        <v>0</v>
      </c>
      <c r="BY609" s="1035"/>
      <c r="BZ609" s="1035"/>
      <c r="CA609" s="1035"/>
      <c r="CB609" s="1037"/>
      <c r="CC609" s="1034">
        <f t="shared" si="7"/>
        <v>0</v>
      </c>
      <c r="CD609" s="1035"/>
      <c r="CE609" s="1035"/>
      <c r="CF609" s="1035"/>
      <c r="CG609" s="1037"/>
      <c r="CH609" s="1034">
        <f t="shared" si="8"/>
        <v>0</v>
      </c>
      <c r="CI609" s="1035"/>
      <c r="CJ609" s="1035"/>
      <c r="CK609" s="1035"/>
      <c r="CL609" s="1037"/>
      <c r="CM609" s="1038">
        <f t="shared" si="9"/>
        <v>0</v>
      </c>
      <c r="CN609" s="1039"/>
      <c r="CO609" s="1039"/>
      <c r="CP609" s="1039"/>
      <c r="CQ609" s="1036"/>
      <c r="CR609" s="37"/>
      <c r="CS609" s="1031">
        <f t="shared" si="12"/>
        <v>0</v>
      </c>
      <c r="CT609" s="1032"/>
      <c r="CU609" s="1032"/>
      <c r="CV609" s="1032"/>
      <c r="CW609" s="1033"/>
      <c r="CX609" s="1031">
        <f t="shared" si="13"/>
        <v>0</v>
      </c>
      <c r="CY609" s="1032"/>
      <c r="CZ609" s="1032"/>
      <c r="DA609" s="1032"/>
      <c r="DB609" s="1033"/>
      <c r="DC609" s="1031">
        <f t="shared" si="14"/>
        <v>0</v>
      </c>
      <c r="DD609" s="1032"/>
      <c r="DE609" s="1032"/>
      <c r="DF609" s="1032"/>
      <c r="DG609" s="1033"/>
      <c r="DH609" s="1031">
        <f t="shared" si="15"/>
        <v>0</v>
      </c>
      <c r="DI609" s="1032"/>
      <c r="DJ609" s="1032"/>
      <c r="DK609" s="1032"/>
      <c r="DL609" s="1033"/>
      <c r="DM609" s="1031">
        <f t="shared" si="16"/>
        <v>0</v>
      </c>
      <c r="DN609" s="1032"/>
      <c r="DO609" s="1032"/>
      <c r="DP609" s="1032"/>
      <c r="DQ609" s="1033"/>
      <c r="DR609" s="1031">
        <f t="shared" si="17"/>
        <v>0</v>
      </c>
      <c r="DS609" s="1032"/>
      <c r="DT609" s="1032"/>
      <c r="DU609" s="1032"/>
      <c r="DV609" s="103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4">
        <f t="shared" si="10"/>
        <v>0</v>
      </c>
      <c r="BF610" s="1037"/>
      <c r="BG610" s="1034">
        <f t="shared" si="2"/>
        <v>0</v>
      </c>
      <c r="BH610" s="1037"/>
      <c r="BI610" s="1034">
        <f t="shared" si="11"/>
        <v>0</v>
      </c>
      <c r="BJ610" s="1037"/>
      <c r="BK610" s="1034">
        <f t="shared" si="3"/>
        <v>0</v>
      </c>
      <c r="BL610" s="1037"/>
      <c r="BM610" s="37"/>
      <c r="BN610" s="1034">
        <f t="shared" si="4"/>
        <v>0</v>
      </c>
      <c r="BO610" s="1035"/>
      <c r="BP610" s="1035"/>
      <c r="BQ610" s="1035"/>
      <c r="BR610" s="1036"/>
      <c r="BS610" s="1034">
        <f t="shared" si="5"/>
        <v>0</v>
      </c>
      <c r="BT610" s="1035"/>
      <c r="BU610" s="1035"/>
      <c r="BV610" s="1035"/>
      <c r="BW610" s="1037"/>
      <c r="BX610" s="1034">
        <f t="shared" si="6"/>
        <v>0</v>
      </c>
      <c r="BY610" s="1035"/>
      <c r="BZ610" s="1035"/>
      <c r="CA610" s="1035"/>
      <c r="CB610" s="1037"/>
      <c r="CC610" s="1034">
        <f t="shared" si="7"/>
        <v>0</v>
      </c>
      <c r="CD610" s="1035"/>
      <c r="CE610" s="1035"/>
      <c r="CF610" s="1035"/>
      <c r="CG610" s="1037"/>
      <c r="CH610" s="1034">
        <f t="shared" si="8"/>
        <v>0</v>
      </c>
      <c r="CI610" s="1035"/>
      <c r="CJ610" s="1035"/>
      <c r="CK610" s="1035"/>
      <c r="CL610" s="1037"/>
      <c r="CM610" s="1038">
        <f t="shared" si="9"/>
        <v>0</v>
      </c>
      <c r="CN610" s="1039"/>
      <c r="CO610" s="1039"/>
      <c r="CP610" s="1039"/>
      <c r="CQ610" s="1036"/>
      <c r="CR610" s="37"/>
      <c r="CS610" s="1031">
        <f t="shared" si="12"/>
        <v>0</v>
      </c>
      <c r="CT610" s="1032"/>
      <c r="CU610" s="1032"/>
      <c r="CV610" s="1032"/>
      <c r="CW610" s="1033"/>
      <c r="CX610" s="1031">
        <f t="shared" si="13"/>
        <v>0</v>
      </c>
      <c r="CY610" s="1032"/>
      <c r="CZ610" s="1032"/>
      <c r="DA610" s="1032"/>
      <c r="DB610" s="1033"/>
      <c r="DC610" s="1031">
        <f t="shared" si="14"/>
        <v>0</v>
      </c>
      <c r="DD610" s="1032"/>
      <c r="DE610" s="1032"/>
      <c r="DF610" s="1032"/>
      <c r="DG610" s="1033"/>
      <c r="DH610" s="1031">
        <f t="shared" si="15"/>
        <v>0</v>
      </c>
      <c r="DI610" s="1032"/>
      <c r="DJ610" s="1032"/>
      <c r="DK610" s="1032"/>
      <c r="DL610" s="1033"/>
      <c r="DM610" s="1031">
        <f t="shared" si="16"/>
        <v>0</v>
      </c>
      <c r="DN610" s="1032"/>
      <c r="DO610" s="1032"/>
      <c r="DP610" s="1032"/>
      <c r="DQ610" s="1033"/>
      <c r="DR610" s="1031">
        <f t="shared" si="17"/>
        <v>0</v>
      </c>
      <c r="DS610" s="1032"/>
      <c r="DT610" s="1032"/>
      <c r="DU610" s="1032"/>
      <c r="DV610" s="1033"/>
    </row>
    <row r="611" spans="1:126" ht="12.95" customHeight="1">
      <c r="A611" s="54" t="s">
        <v>1325</v>
      </c>
      <c r="B611" t="s">
        <v>1328</v>
      </c>
      <c r="C611"/>
      <c r="G611" s="1180">
        <f>C567</f>
        <v>0</v>
      </c>
      <c r="H611" s="1180"/>
      <c r="I611" s="1180"/>
      <c r="J611" s="1180"/>
      <c r="K611" s="1180"/>
      <c r="L611" s="1180"/>
      <c r="M611" s="1180"/>
      <c r="N611" s="1180"/>
      <c r="O611" s="1180"/>
      <c r="P611" s="1180"/>
      <c r="Q611" s="1180"/>
      <c r="R611" s="1180"/>
      <c r="T611" s="54" t="s">
        <v>1326</v>
      </c>
      <c r="U611" t="s">
        <v>1328</v>
      </c>
      <c r="Z611" s="1180">
        <f>C568</f>
        <v>0</v>
      </c>
      <c r="AA611" s="1180"/>
      <c r="AB611" s="1180"/>
      <c r="AC611" s="1180"/>
      <c r="AD611" s="1180"/>
      <c r="AE611" s="1180"/>
      <c r="AF611" s="1180"/>
      <c r="AG611" s="1180"/>
      <c r="AH611" s="1180"/>
      <c r="AI611" s="1180"/>
      <c r="AJ611" s="1180"/>
      <c r="AK611" s="1180"/>
      <c r="AZ611" s="37"/>
      <c r="BA611" s="37"/>
      <c r="BB611" s="37"/>
      <c r="BC611" s="37"/>
      <c r="BD611" s="37"/>
      <c r="BE611" s="1034">
        <f t="shared" si="10"/>
        <v>0</v>
      </c>
      <c r="BF611" s="1037"/>
      <c r="BG611" s="1034">
        <f t="shared" si="2"/>
        <v>0</v>
      </c>
      <c r="BH611" s="1037"/>
      <c r="BI611" s="1034">
        <f t="shared" si="11"/>
        <v>0</v>
      </c>
      <c r="BJ611" s="1037"/>
      <c r="BK611" s="1034">
        <f t="shared" si="3"/>
        <v>0</v>
      </c>
      <c r="BL611" s="1037"/>
      <c r="BN611" s="1034">
        <f t="shared" si="4"/>
        <v>0</v>
      </c>
      <c r="BO611" s="1035"/>
      <c r="BP611" s="1035"/>
      <c r="BQ611" s="1035"/>
      <c r="BR611" s="1036"/>
      <c r="BS611" s="1034">
        <f t="shared" si="5"/>
        <v>0</v>
      </c>
      <c r="BT611" s="1035"/>
      <c r="BU611" s="1035"/>
      <c r="BV611" s="1035"/>
      <c r="BW611" s="1037"/>
      <c r="BX611" s="1034">
        <f t="shared" si="6"/>
        <v>0</v>
      </c>
      <c r="BY611" s="1035"/>
      <c r="BZ611" s="1035"/>
      <c r="CA611" s="1035"/>
      <c r="CB611" s="1037"/>
      <c r="CC611" s="1034">
        <f t="shared" si="7"/>
        <v>0</v>
      </c>
      <c r="CD611" s="1035"/>
      <c r="CE611" s="1035"/>
      <c r="CF611" s="1035"/>
      <c r="CG611" s="1037"/>
      <c r="CH611" s="1034">
        <f t="shared" si="8"/>
        <v>0</v>
      </c>
      <c r="CI611" s="1035"/>
      <c r="CJ611" s="1035"/>
      <c r="CK611" s="1035"/>
      <c r="CL611" s="1037"/>
      <c r="CM611" s="1038">
        <f t="shared" si="9"/>
        <v>0</v>
      </c>
      <c r="CN611" s="1039"/>
      <c r="CO611" s="1039"/>
      <c r="CP611" s="1039"/>
      <c r="CQ611" s="1036"/>
      <c r="CS611" s="1031">
        <f t="shared" si="12"/>
        <v>0</v>
      </c>
      <c r="CT611" s="1032"/>
      <c r="CU611" s="1032"/>
      <c r="CV611" s="1032"/>
      <c r="CW611" s="1033"/>
      <c r="CX611" s="1031">
        <f t="shared" si="13"/>
        <v>0</v>
      </c>
      <c r="CY611" s="1032"/>
      <c r="CZ611" s="1032"/>
      <c r="DA611" s="1032"/>
      <c r="DB611" s="1033"/>
      <c r="DC611" s="1031">
        <f t="shared" si="14"/>
        <v>0</v>
      </c>
      <c r="DD611" s="1032"/>
      <c r="DE611" s="1032"/>
      <c r="DF611" s="1032"/>
      <c r="DG611" s="1033"/>
      <c r="DH611" s="1031">
        <f t="shared" si="15"/>
        <v>0</v>
      </c>
      <c r="DI611" s="1032"/>
      <c r="DJ611" s="1032"/>
      <c r="DK611" s="1032"/>
      <c r="DL611" s="1033"/>
      <c r="DM611" s="1031">
        <f t="shared" si="16"/>
        <v>0</v>
      </c>
      <c r="DN611" s="1032"/>
      <c r="DO611" s="1032"/>
      <c r="DP611" s="1032"/>
      <c r="DQ611" s="1033"/>
      <c r="DR611" s="1031">
        <f t="shared" si="17"/>
        <v>0</v>
      </c>
      <c r="DS611" s="1032"/>
      <c r="DT611" s="1032"/>
      <c r="DU611" s="1032"/>
      <c r="DV611" s="1033"/>
    </row>
    <row r="612" spans="1:126" ht="12.95" customHeight="1">
      <c r="B612" t="s">
        <v>983</v>
      </c>
      <c r="C612"/>
      <c r="G612" s="1020"/>
      <c r="H612" s="1020"/>
      <c r="I612" s="1020"/>
      <c r="J612" s="1020"/>
      <c r="K612" s="1020"/>
      <c r="L612" s="1020"/>
      <c r="M612" s="1020"/>
      <c r="N612" s="1020"/>
      <c r="O612" s="1020"/>
      <c r="P612" s="1020"/>
      <c r="Q612" s="1020"/>
      <c r="R612" s="1020"/>
      <c r="U612" t="s">
        <v>983</v>
      </c>
      <c r="Z612" s="1020"/>
      <c r="AA612" s="1020"/>
      <c r="AB612" s="1020"/>
      <c r="AC612" s="1020"/>
      <c r="AD612" s="1020"/>
      <c r="AE612" s="1020"/>
      <c r="AF612" s="1020"/>
      <c r="AG612" s="1020"/>
      <c r="AH612" s="1020"/>
      <c r="AI612" s="1020"/>
      <c r="AJ612" s="1020"/>
      <c r="AK612" s="1020"/>
      <c r="AZ612" s="37"/>
      <c r="BA612" s="37"/>
      <c r="BB612" s="37"/>
      <c r="BC612" s="37"/>
      <c r="BD612" s="37"/>
      <c r="BE612" s="1034">
        <f t="shared" si="10"/>
        <v>0</v>
      </c>
      <c r="BF612" s="1037"/>
      <c r="BG612" s="1034">
        <f t="shared" si="2"/>
        <v>0</v>
      </c>
      <c r="BH612" s="1037"/>
      <c r="BI612" s="1034">
        <f t="shared" si="11"/>
        <v>0</v>
      </c>
      <c r="BJ612" s="1037"/>
      <c r="BK612" s="1034">
        <f t="shared" si="3"/>
        <v>0</v>
      </c>
      <c r="BL612" s="1037"/>
      <c r="BN612" s="1034">
        <f t="shared" si="4"/>
        <v>0</v>
      </c>
      <c r="BO612" s="1035"/>
      <c r="BP612" s="1035"/>
      <c r="BQ612" s="1035"/>
      <c r="BR612" s="1036"/>
      <c r="BS612" s="1034">
        <f t="shared" si="5"/>
        <v>0</v>
      </c>
      <c r="BT612" s="1035"/>
      <c r="BU612" s="1035"/>
      <c r="BV612" s="1035"/>
      <c r="BW612" s="1037"/>
      <c r="BX612" s="1034">
        <f t="shared" si="6"/>
        <v>0</v>
      </c>
      <c r="BY612" s="1035"/>
      <c r="BZ612" s="1035"/>
      <c r="CA612" s="1035"/>
      <c r="CB612" s="1037"/>
      <c r="CC612" s="1034">
        <f t="shared" si="7"/>
        <v>0</v>
      </c>
      <c r="CD612" s="1035"/>
      <c r="CE612" s="1035"/>
      <c r="CF612" s="1035"/>
      <c r="CG612" s="1037"/>
      <c r="CH612" s="1034">
        <f t="shared" si="8"/>
        <v>0</v>
      </c>
      <c r="CI612" s="1035"/>
      <c r="CJ612" s="1035"/>
      <c r="CK612" s="1035"/>
      <c r="CL612" s="1037"/>
      <c r="CM612" s="1038">
        <f t="shared" si="9"/>
        <v>0</v>
      </c>
      <c r="CN612" s="1039"/>
      <c r="CO612" s="1039"/>
      <c r="CP612" s="1039"/>
      <c r="CQ612" s="1036"/>
      <c r="CS612" s="1031">
        <f t="shared" si="12"/>
        <v>0</v>
      </c>
      <c r="CT612" s="1032"/>
      <c r="CU612" s="1032"/>
      <c r="CV612" s="1032"/>
      <c r="CW612" s="1033"/>
      <c r="CX612" s="1031">
        <f t="shared" si="13"/>
        <v>0</v>
      </c>
      <c r="CY612" s="1032"/>
      <c r="CZ612" s="1032"/>
      <c r="DA612" s="1032"/>
      <c r="DB612" s="1033"/>
      <c r="DC612" s="1031">
        <f t="shared" si="14"/>
        <v>0</v>
      </c>
      <c r="DD612" s="1032"/>
      <c r="DE612" s="1032"/>
      <c r="DF612" s="1032"/>
      <c r="DG612" s="1033"/>
      <c r="DH612" s="1031">
        <f t="shared" si="15"/>
        <v>0</v>
      </c>
      <c r="DI612" s="1032"/>
      <c r="DJ612" s="1032"/>
      <c r="DK612" s="1032"/>
      <c r="DL612" s="1033"/>
      <c r="DM612" s="1031">
        <f t="shared" si="16"/>
        <v>0</v>
      </c>
      <c r="DN612" s="1032"/>
      <c r="DO612" s="1032"/>
      <c r="DP612" s="1032"/>
      <c r="DQ612" s="1033"/>
      <c r="DR612" s="1031">
        <f t="shared" si="17"/>
        <v>0</v>
      </c>
      <c r="DS612" s="1032"/>
      <c r="DT612" s="1032"/>
      <c r="DU612" s="1032"/>
      <c r="DV612" s="1033"/>
    </row>
    <row r="613" spans="1:126" ht="12.95" customHeight="1">
      <c r="B613" t="s">
        <v>847</v>
      </c>
      <c r="C613"/>
      <c r="G613" s="1020"/>
      <c r="H613" s="1020"/>
      <c r="I613" s="1020"/>
      <c r="J613" s="1020"/>
      <c r="K613" s="1020"/>
      <c r="L613" s="1020"/>
      <c r="M613" s="1020"/>
      <c r="N613" s="1020"/>
      <c r="O613" s="1020"/>
      <c r="P613" s="1020"/>
      <c r="Q613" s="1020"/>
      <c r="R613" s="1020"/>
      <c r="U613" t="s">
        <v>847</v>
      </c>
      <c r="Z613" s="1018"/>
      <c r="AA613" s="1018"/>
      <c r="AB613" s="1018"/>
      <c r="AC613" s="1018"/>
      <c r="AD613" s="1018"/>
      <c r="AE613" s="1018"/>
      <c r="AF613" s="1018"/>
      <c r="AG613" s="1018"/>
      <c r="AH613" s="1018"/>
      <c r="AI613" s="1018"/>
      <c r="AJ613" s="1018"/>
      <c r="AK613" s="1018"/>
      <c r="AL613" s="258"/>
      <c r="BA613" s="37"/>
      <c r="BB613" s="37"/>
      <c r="BC613" s="37"/>
      <c r="BD613" s="37"/>
      <c r="BE613" s="1034">
        <f t="shared" si="10"/>
        <v>0</v>
      </c>
      <c r="BF613" s="1037"/>
      <c r="BG613" s="1034">
        <f t="shared" si="2"/>
        <v>0</v>
      </c>
      <c r="BH613" s="1037"/>
      <c r="BI613" s="1034">
        <f t="shared" si="11"/>
        <v>0</v>
      </c>
      <c r="BJ613" s="1037"/>
      <c r="BK613" s="1034">
        <f t="shared" si="3"/>
        <v>0</v>
      </c>
      <c r="BL613" s="1037"/>
      <c r="BN613" s="1034">
        <f t="shared" si="4"/>
        <v>0</v>
      </c>
      <c r="BO613" s="1035"/>
      <c r="BP613" s="1035"/>
      <c r="BQ613" s="1035"/>
      <c r="BR613" s="1036"/>
      <c r="BS613" s="1034">
        <f t="shared" si="5"/>
        <v>0</v>
      </c>
      <c r="BT613" s="1035"/>
      <c r="BU613" s="1035"/>
      <c r="BV613" s="1035"/>
      <c r="BW613" s="1037"/>
      <c r="BX613" s="1034">
        <f t="shared" si="6"/>
        <v>0</v>
      </c>
      <c r="BY613" s="1035"/>
      <c r="BZ613" s="1035"/>
      <c r="CA613" s="1035"/>
      <c r="CB613" s="1037"/>
      <c r="CC613" s="1034">
        <f t="shared" si="7"/>
        <v>0</v>
      </c>
      <c r="CD613" s="1035"/>
      <c r="CE613" s="1035"/>
      <c r="CF613" s="1035"/>
      <c r="CG613" s="1037"/>
      <c r="CH613" s="1034">
        <f t="shared" si="8"/>
        <v>0</v>
      </c>
      <c r="CI613" s="1035"/>
      <c r="CJ613" s="1035"/>
      <c r="CK613" s="1035"/>
      <c r="CL613" s="1037"/>
      <c r="CM613" s="1038">
        <f t="shared" si="9"/>
        <v>0</v>
      </c>
      <c r="CN613" s="1039"/>
      <c r="CO613" s="1039"/>
      <c r="CP613" s="1039"/>
      <c r="CQ613" s="1036"/>
      <c r="CS613" s="1031">
        <f t="shared" si="12"/>
        <v>0</v>
      </c>
      <c r="CT613" s="1032"/>
      <c r="CU613" s="1032"/>
      <c r="CV613" s="1032"/>
      <c r="CW613" s="1033"/>
      <c r="CX613" s="1031">
        <f t="shared" si="13"/>
        <v>0</v>
      </c>
      <c r="CY613" s="1032"/>
      <c r="CZ613" s="1032"/>
      <c r="DA613" s="1032"/>
      <c r="DB613" s="1033"/>
      <c r="DC613" s="1031">
        <f t="shared" si="14"/>
        <v>0</v>
      </c>
      <c r="DD613" s="1032"/>
      <c r="DE613" s="1032"/>
      <c r="DF613" s="1032"/>
      <c r="DG613" s="1033"/>
      <c r="DH613" s="1031">
        <f t="shared" si="15"/>
        <v>0</v>
      </c>
      <c r="DI613" s="1032"/>
      <c r="DJ613" s="1032"/>
      <c r="DK613" s="1032"/>
      <c r="DL613" s="1033"/>
      <c r="DM613" s="1031">
        <f t="shared" si="16"/>
        <v>0</v>
      </c>
      <c r="DN613" s="1032"/>
      <c r="DO613" s="1032"/>
      <c r="DP613" s="1032"/>
      <c r="DQ613" s="1033"/>
      <c r="DR613" s="1031">
        <f t="shared" si="17"/>
        <v>0</v>
      </c>
      <c r="DS613" s="1032"/>
      <c r="DT613" s="1032"/>
      <c r="DU613" s="1032"/>
      <c r="DV613" s="1033"/>
    </row>
    <row r="614" spans="1:126" ht="12.95" customHeight="1">
      <c r="B614" t="s">
        <v>1331</v>
      </c>
      <c r="C614"/>
      <c r="G614" s="1020"/>
      <c r="H614" s="1020"/>
      <c r="I614" s="1020"/>
      <c r="J614" s="1020"/>
      <c r="K614" s="1020"/>
      <c r="L614" s="1020"/>
      <c r="M614" s="1020"/>
      <c r="N614" s="1020"/>
      <c r="O614" s="1020"/>
      <c r="P614" s="1020"/>
      <c r="Q614" s="1020"/>
      <c r="R614" s="1020"/>
      <c r="U614" t="s">
        <v>1331</v>
      </c>
      <c r="Z614" s="1018"/>
      <c r="AA614" s="1018"/>
      <c r="AB614" s="1018"/>
      <c r="AC614" s="1018"/>
      <c r="AD614" s="1018"/>
      <c r="AE614" s="1018"/>
      <c r="AF614" s="1018"/>
      <c r="AG614" s="1018"/>
      <c r="AH614" s="1018"/>
      <c r="AI614" s="1018"/>
      <c r="AJ614" s="1018"/>
      <c r="AK614" s="1018"/>
      <c r="AL614" s="258"/>
      <c r="BA614" s="37"/>
      <c r="BB614" s="37"/>
      <c r="BC614" s="37"/>
      <c r="BD614" s="37"/>
      <c r="BE614" s="1034">
        <f t="shared" si="10"/>
        <v>0</v>
      </c>
      <c r="BF614" s="1037"/>
      <c r="BG614" s="1034">
        <f t="shared" si="2"/>
        <v>0</v>
      </c>
      <c r="BH614" s="1037"/>
      <c r="BI614" s="1034">
        <f t="shared" si="11"/>
        <v>0</v>
      </c>
      <c r="BJ614" s="1037"/>
      <c r="BK614" s="1034">
        <f t="shared" si="3"/>
        <v>0</v>
      </c>
      <c r="BL614" s="1037"/>
      <c r="BN614" s="1034">
        <f t="shared" si="4"/>
        <v>0</v>
      </c>
      <c r="BO614" s="1035"/>
      <c r="BP614" s="1035"/>
      <c r="BQ614" s="1035"/>
      <c r="BR614" s="1036"/>
      <c r="BS614" s="1034">
        <f t="shared" si="5"/>
        <v>0</v>
      </c>
      <c r="BT614" s="1035"/>
      <c r="BU614" s="1035"/>
      <c r="BV614" s="1035"/>
      <c r="BW614" s="1037"/>
      <c r="BX614" s="1034">
        <f t="shared" si="6"/>
        <v>0</v>
      </c>
      <c r="BY614" s="1035"/>
      <c r="BZ614" s="1035"/>
      <c r="CA614" s="1035"/>
      <c r="CB614" s="1037"/>
      <c r="CC614" s="1034">
        <f t="shared" si="7"/>
        <v>0</v>
      </c>
      <c r="CD614" s="1035"/>
      <c r="CE614" s="1035"/>
      <c r="CF614" s="1035"/>
      <c r="CG614" s="1037"/>
      <c r="CH614" s="1034">
        <f t="shared" si="8"/>
        <v>0</v>
      </c>
      <c r="CI614" s="1035"/>
      <c r="CJ614" s="1035"/>
      <c r="CK614" s="1035"/>
      <c r="CL614" s="1037"/>
      <c r="CM614" s="1038">
        <f t="shared" si="9"/>
        <v>0</v>
      </c>
      <c r="CN614" s="1039"/>
      <c r="CO614" s="1039"/>
      <c r="CP614" s="1039"/>
      <c r="CQ614" s="1036"/>
      <c r="CS614" s="1031">
        <f t="shared" si="12"/>
        <v>0</v>
      </c>
      <c r="CT614" s="1032"/>
      <c r="CU614" s="1032"/>
      <c r="CV614" s="1032"/>
      <c r="CW614" s="1033"/>
      <c r="CX614" s="1031">
        <f t="shared" si="13"/>
        <v>0</v>
      </c>
      <c r="CY614" s="1032"/>
      <c r="CZ614" s="1032"/>
      <c r="DA614" s="1032"/>
      <c r="DB614" s="1033"/>
      <c r="DC614" s="1031">
        <f t="shared" si="14"/>
        <v>0</v>
      </c>
      <c r="DD614" s="1032"/>
      <c r="DE614" s="1032"/>
      <c r="DF614" s="1032"/>
      <c r="DG614" s="1033"/>
      <c r="DH614" s="1031">
        <f t="shared" si="15"/>
        <v>0</v>
      </c>
      <c r="DI614" s="1032"/>
      <c r="DJ614" s="1032"/>
      <c r="DK614" s="1032"/>
      <c r="DL614" s="1033"/>
      <c r="DM614" s="1031">
        <f t="shared" si="16"/>
        <v>0</v>
      </c>
      <c r="DN614" s="1032"/>
      <c r="DO614" s="1032"/>
      <c r="DP614" s="1032"/>
      <c r="DQ614" s="1033"/>
      <c r="DR614" s="1031">
        <f t="shared" si="17"/>
        <v>0</v>
      </c>
      <c r="DS614" s="1032"/>
      <c r="DT614" s="1032"/>
      <c r="DU614" s="1032"/>
      <c r="DV614" s="1033"/>
    </row>
    <row r="615" spans="1:126" ht="12.95" customHeight="1">
      <c r="B615" t="s">
        <v>762</v>
      </c>
      <c r="C615"/>
      <c r="G615" s="1024"/>
      <c r="H615" s="1024"/>
      <c r="I615" s="1024"/>
      <c r="J615" s="1024"/>
      <c r="K615" s="1024"/>
      <c r="L615" s="1024"/>
      <c r="O615" s="810" t="s">
        <v>992</v>
      </c>
      <c r="P615" s="1279"/>
      <c r="Q615" s="1279"/>
      <c r="R615" s="1279"/>
      <c r="U615" t="s">
        <v>762</v>
      </c>
      <c r="Z615" s="1024"/>
      <c r="AA615" s="1024"/>
      <c r="AB615" s="1024"/>
      <c r="AC615" s="1024"/>
      <c r="AD615" s="1024"/>
      <c r="AE615" s="1024"/>
      <c r="AH615" s="810" t="s">
        <v>992</v>
      </c>
      <c r="AI615" s="1279"/>
      <c r="AJ615" s="1279"/>
      <c r="AK615" s="1279"/>
      <c r="AZ615" s="37"/>
      <c r="BA615" s="37"/>
      <c r="BB615" s="37"/>
      <c r="BC615" s="37"/>
      <c r="BD615" s="37"/>
      <c r="BE615" s="1034">
        <f t="shared" si="10"/>
        <v>0</v>
      </c>
      <c r="BF615" s="1037"/>
      <c r="BG615" s="1034">
        <f t="shared" si="2"/>
        <v>0</v>
      </c>
      <c r="BH615" s="1037"/>
      <c r="BI615" s="1034">
        <f t="shared" si="11"/>
        <v>0</v>
      </c>
      <c r="BJ615" s="1037"/>
      <c r="BK615" s="1034">
        <f t="shared" si="3"/>
        <v>0</v>
      </c>
      <c r="BL615" s="1037"/>
      <c r="BN615" s="1034">
        <f t="shared" si="4"/>
        <v>0</v>
      </c>
      <c r="BO615" s="1035"/>
      <c r="BP615" s="1035"/>
      <c r="BQ615" s="1035"/>
      <c r="BR615" s="1036"/>
      <c r="BS615" s="1034">
        <f t="shared" si="5"/>
        <v>0</v>
      </c>
      <c r="BT615" s="1035"/>
      <c r="BU615" s="1035"/>
      <c r="BV615" s="1035"/>
      <c r="BW615" s="1037"/>
      <c r="BX615" s="1034">
        <f t="shared" si="6"/>
        <v>0</v>
      </c>
      <c r="BY615" s="1035"/>
      <c r="BZ615" s="1035"/>
      <c r="CA615" s="1035"/>
      <c r="CB615" s="1037"/>
      <c r="CC615" s="1034">
        <f t="shared" si="7"/>
        <v>0</v>
      </c>
      <c r="CD615" s="1035"/>
      <c r="CE615" s="1035"/>
      <c r="CF615" s="1035"/>
      <c r="CG615" s="1037"/>
      <c r="CH615" s="1034">
        <f t="shared" si="8"/>
        <v>0</v>
      </c>
      <c r="CI615" s="1035"/>
      <c r="CJ615" s="1035"/>
      <c r="CK615" s="1035"/>
      <c r="CL615" s="1037"/>
      <c r="CM615" s="1038">
        <f t="shared" si="9"/>
        <v>0</v>
      </c>
      <c r="CN615" s="1039"/>
      <c r="CO615" s="1039"/>
      <c r="CP615" s="1039"/>
      <c r="CQ615" s="1036"/>
      <c r="CS615" s="1031">
        <f t="shared" si="12"/>
        <v>0</v>
      </c>
      <c r="CT615" s="1032"/>
      <c r="CU615" s="1032"/>
      <c r="CV615" s="1032"/>
      <c r="CW615" s="1033"/>
      <c r="CX615" s="1031">
        <f t="shared" si="13"/>
        <v>0</v>
      </c>
      <c r="CY615" s="1032"/>
      <c r="CZ615" s="1032"/>
      <c r="DA615" s="1032"/>
      <c r="DB615" s="1033"/>
      <c r="DC615" s="1031">
        <f t="shared" si="14"/>
        <v>0</v>
      </c>
      <c r="DD615" s="1032"/>
      <c r="DE615" s="1032"/>
      <c r="DF615" s="1032"/>
      <c r="DG615" s="1033"/>
      <c r="DH615" s="1031">
        <f t="shared" si="15"/>
        <v>0</v>
      </c>
      <c r="DI615" s="1032"/>
      <c r="DJ615" s="1032"/>
      <c r="DK615" s="1032"/>
      <c r="DL615" s="1033"/>
      <c r="DM615" s="1031">
        <f t="shared" si="16"/>
        <v>0</v>
      </c>
      <c r="DN615" s="1032"/>
      <c r="DO615" s="1032"/>
      <c r="DP615" s="1032"/>
      <c r="DQ615" s="1033"/>
      <c r="DR615" s="1031">
        <f t="shared" si="17"/>
        <v>0</v>
      </c>
      <c r="DS615" s="1032"/>
      <c r="DT615" s="1032"/>
      <c r="DU615" s="1032"/>
      <c r="DV615" s="1033"/>
    </row>
    <row r="616" spans="1:126" ht="12.95" customHeight="1">
      <c r="B616" t="s">
        <v>1334</v>
      </c>
      <c r="C616"/>
      <c r="H616" s="1020"/>
      <c r="I616" s="1020"/>
      <c r="J616" s="1020"/>
      <c r="K616" s="1020"/>
      <c r="L616" s="1020"/>
      <c r="M616" s="1020"/>
      <c r="N616" s="1020"/>
      <c r="O616" s="1020"/>
      <c r="P616" s="1020"/>
      <c r="Q616" s="1020"/>
      <c r="R616" s="1020"/>
      <c r="U616" t="s">
        <v>1334</v>
      </c>
      <c r="AA616" s="1020"/>
      <c r="AB616" s="1020"/>
      <c r="AC616" s="1020"/>
      <c r="AD616" s="1020"/>
      <c r="AE616" s="1020"/>
      <c r="AF616" s="1020"/>
      <c r="AG616" s="1020"/>
      <c r="AH616" s="1020"/>
      <c r="AI616" s="1020"/>
      <c r="AJ616" s="1020"/>
      <c r="AK616" s="1020"/>
      <c r="AZ616" s="37"/>
      <c r="BA616" s="37"/>
      <c r="BB616" s="37"/>
      <c r="BC616" s="37"/>
      <c r="BD616" s="37"/>
      <c r="BE616" s="1034">
        <f t="shared" si="10"/>
        <v>0</v>
      </c>
      <c r="BF616" s="1037"/>
      <c r="BG616" s="1034">
        <f t="shared" si="2"/>
        <v>0</v>
      </c>
      <c r="BH616" s="1037"/>
      <c r="BI616" s="1034">
        <f t="shared" si="11"/>
        <v>0</v>
      </c>
      <c r="BJ616" s="1037"/>
      <c r="BK616" s="1034">
        <f t="shared" si="3"/>
        <v>0</v>
      </c>
      <c r="BL616" s="1037"/>
      <c r="BN616" s="1034">
        <f t="shared" si="4"/>
        <v>0</v>
      </c>
      <c r="BO616" s="1035"/>
      <c r="BP616" s="1035"/>
      <c r="BQ616" s="1035"/>
      <c r="BR616" s="1036"/>
      <c r="BS616" s="1034">
        <f t="shared" si="5"/>
        <v>0</v>
      </c>
      <c r="BT616" s="1035"/>
      <c r="BU616" s="1035"/>
      <c r="BV616" s="1035"/>
      <c r="BW616" s="1037"/>
      <c r="BX616" s="1034">
        <f t="shared" si="6"/>
        <v>0</v>
      </c>
      <c r="BY616" s="1035"/>
      <c r="BZ616" s="1035"/>
      <c r="CA616" s="1035"/>
      <c r="CB616" s="1037"/>
      <c r="CC616" s="1034">
        <f t="shared" si="7"/>
        <v>0</v>
      </c>
      <c r="CD616" s="1035"/>
      <c r="CE616" s="1035"/>
      <c r="CF616" s="1035"/>
      <c r="CG616" s="1037"/>
      <c r="CH616" s="1034">
        <f t="shared" si="8"/>
        <v>0</v>
      </c>
      <c r="CI616" s="1035"/>
      <c r="CJ616" s="1035"/>
      <c r="CK616" s="1035"/>
      <c r="CL616" s="1037"/>
      <c r="CM616" s="1038">
        <f t="shared" si="9"/>
        <v>0</v>
      </c>
      <c r="CN616" s="1039"/>
      <c r="CO616" s="1039"/>
      <c r="CP616" s="1039"/>
      <c r="CQ616" s="1036"/>
      <c r="CS616" s="1031">
        <f t="shared" si="12"/>
        <v>0</v>
      </c>
      <c r="CT616" s="1032"/>
      <c r="CU616" s="1032"/>
      <c r="CV616" s="1032"/>
      <c r="CW616" s="1033"/>
      <c r="CX616" s="1031">
        <f t="shared" si="13"/>
        <v>0</v>
      </c>
      <c r="CY616" s="1032"/>
      <c r="CZ616" s="1032"/>
      <c r="DA616" s="1032"/>
      <c r="DB616" s="1033"/>
      <c r="DC616" s="1031">
        <f t="shared" si="14"/>
        <v>0</v>
      </c>
      <c r="DD616" s="1032"/>
      <c r="DE616" s="1032"/>
      <c r="DF616" s="1032"/>
      <c r="DG616" s="1033"/>
      <c r="DH616" s="1031">
        <f t="shared" si="15"/>
        <v>0</v>
      </c>
      <c r="DI616" s="1032"/>
      <c r="DJ616" s="1032"/>
      <c r="DK616" s="1032"/>
      <c r="DL616" s="1033"/>
      <c r="DM616" s="1031">
        <f t="shared" si="16"/>
        <v>0</v>
      </c>
      <c r="DN616" s="1032"/>
      <c r="DO616" s="1032"/>
      <c r="DP616" s="1032"/>
      <c r="DQ616" s="1033"/>
      <c r="DR616" s="1031">
        <f t="shared" si="17"/>
        <v>0</v>
      </c>
      <c r="DS616" s="1032"/>
      <c r="DT616" s="1032"/>
      <c r="DU616" s="1032"/>
      <c r="DV616" s="1033"/>
    </row>
    <row r="617" spans="1:126" ht="12.95" customHeight="1">
      <c r="B617" t="s">
        <v>1337</v>
      </c>
      <c r="C617"/>
      <c r="N617" s="1065" t="s">
        <v>708</v>
      </c>
      <c r="O617" s="1065"/>
      <c r="U617" t="s">
        <v>1337</v>
      </c>
      <c r="AG617" s="1065" t="s">
        <v>708</v>
      </c>
      <c r="AH617" s="1065"/>
      <c r="AZ617" s="37"/>
      <c r="BA617" s="37"/>
      <c r="BB617" s="37"/>
      <c r="BC617" s="37"/>
      <c r="BD617" s="37"/>
      <c r="BE617" s="1034">
        <f t="shared" si="10"/>
        <v>0</v>
      </c>
      <c r="BF617" s="1037"/>
      <c r="BG617" s="1034">
        <f t="shared" si="2"/>
        <v>0</v>
      </c>
      <c r="BH617" s="1037"/>
      <c r="BI617" s="1034">
        <f t="shared" si="11"/>
        <v>0</v>
      </c>
      <c r="BJ617" s="1037"/>
      <c r="BK617" s="1034">
        <f t="shared" si="3"/>
        <v>0</v>
      </c>
      <c r="BL617" s="1037"/>
      <c r="BN617" s="1034">
        <f t="shared" si="4"/>
        <v>0</v>
      </c>
      <c r="BO617" s="1035"/>
      <c r="BP617" s="1035"/>
      <c r="BQ617" s="1035"/>
      <c r="BR617" s="1036"/>
      <c r="BS617" s="1034">
        <f t="shared" si="5"/>
        <v>0</v>
      </c>
      <c r="BT617" s="1035"/>
      <c r="BU617" s="1035"/>
      <c r="BV617" s="1035"/>
      <c r="BW617" s="1037"/>
      <c r="BX617" s="1034">
        <f t="shared" si="6"/>
        <v>0</v>
      </c>
      <c r="BY617" s="1035"/>
      <c r="BZ617" s="1035"/>
      <c r="CA617" s="1035"/>
      <c r="CB617" s="1037"/>
      <c r="CC617" s="1034">
        <f t="shared" si="7"/>
        <v>0</v>
      </c>
      <c r="CD617" s="1035"/>
      <c r="CE617" s="1035"/>
      <c r="CF617" s="1035"/>
      <c r="CG617" s="1037"/>
      <c r="CH617" s="1034">
        <f t="shared" si="8"/>
        <v>0</v>
      </c>
      <c r="CI617" s="1035"/>
      <c r="CJ617" s="1035"/>
      <c r="CK617" s="1035"/>
      <c r="CL617" s="1037"/>
      <c r="CM617" s="1038">
        <f t="shared" si="9"/>
        <v>0</v>
      </c>
      <c r="CN617" s="1039"/>
      <c r="CO617" s="1039"/>
      <c r="CP617" s="1039"/>
      <c r="CQ617" s="1036"/>
      <c r="CS617" s="1031">
        <f t="shared" si="12"/>
        <v>0</v>
      </c>
      <c r="CT617" s="1032"/>
      <c r="CU617" s="1032"/>
      <c r="CV617" s="1032"/>
      <c r="CW617" s="1033"/>
      <c r="CX617" s="1031">
        <f t="shared" si="13"/>
        <v>0</v>
      </c>
      <c r="CY617" s="1032"/>
      <c r="CZ617" s="1032"/>
      <c r="DA617" s="1032"/>
      <c r="DB617" s="1033"/>
      <c r="DC617" s="1031">
        <f t="shared" si="14"/>
        <v>0</v>
      </c>
      <c r="DD617" s="1032"/>
      <c r="DE617" s="1032"/>
      <c r="DF617" s="1032"/>
      <c r="DG617" s="1033"/>
      <c r="DH617" s="1031">
        <f t="shared" si="15"/>
        <v>0</v>
      </c>
      <c r="DI617" s="1032"/>
      <c r="DJ617" s="1032"/>
      <c r="DK617" s="1032"/>
      <c r="DL617" s="1033"/>
      <c r="DM617" s="1031">
        <f t="shared" si="16"/>
        <v>0</v>
      </c>
      <c r="DN617" s="1032"/>
      <c r="DO617" s="1032"/>
      <c r="DP617" s="1032"/>
      <c r="DQ617" s="1033"/>
      <c r="DR617" s="1031">
        <f t="shared" si="17"/>
        <v>0</v>
      </c>
      <c r="DS617" s="1032"/>
      <c r="DT617" s="1032"/>
      <c r="DU617" s="1032"/>
      <c r="DV617" s="1033"/>
    </row>
    <row r="618" spans="1:126" ht="12.95" customHeight="1">
      <c r="C618"/>
      <c r="AZ618" s="37"/>
      <c r="BA618" s="37"/>
      <c r="BB618" s="37"/>
      <c r="BC618" s="37"/>
      <c r="BD618" s="37"/>
      <c r="BE618" s="1034">
        <f t="shared" si="10"/>
        <v>0</v>
      </c>
      <c r="BF618" s="1037"/>
      <c r="BG618" s="1034">
        <f t="shared" si="2"/>
        <v>0</v>
      </c>
      <c r="BH618" s="1037"/>
      <c r="BI618" s="1034">
        <f t="shared" si="11"/>
        <v>0</v>
      </c>
      <c r="BJ618" s="1037"/>
      <c r="BK618" s="1034">
        <f t="shared" si="3"/>
        <v>0</v>
      </c>
      <c r="BL618" s="1037"/>
      <c r="BN618" s="1034">
        <f t="shared" si="4"/>
        <v>0</v>
      </c>
      <c r="BO618" s="1035"/>
      <c r="BP618" s="1035"/>
      <c r="BQ618" s="1035"/>
      <c r="BR618" s="1036"/>
      <c r="BS618" s="1034">
        <f t="shared" si="5"/>
        <v>0</v>
      </c>
      <c r="BT618" s="1035"/>
      <c r="BU618" s="1035"/>
      <c r="BV618" s="1035"/>
      <c r="BW618" s="1037"/>
      <c r="BX618" s="1034">
        <f t="shared" si="6"/>
        <v>0</v>
      </c>
      <c r="BY618" s="1035"/>
      <c r="BZ618" s="1035"/>
      <c r="CA618" s="1035"/>
      <c r="CB618" s="1037"/>
      <c r="CC618" s="1034">
        <f t="shared" si="7"/>
        <v>0</v>
      </c>
      <c r="CD618" s="1035"/>
      <c r="CE618" s="1035"/>
      <c r="CF618" s="1035"/>
      <c r="CG618" s="1037"/>
      <c r="CH618" s="1034">
        <f t="shared" si="8"/>
        <v>0</v>
      </c>
      <c r="CI618" s="1035"/>
      <c r="CJ618" s="1035"/>
      <c r="CK618" s="1035"/>
      <c r="CL618" s="1037"/>
      <c r="CM618" s="1038">
        <f t="shared" si="9"/>
        <v>0</v>
      </c>
      <c r="CN618" s="1039"/>
      <c r="CO618" s="1039"/>
      <c r="CP618" s="1039"/>
      <c r="CQ618" s="1036"/>
      <c r="CS618" s="1031">
        <f t="shared" si="12"/>
        <v>0</v>
      </c>
      <c r="CT618" s="1032"/>
      <c r="CU618" s="1032"/>
      <c r="CV618" s="1032"/>
      <c r="CW618" s="1033"/>
      <c r="CX618" s="1031">
        <f t="shared" si="13"/>
        <v>0</v>
      </c>
      <c r="CY618" s="1032"/>
      <c r="CZ618" s="1032"/>
      <c r="DA618" s="1032"/>
      <c r="DB618" s="1033"/>
      <c r="DC618" s="1031">
        <f t="shared" si="14"/>
        <v>0</v>
      </c>
      <c r="DD618" s="1032"/>
      <c r="DE618" s="1032"/>
      <c r="DF618" s="1032"/>
      <c r="DG618" s="1033"/>
      <c r="DH618" s="1031">
        <f t="shared" si="15"/>
        <v>0</v>
      </c>
      <c r="DI618" s="1032"/>
      <c r="DJ618" s="1032"/>
      <c r="DK618" s="1032"/>
      <c r="DL618" s="1033"/>
      <c r="DM618" s="1031">
        <f t="shared" si="16"/>
        <v>0</v>
      </c>
      <c r="DN618" s="1032"/>
      <c r="DO618" s="1032"/>
      <c r="DP618" s="1032"/>
      <c r="DQ618" s="1033"/>
      <c r="DR618" s="1031">
        <f t="shared" si="17"/>
        <v>0</v>
      </c>
      <c r="DS618" s="1032"/>
      <c r="DT618" s="1032"/>
      <c r="DU618" s="1032"/>
      <c r="DV618" s="1033"/>
    </row>
    <row r="619" spans="1:126" ht="12.95" customHeight="1">
      <c r="A619" s="938" t="s">
        <v>1353</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4">
        <f t="shared" si="10"/>
        <v>0</v>
      </c>
      <c r="BF619" s="1037"/>
      <c r="BG619" s="1034">
        <f t="shared" si="2"/>
        <v>0</v>
      </c>
      <c r="BH619" s="1037"/>
      <c r="BI619" s="1034">
        <f t="shared" si="11"/>
        <v>0</v>
      </c>
      <c r="BJ619" s="1037"/>
      <c r="BK619" s="1034">
        <f t="shared" si="3"/>
        <v>0</v>
      </c>
      <c r="BL619" s="1037"/>
      <c r="BN619" s="1034">
        <f t="shared" si="4"/>
        <v>0</v>
      </c>
      <c r="BO619" s="1035"/>
      <c r="BP619" s="1035"/>
      <c r="BQ619" s="1035"/>
      <c r="BR619" s="1036"/>
      <c r="BS619" s="1034">
        <f t="shared" si="5"/>
        <v>0</v>
      </c>
      <c r="BT619" s="1035"/>
      <c r="BU619" s="1035"/>
      <c r="BV619" s="1035"/>
      <c r="BW619" s="1037"/>
      <c r="BX619" s="1034">
        <f t="shared" si="6"/>
        <v>0</v>
      </c>
      <c r="BY619" s="1035"/>
      <c r="BZ619" s="1035"/>
      <c r="CA619" s="1035"/>
      <c r="CB619" s="1037"/>
      <c r="CC619" s="1034">
        <f t="shared" si="7"/>
        <v>0</v>
      </c>
      <c r="CD619" s="1035"/>
      <c r="CE619" s="1035"/>
      <c r="CF619" s="1035"/>
      <c r="CG619" s="1037"/>
      <c r="CH619" s="1034">
        <f t="shared" si="8"/>
        <v>0</v>
      </c>
      <c r="CI619" s="1035"/>
      <c r="CJ619" s="1035"/>
      <c r="CK619" s="1035"/>
      <c r="CL619" s="1037"/>
      <c r="CM619" s="1038">
        <f t="shared" si="9"/>
        <v>0</v>
      </c>
      <c r="CN619" s="1039"/>
      <c r="CO619" s="1039"/>
      <c r="CP619" s="1039"/>
      <c r="CQ619" s="1036"/>
      <c r="CS619" s="1031">
        <f t="shared" si="12"/>
        <v>0</v>
      </c>
      <c r="CT619" s="1032"/>
      <c r="CU619" s="1032"/>
      <c r="CV619" s="1032"/>
      <c r="CW619" s="1033"/>
      <c r="CX619" s="1031">
        <f t="shared" si="13"/>
        <v>0</v>
      </c>
      <c r="CY619" s="1032"/>
      <c r="CZ619" s="1032"/>
      <c r="DA619" s="1032"/>
      <c r="DB619" s="1033"/>
      <c r="DC619" s="1031">
        <f t="shared" si="14"/>
        <v>0</v>
      </c>
      <c r="DD619" s="1032"/>
      <c r="DE619" s="1032"/>
      <c r="DF619" s="1032"/>
      <c r="DG619" s="1033"/>
      <c r="DH619" s="1031">
        <f t="shared" si="15"/>
        <v>0</v>
      </c>
      <c r="DI619" s="1032"/>
      <c r="DJ619" s="1032"/>
      <c r="DK619" s="1032"/>
      <c r="DL619" s="1033"/>
      <c r="DM619" s="1031">
        <f t="shared" si="16"/>
        <v>0</v>
      </c>
      <c r="DN619" s="1032"/>
      <c r="DO619" s="1032"/>
      <c r="DP619" s="1032"/>
      <c r="DQ619" s="1033"/>
      <c r="DR619" s="1031">
        <f t="shared" si="17"/>
        <v>0</v>
      </c>
      <c r="DS619" s="1032"/>
      <c r="DT619" s="1032"/>
      <c r="DU619" s="1032"/>
      <c r="DV619" s="1033"/>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4">
        <f t="shared" si="10"/>
        <v>0</v>
      </c>
      <c r="BF620" s="1037"/>
      <c r="BG620" s="1034">
        <f t="shared" si="2"/>
        <v>0</v>
      </c>
      <c r="BH620" s="1037"/>
      <c r="BI620" s="1034">
        <f t="shared" si="11"/>
        <v>0</v>
      </c>
      <c r="BJ620" s="1037"/>
      <c r="BK620" s="1034">
        <f t="shared" si="3"/>
        <v>0</v>
      </c>
      <c r="BL620" s="1037"/>
      <c r="BN620" s="1034">
        <f t="shared" si="4"/>
        <v>0</v>
      </c>
      <c r="BO620" s="1035"/>
      <c r="BP620" s="1035"/>
      <c r="BQ620" s="1035"/>
      <c r="BR620" s="1036"/>
      <c r="BS620" s="1034">
        <f t="shared" si="5"/>
        <v>0</v>
      </c>
      <c r="BT620" s="1035"/>
      <c r="BU620" s="1035"/>
      <c r="BV620" s="1035"/>
      <c r="BW620" s="1037"/>
      <c r="BX620" s="1034">
        <f t="shared" si="6"/>
        <v>0</v>
      </c>
      <c r="BY620" s="1035"/>
      <c r="BZ620" s="1035"/>
      <c r="CA620" s="1035"/>
      <c r="CB620" s="1037"/>
      <c r="CC620" s="1034">
        <f t="shared" si="7"/>
        <v>0</v>
      </c>
      <c r="CD620" s="1035"/>
      <c r="CE620" s="1035"/>
      <c r="CF620" s="1035"/>
      <c r="CG620" s="1037"/>
      <c r="CH620" s="1034">
        <f t="shared" si="8"/>
        <v>0</v>
      </c>
      <c r="CI620" s="1035"/>
      <c r="CJ620" s="1035"/>
      <c r="CK620" s="1035"/>
      <c r="CL620" s="1037"/>
      <c r="CM620" s="1038">
        <f t="shared" si="9"/>
        <v>0</v>
      </c>
      <c r="CN620" s="1039"/>
      <c r="CO620" s="1039"/>
      <c r="CP620" s="1039"/>
      <c r="CQ620" s="1036"/>
      <c r="CS620" s="1031">
        <f t="shared" si="12"/>
        <v>0</v>
      </c>
      <c r="CT620" s="1032"/>
      <c r="CU620" s="1032"/>
      <c r="CV620" s="1032"/>
      <c r="CW620" s="1033"/>
      <c r="CX620" s="1031">
        <f t="shared" si="13"/>
        <v>0</v>
      </c>
      <c r="CY620" s="1032"/>
      <c r="CZ620" s="1032"/>
      <c r="DA620" s="1032"/>
      <c r="DB620" s="1033"/>
      <c r="DC620" s="1031">
        <f t="shared" si="14"/>
        <v>0</v>
      </c>
      <c r="DD620" s="1032"/>
      <c r="DE620" s="1032"/>
      <c r="DF620" s="1032"/>
      <c r="DG620" s="1033"/>
      <c r="DH620" s="1031">
        <f t="shared" si="15"/>
        <v>0</v>
      </c>
      <c r="DI620" s="1032"/>
      <c r="DJ620" s="1032"/>
      <c r="DK620" s="1032"/>
      <c r="DL620" s="1033"/>
      <c r="DM620" s="1031">
        <f t="shared" si="16"/>
        <v>0</v>
      </c>
      <c r="DN620" s="1032"/>
      <c r="DO620" s="1032"/>
      <c r="DP620" s="1032"/>
      <c r="DQ620" s="1033"/>
      <c r="DR620" s="1031">
        <f t="shared" si="17"/>
        <v>0</v>
      </c>
      <c r="DS620" s="1032"/>
      <c r="DT620" s="1032"/>
      <c r="DU620" s="1032"/>
      <c r="DV620" s="1033"/>
    </row>
    <row r="621" spans="1:126" ht="12.95" customHeight="1">
      <c r="C621"/>
      <c r="AZ621" s="37"/>
      <c r="BA621" s="37"/>
      <c r="BB621" s="37"/>
      <c r="BC621" s="37"/>
      <c r="BD621" s="37"/>
      <c r="BE621" s="1034">
        <f t="shared" si="10"/>
        <v>0</v>
      </c>
      <c r="BF621" s="1037"/>
      <c r="BG621" s="1034">
        <f t="shared" si="2"/>
        <v>0</v>
      </c>
      <c r="BH621" s="1037"/>
      <c r="BI621" s="1034">
        <f t="shared" si="11"/>
        <v>0</v>
      </c>
      <c r="BJ621" s="1037"/>
      <c r="BK621" s="1034">
        <f t="shared" si="3"/>
        <v>0</v>
      </c>
      <c r="BL621" s="1037"/>
      <c r="BN621" s="1034">
        <f t="shared" si="4"/>
        <v>0</v>
      </c>
      <c r="BO621" s="1035"/>
      <c r="BP621" s="1035"/>
      <c r="BQ621" s="1035"/>
      <c r="BR621" s="1036"/>
      <c r="BS621" s="1034">
        <f t="shared" si="5"/>
        <v>0</v>
      </c>
      <c r="BT621" s="1035"/>
      <c r="BU621" s="1035"/>
      <c r="BV621" s="1035"/>
      <c r="BW621" s="1037"/>
      <c r="BX621" s="1034">
        <f t="shared" si="6"/>
        <v>0</v>
      </c>
      <c r="BY621" s="1035"/>
      <c r="BZ621" s="1035"/>
      <c r="CA621" s="1035"/>
      <c r="CB621" s="1037"/>
      <c r="CC621" s="1034">
        <f t="shared" si="7"/>
        <v>0</v>
      </c>
      <c r="CD621" s="1035"/>
      <c r="CE621" s="1035"/>
      <c r="CF621" s="1035"/>
      <c r="CG621" s="1037"/>
      <c r="CH621" s="1034">
        <f t="shared" si="8"/>
        <v>0</v>
      </c>
      <c r="CI621" s="1035"/>
      <c r="CJ621" s="1035"/>
      <c r="CK621" s="1035"/>
      <c r="CL621" s="1037"/>
      <c r="CM621" s="1038">
        <f t="shared" si="9"/>
        <v>0</v>
      </c>
      <c r="CN621" s="1039"/>
      <c r="CO621" s="1039"/>
      <c r="CP621" s="1039"/>
      <c r="CQ621" s="1036"/>
      <c r="CS621" s="1031">
        <f t="shared" si="12"/>
        <v>0</v>
      </c>
      <c r="CT621" s="1032"/>
      <c r="CU621" s="1032"/>
      <c r="CV621" s="1032"/>
      <c r="CW621" s="1033"/>
      <c r="CX621" s="1031">
        <f t="shared" si="13"/>
        <v>0</v>
      </c>
      <c r="CY621" s="1032"/>
      <c r="CZ621" s="1032"/>
      <c r="DA621" s="1032"/>
      <c r="DB621" s="1033"/>
      <c r="DC621" s="1031">
        <f t="shared" si="14"/>
        <v>0</v>
      </c>
      <c r="DD621" s="1032"/>
      <c r="DE621" s="1032"/>
      <c r="DF621" s="1032"/>
      <c r="DG621" s="1033"/>
      <c r="DH621" s="1031">
        <f t="shared" si="15"/>
        <v>0</v>
      </c>
      <c r="DI621" s="1032"/>
      <c r="DJ621" s="1032"/>
      <c r="DK621" s="1032"/>
      <c r="DL621" s="1033"/>
      <c r="DM621" s="1031">
        <f t="shared" si="16"/>
        <v>0</v>
      </c>
      <c r="DN621" s="1032"/>
      <c r="DO621" s="1032"/>
      <c r="DP621" s="1032"/>
      <c r="DQ621" s="1033"/>
      <c r="DR621" s="1031">
        <f t="shared" si="17"/>
        <v>0</v>
      </c>
      <c r="DS621" s="1032"/>
      <c r="DT621" s="1032"/>
      <c r="DU621" s="1032"/>
      <c r="DV621" s="1033"/>
    </row>
    <row r="622" spans="1:126" ht="12.95" customHeight="1">
      <c r="A622" s="3" t="s">
        <v>793</v>
      </c>
      <c r="B622" s="3"/>
      <c r="C622" s="3" t="s">
        <v>185</v>
      </c>
      <c r="AZ622" s="37"/>
      <c r="BA622" s="37"/>
      <c r="BB622" s="37"/>
      <c r="BC622" s="37"/>
      <c r="BD622" s="37"/>
      <c r="BE622" s="1034">
        <f t="shared" si="10"/>
        <v>0</v>
      </c>
      <c r="BF622" s="1037"/>
      <c r="BG622" s="1034">
        <f t="shared" si="2"/>
        <v>0</v>
      </c>
      <c r="BH622" s="1037"/>
      <c r="BI622" s="1034">
        <f t="shared" si="11"/>
        <v>0</v>
      </c>
      <c r="BJ622" s="1037"/>
      <c r="BK622" s="1034">
        <f t="shared" si="3"/>
        <v>0</v>
      </c>
      <c r="BL622" s="1037"/>
      <c r="BN622" s="1034">
        <f t="shared" si="4"/>
        <v>0</v>
      </c>
      <c r="BO622" s="1035"/>
      <c r="BP622" s="1035"/>
      <c r="BQ622" s="1035"/>
      <c r="BR622" s="1036"/>
      <c r="BS622" s="1034">
        <f t="shared" si="5"/>
        <v>0</v>
      </c>
      <c r="BT622" s="1035"/>
      <c r="BU622" s="1035"/>
      <c r="BV622" s="1035"/>
      <c r="BW622" s="1037"/>
      <c r="BX622" s="1034">
        <f t="shared" si="6"/>
        <v>0</v>
      </c>
      <c r="BY622" s="1035"/>
      <c r="BZ622" s="1035"/>
      <c r="CA622" s="1035"/>
      <c r="CB622" s="1037"/>
      <c r="CC622" s="1034">
        <f t="shared" si="7"/>
        <v>0</v>
      </c>
      <c r="CD622" s="1035"/>
      <c r="CE622" s="1035"/>
      <c r="CF622" s="1035"/>
      <c r="CG622" s="1037"/>
      <c r="CH622" s="1034">
        <f t="shared" si="8"/>
        <v>0</v>
      </c>
      <c r="CI622" s="1035"/>
      <c r="CJ622" s="1035"/>
      <c r="CK622" s="1035"/>
      <c r="CL622" s="1037"/>
      <c r="CM622" s="1038">
        <f t="shared" si="9"/>
        <v>0</v>
      </c>
      <c r="CN622" s="1039"/>
      <c r="CO622" s="1039"/>
      <c r="CP622" s="1039"/>
      <c r="CQ622" s="1036"/>
      <c r="CS622" s="1031">
        <f t="shared" si="12"/>
        <v>0</v>
      </c>
      <c r="CT622" s="1032"/>
      <c r="CU622" s="1032"/>
      <c r="CV622" s="1032"/>
      <c r="CW622" s="1033"/>
      <c r="CX622" s="1031">
        <f t="shared" si="13"/>
        <v>0</v>
      </c>
      <c r="CY622" s="1032"/>
      <c r="CZ622" s="1032"/>
      <c r="DA622" s="1032"/>
      <c r="DB622" s="1033"/>
      <c r="DC622" s="1031">
        <f t="shared" si="14"/>
        <v>0</v>
      </c>
      <c r="DD622" s="1032"/>
      <c r="DE622" s="1032"/>
      <c r="DF622" s="1032"/>
      <c r="DG622" s="1033"/>
      <c r="DH622" s="1031">
        <f t="shared" si="15"/>
        <v>0</v>
      </c>
      <c r="DI622" s="1032"/>
      <c r="DJ622" s="1032"/>
      <c r="DK622" s="1032"/>
      <c r="DL622" s="1033"/>
      <c r="DM622" s="1031">
        <f t="shared" si="16"/>
        <v>0</v>
      </c>
      <c r="DN622" s="1032"/>
      <c r="DO622" s="1032"/>
      <c r="DP622" s="1032"/>
      <c r="DQ622" s="1033"/>
      <c r="DR622" s="1031">
        <f t="shared" si="17"/>
        <v>0</v>
      </c>
      <c r="DS622" s="1032"/>
      <c r="DT622" s="1032"/>
      <c r="DU622" s="1032"/>
      <c r="DV622" s="1033"/>
    </row>
    <row r="623" spans="1:126" ht="12.95" customHeight="1">
      <c r="A623" s="3"/>
      <c r="B623" s="3"/>
      <c r="C623" s="3"/>
      <c r="AZ623" s="37"/>
      <c r="BA623" s="37"/>
      <c r="BB623" s="37"/>
      <c r="BC623" s="37"/>
      <c r="BD623" s="37"/>
      <c r="BE623" s="1034">
        <f t="shared" si="10"/>
        <v>0</v>
      </c>
      <c r="BF623" s="1037"/>
      <c r="BG623" s="1034">
        <f t="shared" si="2"/>
        <v>0</v>
      </c>
      <c r="BH623" s="1037"/>
      <c r="BI623" s="1034">
        <f t="shared" si="11"/>
        <v>0</v>
      </c>
      <c r="BJ623" s="1037"/>
      <c r="BK623" s="1034">
        <f t="shared" si="3"/>
        <v>0</v>
      </c>
      <c r="BL623" s="1037"/>
      <c r="BN623" s="1034">
        <f t="shared" si="4"/>
        <v>0</v>
      </c>
      <c r="BO623" s="1035"/>
      <c r="BP623" s="1035"/>
      <c r="BQ623" s="1035"/>
      <c r="BR623" s="1036"/>
      <c r="BS623" s="1034">
        <f t="shared" si="5"/>
        <v>0</v>
      </c>
      <c r="BT623" s="1035"/>
      <c r="BU623" s="1035"/>
      <c r="BV623" s="1035"/>
      <c r="BW623" s="1037"/>
      <c r="BX623" s="1034">
        <f t="shared" si="6"/>
        <v>0</v>
      </c>
      <c r="BY623" s="1035"/>
      <c r="BZ623" s="1035"/>
      <c r="CA623" s="1035"/>
      <c r="CB623" s="1037"/>
      <c r="CC623" s="1034">
        <f t="shared" si="7"/>
        <v>0</v>
      </c>
      <c r="CD623" s="1035"/>
      <c r="CE623" s="1035"/>
      <c r="CF623" s="1035"/>
      <c r="CG623" s="1037"/>
      <c r="CH623" s="1034">
        <f t="shared" si="8"/>
        <v>0</v>
      </c>
      <c r="CI623" s="1035"/>
      <c r="CJ623" s="1035"/>
      <c r="CK623" s="1035"/>
      <c r="CL623" s="1037"/>
      <c r="CM623" s="1038">
        <f t="shared" si="9"/>
        <v>0</v>
      </c>
      <c r="CN623" s="1039"/>
      <c r="CO623" s="1039"/>
      <c r="CP623" s="1039"/>
      <c r="CQ623" s="1036"/>
      <c r="CS623" s="1031">
        <f t="shared" si="12"/>
        <v>0</v>
      </c>
      <c r="CT623" s="1032"/>
      <c r="CU623" s="1032"/>
      <c r="CV623" s="1032"/>
      <c r="CW623" s="1033"/>
      <c r="CX623" s="1031">
        <f t="shared" si="13"/>
        <v>0</v>
      </c>
      <c r="CY623" s="1032"/>
      <c r="CZ623" s="1032"/>
      <c r="DA623" s="1032"/>
      <c r="DB623" s="1033"/>
      <c r="DC623" s="1031">
        <f t="shared" si="14"/>
        <v>0</v>
      </c>
      <c r="DD623" s="1032"/>
      <c r="DE623" s="1032"/>
      <c r="DF623" s="1032"/>
      <c r="DG623" s="1033"/>
      <c r="DH623" s="1031">
        <f t="shared" si="15"/>
        <v>0</v>
      </c>
      <c r="DI623" s="1032"/>
      <c r="DJ623" s="1032"/>
      <c r="DK623" s="1032"/>
      <c r="DL623" s="1033"/>
      <c r="DM623" s="1031">
        <f t="shared" si="16"/>
        <v>0</v>
      </c>
      <c r="DN623" s="1032"/>
      <c r="DO623" s="1032"/>
      <c r="DP623" s="1032"/>
      <c r="DQ623" s="1033"/>
      <c r="DR623" s="1031">
        <f t="shared" si="17"/>
        <v>0</v>
      </c>
      <c r="DS623" s="1032"/>
      <c r="DT623" s="1032"/>
      <c r="DU623" s="1032"/>
      <c r="DV623" s="1033"/>
    </row>
    <row r="624" spans="1:126" ht="12.95" customHeight="1">
      <c r="C624" s="3" t="s">
        <v>1302</v>
      </c>
      <c r="AZ624" s="37"/>
      <c r="BA624" s="37"/>
      <c r="BB624" s="37"/>
      <c r="BC624" s="37"/>
      <c r="BD624" s="37"/>
      <c r="BE624" s="1034">
        <f t="shared" ref="BE624:BE633" si="18">IF(AND(AH727&lt;=0.5,AH727&gt;=0.36),1,0)</f>
        <v>0</v>
      </c>
      <c r="BF624" s="1037"/>
      <c r="BG624" s="1034">
        <f t="shared" ref="BG624:BG633" si="19">IF(BE624=1,G727,0)</f>
        <v>0</v>
      </c>
      <c r="BH624" s="1037"/>
      <c r="BI624" s="1034">
        <f t="shared" ref="BI624:BI633" si="20">IF(AND(AH727&lt;=0.35,AH727&gt;0),1,0)</f>
        <v>0</v>
      </c>
      <c r="BJ624" s="1037"/>
      <c r="BK624" s="1034">
        <f t="shared" ref="BK624:BK633" si="21">IF(BI624=1,G727,0)</f>
        <v>0</v>
      </c>
      <c r="BL624" s="1037"/>
      <c r="BN624" s="1034">
        <f t="shared" si="4"/>
        <v>0</v>
      </c>
      <c r="BO624" s="1035"/>
      <c r="BP624" s="1035"/>
      <c r="BQ624" s="1035"/>
      <c r="BR624" s="1036"/>
      <c r="BS624" s="1034">
        <f t="shared" si="5"/>
        <v>0</v>
      </c>
      <c r="BT624" s="1035"/>
      <c r="BU624" s="1035"/>
      <c r="BV624" s="1035"/>
      <c r="BW624" s="1037"/>
      <c r="BX624" s="1034">
        <f t="shared" si="6"/>
        <v>0</v>
      </c>
      <c r="BY624" s="1035"/>
      <c r="BZ624" s="1035"/>
      <c r="CA624" s="1035"/>
      <c r="CB624" s="1037"/>
      <c r="CC624" s="1034">
        <f t="shared" si="7"/>
        <v>0</v>
      </c>
      <c r="CD624" s="1035"/>
      <c r="CE624" s="1035"/>
      <c r="CF624" s="1035"/>
      <c r="CG624" s="1037"/>
      <c r="CH624" s="1034">
        <f t="shared" si="8"/>
        <v>0</v>
      </c>
      <c r="CI624" s="1035"/>
      <c r="CJ624" s="1035"/>
      <c r="CK624" s="1035"/>
      <c r="CL624" s="1037"/>
      <c r="CM624" s="1038">
        <f t="shared" si="9"/>
        <v>0</v>
      </c>
      <c r="CN624" s="1039"/>
      <c r="CO624" s="1039"/>
      <c r="CP624" s="1039"/>
      <c r="CQ624" s="1036"/>
      <c r="CS624" s="1031">
        <f t="shared" ref="CS624:CS633" si="22">IF(AND(B727="SRO/Studio",AH727&lt;=0.3),G727,0)</f>
        <v>0</v>
      </c>
      <c r="CT624" s="1032"/>
      <c r="CU624" s="1032"/>
      <c r="CV624" s="1032"/>
      <c r="CW624" s="1033"/>
      <c r="CX624" s="1031">
        <f t="shared" ref="CX624:CX633" si="23">IF(AND(B727="1 Bedroom",AH727&lt;=0.3),G727,0)</f>
        <v>0</v>
      </c>
      <c r="CY624" s="1032"/>
      <c r="CZ624" s="1032"/>
      <c r="DA624" s="1032"/>
      <c r="DB624" s="1033"/>
      <c r="DC624" s="1031">
        <f t="shared" ref="DC624:DC633" si="24">IF(AND(B727="2 Bedrooms",AH727&lt;=0.3),G727,0)</f>
        <v>0</v>
      </c>
      <c r="DD624" s="1032"/>
      <c r="DE624" s="1032"/>
      <c r="DF624" s="1032"/>
      <c r="DG624" s="1033"/>
      <c r="DH624" s="1031">
        <f t="shared" ref="DH624:DH633" si="25">IF(AND(B727="3 Bedrooms",AH727&lt;=0.3),G727,0)</f>
        <v>0</v>
      </c>
      <c r="DI624" s="1032"/>
      <c r="DJ624" s="1032"/>
      <c r="DK624" s="1032"/>
      <c r="DL624" s="1033"/>
      <c r="DM624" s="1031">
        <f t="shared" ref="DM624:DM633" si="26">IF(AND(B727="4 Bedrooms",AH727&lt;=0.3),G727,0)</f>
        <v>0</v>
      </c>
      <c r="DN624" s="1032"/>
      <c r="DO624" s="1032"/>
      <c r="DP624" s="1032"/>
      <c r="DQ624" s="1033"/>
      <c r="DR624" s="1031">
        <f t="shared" ref="DR624:DR633" si="27">IF(AND(B727="5 Bedrooms",AH727&lt;=0.3),G727,0)</f>
        <v>0</v>
      </c>
      <c r="DS624" s="1032"/>
      <c r="DT624" s="1032"/>
      <c r="DU624" s="1032"/>
      <c r="DV624" s="1033"/>
    </row>
    <row r="625" spans="2:126" ht="12.95" customHeight="1">
      <c r="B625" s="731"/>
      <c r="C625" s="3"/>
      <c r="AZ625" s="37"/>
      <c r="BA625" s="37"/>
      <c r="BB625" s="37"/>
      <c r="BC625" s="37"/>
      <c r="BD625" s="37"/>
      <c r="BE625" s="1034">
        <f t="shared" si="18"/>
        <v>0</v>
      </c>
      <c r="BF625" s="1037"/>
      <c r="BG625" s="1034">
        <f t="shared" si="19"/>
        <v>0</v>
      </c>
      <c r="BH625" s="1037"/>
      <c r="BI625" s="1034">
        <f t="shared" si="20"/>
        <v>0</v>
      </c>
      <c r="BJ625" s="1037"/>
      <c r="BK625" s="1034">
        <f t="shared" si="21"/>
        <v>0</v>
      </c>
      <c r="BL625" s="1037"/>
      <c r="BN625" s="1034">
        <f t="shared" si="4"/>
        <v>0</v>
      </c>
      <c r="BO625" s="1035"/>
      <c r="BP625" s="1035"/>
      <c r="BQ625" s="1035"/>
      <c r="BR625" s="1036"/>
      <c r="BS625" s="1034">
        <f t="shared" si="5"/>
        <v>0</v>
      </c>
      <c r="BT625" s="1035"/>
      <c r="BU625" s="1035"/>
      <c r="BV625" s="1035"/>
      <c r="BW625" s="1037"/>
      <c r="BX625" s="1034">
        <f t="shared" si="6"/>
        <v>0</v>
      </c>
      <c r="BY625" s="1035"/>
      <c r="BZ625" s="1035"/>
      <c r="CA625" s="1035"/>
      <c r="CB625" s="1037"/>
      <c r="CC625" s="1034">
        <f t="shared" si="7"/>
        <v>0</v>
      </c>
      <c r="CD625" s="1035"/>
      <c r="CE625" s="1035"/>
      <c r="CF625" s="1035"/>
      <c r="CG625" s="1037"/>
      <c r="CH625" s="1034">
        <f t="shared" si="8"/>
        <v>0</v>
      </c>
      <c r="CI625" s="1035"/>
      <c r="CJ625" s="1035"/>
      <c r="CK625" s="1035"/>
      <c r="CL625" s="1037"/>
      <c r="CM625" s="1038">
        <f t="shared" si="9"/>
        <v>0</v>
      </c>
      <c r="CN625" s="1039"/>
      <c r="CO625" s="1039"/>
      <c r="CP625" s="1039"/>
      <c r="CQ625" s="1036"/>
      <c r="CS625" s="1031">
        <f t="shared" si="22"/>
        <v>0</v>
      </c>
      <c r="CT625" s="1032"/>
      <c r="CU625" s="1032"/>
      <c r="CV625" s="1032"/>
      <c r="CW625" s="1033"/>
      <c r="CX625" s="1031">
        <f t="shared" si="23"/>
        <v>0</v>
      </c>
      <c r="CY625" s="1032"/>
      <c r="CZ625" s="1032"/>
      <c r="DA625" s="1032"/>
      <c r="DB625" s="1033"/>
      <c r="DC625" s="1031">
        <f t="shared" si="24"/>
        <v>0</v>
      </c>
      <c r="DD625" s="1032"/>
      <c r="DE625" s="1032"/>
      <c r="DF625" s="1032"/>
      <c r="DG625" s="1033"/>
      <c r="DH625" s="1031">
        <f t="shared" si="25"/>
        <v>0</v>
      </c>
      <c r="DI625" s="1032"/>
      <c r="DJ625" s="1032"/>
      <c r="DK625" s="1032"/>
      <c r="DL625" s="1033"/>
      <c r="DM625" s="1031">
        <f t="shared" si="26"/>
        <v>0</v>
      </c>
      <c r="DN625" s="1032"/>
      <c r="DO625" s="1032"/>
      <c r="DP625" s="1032"/>
      <c r="DQ625" s="1033"/>
      <c r="DR625" s="1031">
        <f t="shared" si="27"/>
        <v>0</v>
      </c>
      <c r="DS625" s="1032"/>
      <c r="DT625" s="1032"/>
      <c r="DU625" s="1032"/>
      <c r="DV625" s="1033"/>
    </row>
    <row r="626" spans="2:126" ht="12.95" customHeight="1">
      <c r="B626" s="1221" t="s">
        <v>1303</v>
      </c>
      <c r="C626" s="1222"/>
      <c r="D626" s="1222"/>
      <c r="E626" s="1222"/>
      <c r="F626" s="1222"/>
      <c r="G626" s="1222"/>
      <c r="H626" s="1222"/>
      <c r="I626" s="1222"/>
      <c r="J626" s="1222"/>
      <c r="K626" s="1222"/>
      <c r="L626" s="1222"/>
      <c r="M626" s="1117" t="s">
        <v>1304</v>
      </c>
      <c r="N626" s="1117"/>
      <c r="O626" s="1117"/>
      <c r="P626" s="1117"/>
      <c r="Q626" s="1256" t="s">
        <v>1354</v>
      </c>
      <c r="R626" s="1257"/>
      <c r="S626" s="1258"/>
      <c r="T626" s="1256" t="s">
        <v>1355</v>
      </c>
      <c r="U626" s="1257"/>
      <c r="V626" s="1258"/>
      <c r="W626" s="1341" t="s">
        <v>1307</v>
      </c>
      <c r="X626" s="1341"/>
      <c r="Y626" s="1342"/>
      <c r="Z626" s="1117" t="s">
        <v>1356</v>
      </c>
      <c r="AA626" s="1117"/>
      <c r="AB626" s="1117"/>
      <c r="AC626" s="1332" t="s">
        <v>1309</v>
      </c>
      <c r="AD626" s="1333"/>
      <c r="AE626" s="1334"/>
      <c r="AF626" s="1256" t="s">
        <v>1357</v>
      </c>
      <c r="AG626" s="1257"/>
      <c r="AH626" s="1257"/>
      <c r="AI626" s="1257"/>
      <c r="AJ626" s="1258"/>
      <c r="AK626" s="1347" t="s">
        <v>1358</v>
      </c>
      <c r="AL626" s="1348"/>
      <c r="AM626" s="1348"/>
      <c r="AN626" s="1349"/>
      <c r="AO626" s="1117" t="s">
        <v>1311</v>
      </c>
      <c r="AP626" s="1117"/>
      <c r="AQ626" s="1117"/>
      <c r="AR626" s="1117"/>
      <c r="AS626" s="1117"/>
      <c r="AT626" s="37"/>
      <c r="AU626" s="37"/>
      <c r="AV626" s="37"/>
      <c r="AW626" s="37"/>
      <c r="AX626" s="37"/>
      <c r="AY626" s="37"/>
      <c r="AZ626" s="37"/>
      <c r="BE626" s="1034">
        <f t="shared" si="18"/>
        <v>0</v>
      </c>
      <c r="BF626" s="1037"/>
      <c r="BG626" s="1034">
        <f t="shared" si="19"/>
        <v>0</v>
      </c>
      <c r="BH626" s="1037"/>
      <c r="BI626" s="1034">
        <f t="shared" si="20"/>
        <v>0</v>
      </c>
      <c r="BJ626" s="1037"/>
      <c r="BK626" s="1034">
        <f t="shared" si="21"/>
        <v>0</v>
      </c>
      <c r="BL626" s="1037"/>
      <c r="BN626" s="1034">
        <f t="shared" si="4"/>
        <v>0</v>
      </c>
      <c r="BO626" s="1035"/>
      <c r="BP626" s="1035"/>
      <c r="BQ626" s="1035"/>
      <c r="BR626" s="1036"/>
      <c r="BS626" s="1034">
        <f t="shared" si="5"/>
        <v>0</v>
      </c>
      <c r="BT626" s="1035"/>
      <c r="BU626" s="1035"/>
      <c r="BV626" s="1035"/>
      <c r="BW626" s="1037"/>
      <c r="BX626" s="1034">
        <f t="shared" si="6"/>
        <v>0</v>
      </c>
      <c r="BY626" s="1035"/>
      <c r="BZ626" s="1035"/>
      <c r="CA626" s="1035"/>
      <c r="CB626" s="1037"/>
      <c r="CC626" s="1034">
        <f t="shared" si="7"/>
        <v>0</v>
      </c>
      <c r="CD626" s="1035"/>
      <c r="CE626" s="1035"/>
      <c r="CF626" s="1035"/>
      <c r="CG626" s="1037"/>
      <c r="CH626" s="1034">
        <f t="shared" si="8"/>
        <v>0</v>
      </c>
      <c r="CI626" s="1035"/>
      <c r="CJ626" s="1035"/>
      <c r="CK626" s="1035"/>
      <c r="CL626" s="1037"/>
      <c r="CM626" s="1038">
        <f t="shared" si="9"/>
        <v>0</v>
      </c>
      <c r="CN626" s="1039"/>
      <c r="CO626" s="1039"/>
      <c r="CP626" s="1039"/>
      <c r="CQ626" s="1036"/>
      <c r="CS626" s="1031">
        <f t="shared" si="22"/>
        <v>0</v>
      </c>
      <c r="CT626" s="1032"/>
      <c r="CU626" s="1032"/>
      <c r="CV626" s="1032"/>
      <c r="CW626" s="1033"/>
      <c r="CX626" s="1031">
        <f t="shared" si="23"/>
        <v>0</v>
      </c>
      <c r="CY626" s="1032"/>
      <c r="CZ626" s="1032"/>
      <c r="DA626" s="1032"/>
      <c r="DB626" s="1033"/>
      <c r="DC626" s="1031">
        <f t="shared" si="24"/>
        <v>0</v>
      </c>
      <c r="DD626" s="1032"/>
      <c r="DE626" s="1032"/>
      <c r="DF626" s="1032"/>
      <c r="DG626" s="1033"/>
      <c r="DH626" s="1031">
        <f t="shared" si="25"/>
        <v>0</v>
      </c>
      <c r="DI626" s="1032"/>
      <c r="DJ626" s="1032"/>
      <c r="DK626" s="1032"/>
      <c r="DL626" s="1033"/>
      <c r="DM626" s="1031">
        <f t="shared" si="26"/>
        <v>0</v>
      </c>
      <c r="DN626" s="1032"/>
      <c r="DO626" s="1032"/>
      <c r="DP626" s="1032"/>
      <c r="DQ626" s="1033"/>
      <c r="DR626" s="1031">
        <f t="shared" si="27"/>
        <v>0</v>
      </c>
      <c r="DS626" s="1032"/>
      <c r="DT626" s="1032"/>
      <c r="DU626" s="1032"/>
      <c r="DV626" s="1033"/>
    </row>
    <row r="627" spans="2:126" ht="12.95" customHeight="1">
      <c r="B627" s="1223"/>
      <c r="C627" s="1224"/>
      <c r="D627" s="1224"/>
      <c r="E627" s="1224"/>
      <c r="F627" s="1224"/>
      <c r="G627" s="1224"/>
      <c r="H627" s="1224"/>
      <c r="I627" s="1224"/>
      <c r="J627" s="1224"/>
      <c r="K627" s="1224"/>
      <c r="L627" s="1224"/>
      <c r="M627" s="1117"/>
      <c r="N627" s="1117"/>
      <c r="O627" s="1117"/>
      <c r="P627" s="1117"/>
      <c r="Q627" s="1259"/>
      <c r="R627" s="1260"/>
      <c r="S627" s="1261"/>
      <c r="T627" s="1259"/>
      <c r="U627" s="1260"/>
      <c r="V627" s="1261"/>
      <c r="W627" s="1343"/>
      <c r="X627" s="1343"/>
      <c r="Y627" s="1344"/>
      <c r="Z627" s="1117"/>
      <c r="AA627" s="1117"/>
      <c r="AB627" s="1117"/>
      <c r="AC627" s="1335"/>
      <c r="AD627" s="1336"/>
      <c r="AE627" s="1337"/>
      <c r="AF627" s="1259"/>
      <c r="AG627" s="1260"/>
      <c r="AH627" s="1260"/>
      <c r="AI627" s="1260"/>
      <c r="AJ627" s="1261"/>
      <c r="AK627" s="1350"/>
      <c r="AL627" s="1351"/>
      <c r="AM627" s="1351"/>
      <c r="AN627" s="1352"/>
      <c r="AO627" s="1117"/>
      <c r="AP627" s="1117"/>
      <c r="AQ627" s="1117"/>
      <c r="AR627" s="1117"/>
      <c r="AS627" s="1117"/>
      <c r="AT627" s="37"/>
      <c r="AU627" s="37"/>
      <c r="AV627" s="37"/>
      <c r="AW627" s="37"/>
      <c r="AX627" s="37"/>
      <c r="AY627" s="37"/>
      <c r="AZ627" s="37"/>
      <c r="BE627" s="1034">
        <f t="shared" si="18"/>
        <v>0</v>
      </c>
      <c r="BF627" s="1037"/>
      <c r="BG627" s="1034">
        <f t="shared" si="19"/>
        <v>0</v>
      </c>
      <c r="BH627" s="1037"/>
      <c r="BI627" s="1034">
        <f t="shared" si="20"/>
        <v>0</v>
      </c>
      <c r="BJ627" s="1037"/>
      <c r="BK627" s="1034">
        <f t="shared" si="21"/>
        <v>0</v>
      </c>
      <c r="BL627" s="1037"/>
      <c r="BN627" s="1034">
        <f t="shared" si="4"/>
        <v>0</v>
      </c>
      <c r="BO627" s="1035"/>
      <c r="BP627" s="1035"/>
      <c r="BQ627" s="1035"/>
      <c r="BR627" s="1036"/>
      <c r="BS627" s="1034">
        <f t="shared" si="5"/>
        <v>0</v>
      </c>
      <c r="BT627" s="1035"/>
      <c r="BU627" s="1035"/>
      <c r="BV627" s="1035"/>
      <c r="BW627" s="1037"/>
      <c r="BX627" s="1034">
        <f t="shared" si="6"/>
        <v>0</v>
      </c>
      <c r="BY627" s="1035"/>
      <c r="BZ627" s="1035"/>
      <c r="CA627" s="1035"/>
      <c r="CB627" s="1037"/>
      <c r="CC627" s="1034">
        <f t="shared" si="7"/>
        <v>0</v>
      </c>
      <c r="CD627" s="1035"/>
      <c r="CE627" s="1035"/>
      <c r="CF627" s="1035"/>
      <c r="CG627" s="1037"/>
      <c r="CH627" s="1034">
        <f t="shared" si="8"/>
        <v>0</v>
      </c>
      <c r="CI627" s="1035"/>
      <c r="CJ627" s="1035"/>
      <c r="CK627" s="1035"/>
      <c r="CL627" s="1037"/>
      <c r="CM627" s="1038">
        <f t="shared" si="9"/>
        <v>0</v>
      </c>
      <c r="CN627" s="1039"/>
      <c r="CO627" s="1039"/>
      <c r="CP627" s="1039"/>
      <c r="CQ627" s="1036"/>
      <c r="CS627" s="1031">
        <f t="shared" si="22"/>
        <v>0</v>
      </c>
      <c r="CT627" s="1032"/>
      <c r="CU627" s="1032"/>
      <c r="CV627" s="1032"/>
      <c r="CW627" s="1033"/>
      <c r="CX627" s="1031">
        <f t="shared" si="23"/>
        <v>0</v>
      </c>
      <c r="CY627" s="1032"/>
      <c r="CZ627" s="1032"/>
      <c r="DA627" s="1032"/>
      <c r="DB627" s="1033"/>
      <c r="DC627" s="1031">
        <f t="shared" si="24"/>
        <v>0</v>
      </c>
      <c r="DD627" s="1032"/>
      <c r="DE627" s="1032"/>
      <c r="DF627" s="1032"/>
      <c r="DG627" s="1033"/>
      <c r="DH627" s="1031">
        <f t="shared" si="25"/>
        <v>0</v>
      </c>
      <c r="DI627" s="1032"/>
      <c r="DJ627" s="1032"/>
      <c r="DK627" s="1032"/>
      <c r="DL627" s="1033"/>
      <c r="DM627" s="1031">
        <f t="shared" si="26"/>
        <v>0</v>
      </c>
      <c r="DN627" s="1032"/>
      <c r="DO627" s="1032"/>
      <c r="DP627" s="1032"/>
      <c r="DQ627" s="1033"/>
      <c r="DR627" s="1031">
        <f t="shared" si="27"/>
        <v>0</v>
      </c>
      <c r="DS627" s="1032"/>
      <c r="DT627" s="1032"/>
      <c r="DU627" s="1032"/>
      <c r="DV627" s="1033"/>
    </row>
    <row r="628" spans="2:126" ht="12.95" customHeight="1">
      <c r="B628" s="1225"/>
      <c r="C628" s="1226"/>
      <c r="D628" s="1226"/>
      <c r="E628" s="1226"/>
      <c r="F628" s="1226"/>
      <c r="G628" s="1226"/>
      <c r="H628" s="1226"/>
      <c r="I628" s="1226"/>
      <c r="J628" s="1226"/>
      <c r="K628" s="1226"/>
      <c r="L628" s="1226"/>
      <c r="M628" s="1117"/>
      <c r="N628" s="1117"/>
      <c r="O628" s="1117"/>
      <c r="P628" s="1117"/>
      <c r="Q628" s="1262"/>
      <c r="R628" s="1263"/>
      <c r="S628" s="1264"/>
      <c r="T628" s="1262"/>
      <c r="U628" s="1263"/>
      <c r="V628" s="1264"/>
      <c r="W628" s="1345"/>
      <c r="X628" s="1345"/>
      <c r="Y628" s="1346"/>
      <c r="Z628" s="1117"/>
      <c r="AA628" s="1117"/>
      <c r="AB628" s="1117"/>
      <c r="AC628" s="1338"/>
      <c r="AD628" s="1339"/>
      <c r="AE628" s="1340"/>
      <c r="AF628" s="1262"/>
      <c r="AG628" s="1263"/>
      <c r="AH628" s="1263"/>
      <c r="AI628" s="1263"/>
      <c r="AJ628" s="1264"/>
      <c r="AK628" s="1353"/>
      <c r="AL628" s="1354"/>
      <c r="AM628" s="1354"/>
      <c r="AN628" s="1355"/>
      <c r="AO628" s="1117"/>
      <c r="AP628" s="1117"/>
      <c r="AQ628" s="1117"/>
      <c r="AR628" s="1117"/>
      <c r="AS628" s="1117"/>
      <c r="AT628" s="37"/>
      <c r="AU628" s="37"/>
      <c r="AV628" s="37"/>
      <c r="AW628" s="37"/>
      <c r="AX628" s="37"/>
      <c r="AY628" s="37"/>
      <c r="AZ628" s="37"/>
      <c r="BE628" s="1034">
        <f t="shared" si="18"/>
        <v>0</v>
      </c>
      <c r="BF628" s="1037"/>
      <c r="BG628" s="1034">
        <f t="shared" si="19"/>
        <v>0</v>
      </c>
      <c r="BH628" s="1037"/>
      <c r="BI628" s="1034">
        <f t="shared" si="20"/>
        <v>0</v>
      </c>
      <c r="BJ628" s="1037"/>
      <c r="BK628" s="1034">
        <f t="shared" si="21"/>
        <v>0</v>
      </c>
      <c r="BL628" s="1037"/>
      <c r="BN628" s="1034">
        <f t="shared" si="4"/>
        <v>0</v>
      </c>
      <c r="BO628" s="1035"/>
      <c r="BP628" s="1035"/>
      <c r="BQ628" s="1035"/>
      <c r="BR628" s="1036"/>
      <c r="BS628" s="1034">
        <f t="shared" si="5"/>
        <v>0</v>
      </c>
      <c r="BT628" s="1035"/>
      <c r="BU628" s="1035"/>
      <c r="BV628" s="1035"/>
      <c r="BW628" s="1037"/>
      <c r="BX628" s="1034">
        <f t="shared" si="6"/>
        <v>0</v>
      </c>
      <c r="BY628" s="1035"/>
      <c r="BZ628" s="1035"/>
      <c r="CA628" s="1035"/>
      <c r="CB628" s="1037"/>
      <c r="CC628" s="1034">
        <f t="shared" si="7"/>
        <v>0</v>
      </c>
      <c r="CD628" s="1035"/>
      <c r="CE628" s="1035"/>
      <c r="CF628" s="1035"/>
      <c r="CG628" s="1037"/>
      <c r="CH628" s="1034">
        <f t="shared" si="8"/>
        <v>0</v>
      </c>
      <c r="CI628" s="1035"/>
      <c r="CJ628" s="1035"/>
      <c r="CK628" s="1035"/>
      <c r="CL628" s="1037"/>
      <c r="CM628" s="1038">
        <f t="shared" si="9"/>
        <v>0</v>
      </c>
      <c r="CN628" s="1039"/>
      <c r="CO628" s="1039"/>
      <c r="CP628" s="1039"/>
      <c r="CQ628" s="1036"/>
      <c r="CS628" s="1031">
        <f t="shared" si="22"/>
        <v>0</v>
      </c>
      <c r="CT628" s="1032"/>
      <c r="CU628" s="1032"/>
      <c r="CV628" s="1032"/>
      <c r="CW628" s="1033"/>
      <c r="CX628" s="1031">
        <f t="shared" si="23"/>
        <v>0</v>
      </c>
      <c r="CY628" s="1032"/>
      <c r="CZ628" s="1032"/>
      <c r="DA628" s="1032"/>
      <c r="DB628" s="1033"/>
      <c r="DC628" s="1031">
        <f t="shared" si="24"/>
        <v>0</v>
      </c>
      <c r="DD628" s="1032"/>
      <c r="DE628" s="1032"/>
      <c r="DF628" s="1032"/>
      <c r="DG628" s="1033"/>
      <c r="DH628" s="1031">
        <f t="shared" si="25"/>
        <v>0</v>
      </c>
      <c r="DI628" s="1032"/>
      <c r="DJ628" s="1032"/>
      <c r="DK628" s="1032"/>
      <c r="DL628" s="1033"/>
      <c r="DM628" s="1031">
        <f t="shared" si="26"/>
        <v>0</v>
      </c>
      <c r="DN628" s="1032"/>
      <c r="DO628" s="1032"/>
      <c r="DP628" s="1032"/>
      <c r="DQ628" s="1033"/>
      <c r="DR628" s="1031">
        <f t="shared" si="27"/>
        <v>0</v>
      </c>
      <c r="DS628" s="1032"/>
      <c r="DT628" s="1032"/>
      <c r="DU628" s="1032"/>
      <c r="DV628" s="1033"/>
    </row>
    <row r="629" spans="2:126" ht="12.95" customHeight="1">
      <c r="B629" s="50" t="s">
        <v>15</v>
      </c>
      <c r="C629" s="1070" t="s">
        <v>1359</v>
      </c>
      <c r="D629" s="1070"/>
      <c r="E629" s="1070"/>
      <c r="F629" s="1070"/>
      <c r="G629" s="1070"/>
      <c r="H629" s="1070"/>
      <c r="I629" s="1070"/>
      <c r="J629" s="1070"/>
      <c r="K629" s="1070"/>
      <c r="L629" s="1070"/>
      <c r="M629" s="1876" t="s">
        <v>1280</v>
      </c>
      <c r="N629" s="1876"/>
      <c r="O629" s="1876"/>
      <c r="P629" s="1876"/>
      <c r="Q629" s="1877">
        <v>240</v>
      </c>
      <c r="R629" s="1878"/>
      <c r="S629" s="1879"/>
      <c r="T629" s="1880">
        <v>240</v>
      </c>
      <c r="U629" s="1881"/>
      <c r="V629" s="1882"/>
      <c r="W629" s="1883">
        <v>6.7500000000000004E-2</v>
      </c>
      <c r="X629" s="1884"/>
      <c r="Y629" s="1885"/>
      <c r="Z629" s="1886" t="s">
        <v>1360</v>
      </c>
      <c r="AA629" s="1887"/>
      <c r="AB629" s="1888"/>
      <c r="AC629" s="1082">
        <v>1</v>
      </c>
      <c r="AD629" s="1083"/>
      <c r="AE629" s="1084"/>
      <c r="AF629" s="1135">
        <v>25001</v>
      </c>
      <c r="AG629" s="1136"/>
      <c r="AH629" s="1136"/>
      <c r="AI629" s="1136"/>
      <c r="AJ629" s="1137"/>
      <c r="AK629" s="1227"/>
      <c r="AL629" s="1228"/>
      <c r="AM629" s="1228"/>
      <c r="AN629" s="1229"/>
      <c r="AO629" s="1081">
        <v>274000</v>
      </c>
      <c r="AP629" s="1081"/>
      <c r="AQ629" s="1081"/>
      <c r="AR629" s="1081"/>
      <c r="AS629" s="1081"/>
      <c r="AT629" s="834" t="str">
        <f t="shared" ref="AT629:AT640" si="28">IF(AND(NOT(C628=""),C629="",NOT(C630="")),"!","")</f>
        <v/>
      </c>
      <c r="AU629" s="37"/>
      <c r="AV629" s="37"/>
      <c r="AW629" s="37"/>
      <c r="AX629" s="37"/>
      <c r="AY629" s="37"/>
      <c r="BA629" s="37" t="s">
        <v>1268</v>
      </c>
      <c r="BC629" s="37"/>
      <c r="BD629" s="37"/>
      <c r="BE629" s="1034">
        <f t="shared" si="18"/>
        <v>0</v>
      </c>
      <c r="BF629" s="1037"/>
      <c r="BG629" s="1034">
        <f t="shared" si="19"/>
        <v>0</v>
      </c>
      <c r="BH629" s="1037"/>
      <c r="BI629" s="1034">
        <f t="shared" si="20"/>
        <v>0</v>
      </c>
      <c r="BJ629" s="1037"/>
      <c r="BK629" s="1034">
        <f t="shared" si="21"/>
        <v>0</v>
      </c>
      <c r="BL629" s="1037"/>
      <c r="BN629" s="1034">
        <f t="shared" si="4"/>
        <v>0</v>
      </c>
      <c r="BO629" s="1035"/>
      <c r="BP629" s="1035"/>
      <c r="BQ629" s="1035"/>
      <c r="BR629" s="1036"/>
      <c r="BS629" s="1034">
        <f t="shared" si="5"/>
        <v>0</v>
      </c>
      <c r="BT629" s="1035"/>
      <c r="BU629" s="1035"/>
      <c r="BV629" s="1035"/>
      <c r="BW629" s="1037"/>
      <c r="BX629" s="1034">
        <f t="shared" si="6"/>
        <v>0</v>
      </c>
      <c r="BY629" s="1035"/>
      <c r="BZ629" s="1035"/>
      <c r="CA629" s="1035"/>
      <c r="CB629" s="1037"/>
      <c r="CC629" s="1034">
        <f t="shared" si="7"/>
        <v>0</v>
      </c>
      <c r="CD629" s="1035"/>
      <c r="CE629" s="1035"/>
      <c r="CF629" s="1035"/>
      <c r="CG629" s="1037"/>
      <c r="CH629" s="1034">
        <f t="shared" si="8"/>
        <v>0</v>
      </c>
      <c r="CI629" s="1035"/>
      <c r="CJ629" s="1035"/>
      <c r="CK629" s="1035"/>
      <c r="CL629" s="1037"/>
      <c r="CM629" s="1038">
        <f t="shared" si="9"/>
        <v>0</v>
      </c>
      <c r="CN629" s="1039"/>
      <c r="CO629" s="1039"/>
      <c r="CP629" s="1039"/>
      <c r="CQ629" s="1036"/>
      <c r="CS629" s="1031">
        <f t="shared" si="22"/>
        <v>0</v>
      </c>
      <c r="CT629" s="1032"/>
      <c r="CU629" s="1032"/>
      <c r="CV629" s="1032"/>
      <c r="CW629" s="1033"/>
      <c r="CX629" s="1031">
        <f t="shared" si="23"/>
        <v>0</v>
      </c>
      <c r="CY629" s="1032"/>
      <c r="CZ629" s="1032"/>
      <c r="DA629" s="1032"/>
      <c r="DB629" s="1033"/>
      <c r="DC629" s="1031">
        <f t="shared" si="24"/>
        <v>0</v>
      </c>
      <c r="DD629" s="1032"/>
      <c r="DE629" s="1032"/>
      <c r="DF629" s="1032"/>
      <c r="DG629" s="1033"/>
      <c r="DH629" s="1031">
        <f t="shared" si="25"/>
        <v>0</v>
      </c>
      <c r="DI629" s="1032"/>
      <c r="DJ629" s="1032"/>
      <c r="DK629" s="1032"/>
      <c r="DL629" s="1033"/>
      <c r="DM629" s="1031">
        <f t="shared" si="26"/>
        <v>0</v>
      </c>
      <c r="DN629" s="1032"/>
      <c r="DO629" s="1032"/>
      <c r="DP629" s="1032"/>
      <c r="DQ629" s="1033"/>
      <c r="DR629" s="1031">
        <f t="shared" si="27"/>
        <v>0</v>
      </c>
      <c r="DS629" s="1032"/>
      <c r="DT629" s="1032"/>
      <c r="DU629" s="1032"/>
      <c r="DV629" s="1033"/>
    </row>
    <row r="630" spans="2:126" ht="12.95" customHeight="1">
      <c r="B630" s="51" t="s">
        <v>28</v>
      </c>
      <c r="C630" s="1073" t="s">
        <v>1361</v>
      </c>
      <c r="D630" s="1070"/>
      <c r="E630" s="1070"/>
      <c r="F630" s="1070"/>
      <c r="G630" s="1070"/>
      <c r="H630" s="1070"/>
      <c r="I630" s="1070"/>
      <c r="J630" s="1070"/>
      <c r="K630" s="1070"/>
      <c r="L630" s="1070"/>
      <c r="M630" s="1876" t="s">
        <v>1280</v>
      </c>
      <c r="N630" s="1876"/>
      <c r="O630" s="1876"/>
      <c r="P630" s="1876"/>
      <c r="Q630" s="1877">
        <v>180</v>
      </c>
      <c r="R630" s="1878"/>
      <c r="S630" s="1879"/>
      <c r="T630" s="1880">
        <v>180</v>
      </c>
      <c r="U630" s="1881"/>
      <c r="V630" s="1882"/>
      <c r="W630" s="1883">
        <v>6.7500000000000004E-2</v>
      </c>
      <c r="X630" s="1884"/>
      <c r="Y630" s="1885"/>
      <c r="Z630" s="1886" t="s">
        <v>1360</v>
      </c>
      <c r="AA630" s="1887"/>
      <c r="AB630" s="1888"/>
      <c r="AC630" s="1082">
        <v>2</v>
      </c>
      <c r="AD630" s="1083"/>
      <c r="AE630" s="1084"/>
      <c r="AF630" s="1135">
        <v>90048</v>
      </c>
      <c r="AG630" s="1136"/>
      <c r="AH630" s="1136"/>
      <c r="AI630" s="1136"/>
      <c r="AJ630" s="1137"/>
      <c r="AK630" s="1227"/>
      <c r="AL630" s="1228"/>
      <c r="AM630" s="1228"/>
      <c r="AN630" s="1229"/>
      <c r="AO630" s="1081">
        <v>848000</v>
      </c>
      <c r="AP630" s="1081"/>
      <c r="AQ630" s="1081"/>
      <c r="AR630" s="1081"/>
      <c r="AS630" s="1081"/>
      <c r="AT630" s="834" t="str">
        <f t="shared" si="28"/>
        <v/>
      </c>
      <c r="AU630" s="37"/>
      <c r="AV630" s="37"/>
      <c r="AW630" s="37"/>
      <c r="AX630" s="37"/>
      <c r="AY630" s="37"/>
      <c r="BA630" s="37" t="s">
        <v>1362</v>
      </c>
      <c r="BC630" s="37"/>
      <c r="BD630" s="37"/>
      <c r="BE630" s="1034">
        <f t="shared" si="18"/>
        <v>0</v>
      </c>
      <c r="BF630" s="1037"/>
      <c r="BG630" s="1034">
        <f t="shared" si="19"/>
        <v>0</v>
      </c>
      <c r="BH630" s="1037"/>
      <c r="BI630" s="1034">
        <f t="shared" si="20"/>
        <v>0</v>
      </c>
      <c r="BJ630" s="1037"/>
      <c r="BK630" s="1034">
        <f t="shared" si="21"/>
        <v>0</v>
      </c>
      <c r="BL630" s="1037"/>
      <c r="BN630" s="1034">
        <f t="shared" si="4"/>
        <v>0</v>
      </c>
      <c r="BO630" s="1035"/>
      <c r="BP630" s="1035"/>
      <c r="BQ630" s="1035"/>
      <c r="BR630" s="1036"/>
      <c r="BS630" s="1034">
        <f t="shared" si="5"/>
        <v>0</v>
      </c>
      <c r="BT630" s="1035"/>
      <c r="BU630" s="1035"/>
      <c r="BV630" s="1035"/>
      <c r="BW630" s="1037"/>
      <c r="BX630" s="1034">
        <f t="shared" si="6"/>
        <v>0</v>
      </c>
      <c r="BY630" s="1035"/>
      <c r="BZ630" s="1035"/>
      <c r="CA630" s="1035"/>
      <c r="CB630" s="1037"/>
      <c r="CC630" s="1034">
        <f t="shared" si="7"/>
        <v>0</v>
      </c>
      <c r="CD630" s="1035"/>
      <c r="CE630" s="1035"/>
      <c r="CF630" s="1035"/>
      <c r="CG630" s="1037"/>
      <c r="CH630" s="1034">
        <f t="shared" si="8"/>
        <v>0</v>
      </c>
      <c r="CI630" s="1035"/>
      <c r="CJ630" s="1035"/>
      <c r="CK630" s="1035"/>
      <c r="CL630" s="1037"/>
      <c r="CM630" s="1038">
        <f t="shared" si="9"/>
        <v>0</v>
      </c>
      <c r="CN630" s="1039"/>
      <c r="CO630" s="1039"/>
      <c r="CP630" s="1039"/>
      <c r="CQ630" s="1036"/>
      <c r="CS630" s="1031">
        <f t="shared" si="22"/>
        <v>0</v>
      </c>
      <c r="CT630" s="1032"/>
      <c r="CU630" s="1032"/>
      <c r="CV630" s="1032"/>
      <c r="CW630" s="1033"/>
      <c r="CX630" s="1031">
        <f t="shared" si="23"/>
        <v>0</v>
      </c>
      <c r="CY630" s="1032"/>
      <c r="CZ630" s="1032"/>
      <c r="DA630" s="1032"/>
      <c r="DB630" s="1033"/>
      <c r="DC630" s="1031">
        <f t="shared" si="24"/>
        <v>0</v>
      </c>
      <c r="DD630" s="1032"/>
      <c r="DE630" s="1032"/>
      <c r="DF630" s="1032"/>
      <c r="DG630" s="1033"/>
      <c r="DH630" s="1031">
        <f t="shared" si="25"/>
        <v>0</v>
      </c>
      <c r="DI630" s="1032"/>
      <c r="DJ630" s="1032"/>
      <c r="DK630" s="1032"/>
      <c r="DL630" s="1033"/>
      <c r="DM630" s="1031">
        <f t="shared" si="26"/>
        <v>0</v>
      </c>
      <c r="DN630" s="1032"/>
      <c r="DO630" s="1032"/>
      <c r="DP630" s="1032"/>
      <c r="DQ630" s="1033"/>
      <c r="DR630" s="1031">
        <f t="shared" si="27"/>
        <v>0</v>
      </c>
      <c r="DS630" s="1032"/>
      <c r="DT630" s="1032"/>
      <c r="DU630" s="1032"/>
      <c r="DV630" s="1033"/>
    </row>
    <row r="631" spans="2:126" ht="12.95" customHeight="1">
      <c r="B631" s="51" t="s">
        <v>34</v>
      </c>
      <c r="C631" s="1073" t="str">
        <f>C558</f>
        <v>City of San Jose Loan</v>
      </c>
      <c r="D631" s="1070"/>
      <c r="E631" s="1070"/>
      <c r="F631" s="1070"/>
      <c r="G631" s="1070"/>
      <c r="H631" s="1070"/>
      <c r="I631" s="1070"/>
      <c r="J631" s="1070"/>
      <c r="K631" s="1070"/>
      <c r="L631" s="1070"/>
      <c r="M631" s="1876" t="s">
        <v>1282</v>
      </c>
      <c r="N631" s="1876"/>
      <c r="O631" s="1876"/>
      <c r="P631" s="1876"/>
      <c r="Q631" s="1877">
        <v>660</v>
      </c>
      <c r="R631" s="1878"/>
      <c r="S631" s="1879"/>
      <c r="T631" s="1880"/>
      <c r="U631" s="1881"/>
      <c r="V631" s="1882"/>
      <c r="W631" s="1883">
        <v>0.04</v>
      </c>
      <c r="X631" s="1884"/>
      <c r="Y631" s="1885"/>
      <c r="Z631" s="1886" t="s">
        <v>1363</v>
      </c>
      <c r="AA631" s="1887"/>
      <c r="AB631" s="1888"/>
      <c r="AC631" s="1082">
        <v>3</v>
      </c>
      <c r="AD631" s="1083"/>
      <c r="AE631" s="1084"/>
      <c r="AF631" s="1135"/>
      <c r="AG631" s="1136"/>
      <c r="AH631" s="1136"/>
      <c r="AI631" s="1136"/>
      <c r="AJ631" s="1137"/>
      <c r="AK631" s="1227"/>
      <c r="AL631" s="1228"/>
      <c r="AM631" s="1228"/>
      <c r="AN631" s="1229"/>
      <c r="AO631" s="1081">
        <f>AM558</f>
        <v>5700000</v>
      </c>
      <c r="AP631" s="1081"/>
      <c r="AQ631" s="1081"/>
      <c r="AR631" s="1081"/>
      <c r="AS631" s="1081"/>
      <c r="AT631" s="834" t="str">
        <f t="shared" si="28"/>
        <v/>
      </c>
      <c r="AU631" s="37"/>
      <c r="AV631" s="37"/>
      <c r="AW631" s="37"/>
      <c r="AX631" s="37"/>
      <c r="AY631" s="37"/>
      <c r="AZ631" s="37"/>
      <c r="BA631" s="37" t="s">
        <v>1363</v>
      </c>
      <c r="BB631" s="37"/>
      <c r="BC631" s="37"/>
      <c r="BD631" s="37"/>
      <c r="BE631" s="1034">
        <f t="shared" si="18"/>
        <v>0</v>
      </c>
      <c r="BF631" s="1037"/>
      <c r="BG631" s="1034">
        <f t="shared" si="19"/>
        <v>0</v>
      </c>
      <c r="BH631" s="1037"/>
      <c r="BI631" s="1034">
        <f t="shared" si="20"/>
        <v>0</v>
      </c>
      <c r="BJ631" s="1037"/>
      <c r="BK631" s="1034">
        <f t="shared" si="21"/>
        <v>0</v>
      </c>
      <c r="BL631" s="1037"/>
      <c r="BN631" s="1034">
        <f t="shared" si="4"/>
        <v>0</v>
      </c>
      <c r="BO631" s="1035"/>
      <c r="BP631" s="1035"/>
      <c r="BQ631" s="1035"/>
      <c r="BR631" s="1036"/>
      <c r="BS631" s="1034">
        <f t="shared" si="5"/>
        <v>0</v>
      </c>
      <c r="BT631" s="1035"/>
      <c r="BU631" s="1035"/>
      <c r="BV631" s="1035"/>
      <c r="BW631" s="1037"/>
      <c r="BX631" s="1034">
        <f t="shared" si="6"/>
        <v>0</v>
      </c>
      <c r="BY631" s="1035"/>
      <c r="BZ631" s="1035"/>
      <c r="CA631" s="1035"/>
      <c r="CB631" s="1037"/>
      <c r="CC631" s="1034">
        <f t="shared" si="7"/>
        <v>0</v>
      </c>
      <c r="CD631" s="1035"/>
      <c r="CE631" s="1035"/>
      <c r="CF631" s="1035"/>
      <c r="CG631" s="1037"/>
      <c r="CH631" s="1034">
        <f t="shared" si="8"/>
        <v>0</v>
      </c>
      <c r="CI631" s="1035"/>
      <c r="CJ631" s="1035"/>
      <c r="CK631" s="1035"/>
      <c r="CL631" s="1037"/>
      <c r="CM631" s="1038">
        <f t="shared" si="9"/>
        <v>0</v>
      </c>
      <c r="CN631" s="1039"/>
      <c r="CO631" s="1039"/>
      <c r="CP631" s="1039"/>
      <c r="CQ631" s="1036"/>
      <c r="CS631" s="1031">
        <f t="shared" si="22"/>
        <v>0</v>
      </c>
      <c r="CT631" s="1032"/>
      <c r="CU631" s="1032"/>
      <c r="CV631" s="1032"/>
      <c r="CW631" s="1033"/>
      <c r="CX631" s="1031">
        <f t="shared" si="23"/>
        <v>0</v>
      </c>
      <c r="CY631" s="1032"/>
      <c r="CZ631" s="1032"/>
      <c r="DA631" s="1032"/>
      <c r="DB631" s="1033"/>
      <c r="DC631" s="1031">
        <f t="shared" si="24"/>
        <v>0</v>
      </c>
      <c r="DD631" s="1032"/>
      <c r="DE631" s="1032"/>
      <c r="DF631" s="1032"/>
      <c r="DG631" s="1033"/>
      <c r="DH631" s="1031">
        <f t="shared" si="25"/>
        <v>0</v>
      </c>
      <c r="DI631" s="1032"/>
      <c r="DJ631" s="1032"/>
      <c r="DK631" s="1032"/>
      <c r="DL631" s="1033"/>
      <c r="DM631" s="1031">
        <f t="shared" si="26"/>
        <v>0</v>
      </c>
      <c r="DN631" s="1032"/>
      <c r="DO631" s="1032"/>
      <c r="DP631" s="1032"/>
      <c r="DQ631" s="1033"/>
      <c r="DR631" s="1031">
        <f t="shared" si="27"/>
        <v>0</v>
      </c>
      <c r="DS631" s="1032"/>
      <c r="DT631" s="1032"/>
      <c r="DU631" s="1032"/>
      <c r="DV631" s="1033"/>
    </row>
    <row r="632" spans="2:126" ht="12.95" customHeight="1">
      <c r="B632" s="51" t="s">
        <v>92</v>
      </c>
      <c r="C632" s="1073" t="str">
        <f>C559</f>
        <v>SCCHA MTW Loan</v>
      </c>
      <c r="D632" s="1070"/>
      <c r="E632" s="1070"/>
      <c r="F632" s="1070"/>
      <c r="G632" s="1070"/>
      <c r="H632" s="1070"/>
      <c r="I632" s="1070"/>
      <c r="J632" s="1070"/>
      <c r="K632" s="1070"/>
      <c r="L632" s="1070"/>
      <c r="M632" s="1876" t="s">
        <v>1282</v>
      </c>
      <c r="N632" s="1876"/>
      <c r="O632" s="1876"/>
      <c r="P632" s="1876"/>
      <c r="Q632" s="1877">
        <v>660</v>
      </c>
      <c r="R632" s="1878"/>
      <c r="S632" s="1879"/>
      <c r="T632" s="1880"/>
      <c r="U632" s="1881"/>
      <c r="V632" s="1882"/>
      <c r="W632" s="1883">
        <v>0.03</v>
      </c>
      <c r="X632" s="1884"/>
      <c r="Y632" s="1885"/>
      <c r="Z632" s="1886" t="s">
        <v>1363</v>
      </c>
      <c r="AA632" s="1887"/>
      <c r="AB632" s="1888"/>
      <c r="AC632" s="1082">
        <v>4</v>
      </c>
      <c r="AD632" s="1083"/>
      <c r="AE632" s="1084"/>
      <c r="AF632" s="1135"/>
      <c r="AG632" s="1136"/>
      <c r="AH632" s="1136"/>
      <c r="AI632" s="1136"/>
      <c r="AJ632" s="1137"/>
      <c r="AK632" s="1227"/>
      <c r="AL632" s="1228"/>
      <c r="AM632" s="1228"/>
      <c r="AN632" s="1229"/>
      <c r="AO632" s="1081">
        <f>AM559</f>
        <v>9517984</v>
      </c>
      <c r="AP632" s="1081"/>
      <c r="AQ632" s="1081"/>
      <c r="AR632" s="1081"/>
      <c r="AS632" s="1081"/>
      <c r="AT632" s="834" t="str">
        <f t="shared" si="28"/>
        <v/>
      </c>
      <c r="AU632" s="37"/>
      <c r="AV632" s="37"/>
      <c r="AW632" s="37"/>
      <c r="AX632" s="37"/>
      <c r="AY632" s="37"/>
      <c r="AZ632" s="37"/>
      <c r="BA632" s="37" t="s">
        <v>1360</v>
      </c>
      <c r="BE632" s="1034">
        <f t="shared" si="18"/>
        <v>0</v>
      </c>
      <c r="BF632" s="1037"/>
      <c r="BG632" s="1034">
        <f t="shared" si="19"/>
        <v>0</v>
      </c>
      <c r="BH632" s="1037"/>
      <c r="BI632" s="1034">
        <f t="shared" si="20"/>
        <v>0</v>
      </c>
      <c r="BJ632" s="1037"/>
      <c r="BK632" s="1034">
        <f t="shared" si="21"/>
        <v>0</v>
      </c>
      <c r="BL632" s="1037"/>
      <c r="BN632" s="1034">
        <f t="shared" si="4"/>
        <v>0</v>
      </c>
      <c r="BO632" s="1035"/>
      <c r="BP632" s="1035"/>
      <c r="BQ632" s="1035"/>
      <c r="BR632" s="1036"/>
      <c r="BS632" s="1034">
        <f t="shared" si="5"/>
        <v>0</v>
      </c>
      <c r="BT632" s="1035"/>
      <c r="BU632" s="1035"/>
      <c r="BV632" s="1035"/>
      <c r="BW632" s="1037"/>
      <c r="BX632" s="1034">
        <f t="shared" si="6"/>
        <v>0</v>
      </c>
      <c r="BY632" s="1035"/>
      <c r="BZ632" s="1035"/>
      <c r="CA632" s="1035"/>
      <c r="CB632" s="1037"/>
      <c r="CC632" s="1034">
        <f t="shared" si="7"/>
        <v>0</v>
      </c>
      <c r="CD632" s="1035"/>
      <c r="CE632" s="1035"/>
      <c r="CF632" s="1035"/>
      <c r="CG632" s="1037"/>
      <c r="CH632" s="1034">
        <f t="shared" si="8"/>
        <v>0</v>
      </c>
      <c r="CI632" s="1035"/>
      <c r="CJ632" s="1035"/>
      <c r="CK632" s="1035"/>
      <c r="CL632" s="1037"/>
      <c r="CM632" s="1038">
        <f t="shared" si="9"/>
        <v>0</v>
      </c>
      <c r="CN632" s="1039"/>
      <c r="CO632" s="1039"/>
      <c r="CP632" s="1039"/>
      <c r="CQ632" s="1036"/>
      <c r="CS632" s="1031">
        <f t="shared" si="22"/>
        <v>0</v>
      </c>
      <c r="CT632" s="1032"/>
      <c r="CU632" s="1032"/>
      <c r="CV632" s="1032"/>
      <c r="CW632" s="1033"/>
      <c r="CX632" s="1031">
        <f t="shared" si="23"/>
        <v>0</v>
      </c>
      <c r="CY632" s="1032"/>
      <c r="CZ632" s="1032"/>
      <c r="DA632" s="1032"/>
      <c r="DB632" s="1033"/>
      <c r="DC632" s="1031">
        <f t="shared" si="24"/>
        <v>0</v>
      </c>
      <c r="DD632" s="1032"/>
      <c r="DE632" s="1032"/>
      <c r="DF632" s="1032"/>
      <c r="DG632" s="1033"/>
      <c r="DH632" s="1031">
        <f t="shared" si="25"/>
        <v>0</v>
      </c>
      <c r="DI632" s="1032"/>
      <c r="DJ632" s="1032"/>
      <c r="DK632" s="1032"/>
      <c r="DL632" s="1033"/>
      <c r="DM632" s="1031">
        <f t="shared" si="26"/>
        <v>0</v>
      </c>
      <c r="DN632" s="1032"/>
      <c r="DO632" s="1032"/>
      <c r="DP632" s="1032"/>
      <c r="DQ632" s="1033"/>
      <c r="DR632" s="1031">
        <f t="shared" si="27"/>
        <v>0</v>
      </c>
      <c r="DS632" s="1032"/>
      <c r="DT632" s="1032"/>
      <c r="DU632" s="1032"/>
      <c r="DV632" s="1033"/>
    </row>
    <row r="633" spans="2:126" ht="12.95" customHeight="1">
      <c r="B633" s="51" t="s">
        <v>96</v>
      </c>
      <c r="C633" s="1073" t="str">
        <f>C562</f>
        <v>Accrued/Deferred interest</v>
      </c>
      <c r="D633" s="1070"/>
      <c r="E633" s="1070"/>
      <c r="F633" s="1070"/>
      <c r="G633" s="1070"/>
      <c r="H633" s="1070"/>
      <c r="I633" s="1070"/>
      <c r="J633" s="1070"/>
      <c r="K633" s="1070"/>
      <c r="L633" s="1070"/>
      <c r="M633" s="1876" t="s">
        <v>1270</v>
      </c>
      <c r="N633" s="1876"/>
      <c r="O633" s="1876"/>
      <c r="P633" s="1876"/>
      <c r="Q633" s="1877"/>
      <c r="R633" s="1878"/>
      <c r="S633" s="1879"/>
      <c r="T633" s="1880"/>
      <c r="U633" s="1881"/>
      <c r="V633" s="1882"/>
      <c r="W633" s="1883"/>
      <c r="X633" s="1884"/>
      <c r="Y633" s="1885"/>
      <c r="Z633" s="1886" t="s">
        <v>1268</v>
      </c>
      <c r="AA633" s="1887"/>
      <c r="AB633" s="1888"/>
      <c r="AC633" s="1082"/>
      <c r="AD633" s="1083"/>
      <c r="AE633" s="1084"/>
      <c r="AF633" s="1135"/>
      <c r="AG633" s="1136"/>
      <c r="AH633" s="1136"/>
      <c r="AI633" s="1136"/>
      <c r="AJ633" s="1137"/>
      <c r="AK633" s="1227"/>
      <c r="AL633" s="1228"/>
      <c r="AM633" s="1228"/>
      <c r="AN633" s="1229"/>
      <c r="AO633" s="1081">
        <f>AM562</f>
        <v>494161</v>
      </c>
      <c r="AP633" s="1081"/>
      <c r="AQ633" s="1081"/>
      <c r="AR633" s="1081"/>
      <c r="AS633" s="1081"/>
      <c r="AT633" s="834" t="str">
        <f t="shared" si="28"/>
        <v/>
      </c>
      <c r="AU633" s="37"/>
      <c r="AV633" s="37"/>
      <c r="AW633" s="37"/>
      <c r="AX633" s="37"/>
      <c r="AY633" s="37"/>
      <c r="AZ633" s="37"/>
      <c r="BA633" s="37" t="s">
        <v>229</v>
      </c>
      <c r="BE633" s="1034">
        <f t="shared" si="18"/>
        <v>0</v>
      </c>
      <c r="BF633" s="1037"/>
      <c r="BG633" s="1034">
        <f t="shared" si="19"/>
        <v>0</v>
      </c>
      <c r="BH633" s="1037"/>
      <c r="BI633" s="1034">
        <f t="shared" si="20"/>
        <v>0</v>
      </c>
      <c r="BJ633" s="1037"/>
      <c r="BK633" s="1034">
        <f t="shared" si="21"/>
        <v>0</v>
      </c>
      <c r="BL633" s="1037"/>
      <c r="BN633" s="1034">
        <f t="shared" si="4"/>
        <v>0</v>
      </c>
      <c r="BO633" s="1035"/>
      <c r="BP633" s="1035"/>
      <c r="BQ633" s="1035"/>
      <c r="BR633" s="1036"/>
      <c r="BS633" s="1034">
        <f t="shared" si="5"/>
        <v>0</v>
      </c>
      <c r="BT633" s="1035"/>
      <c r="BU633" s="1035"/>
      <c r="BV633" s="1035"/>
      <c r="BW633" s="1037"/>
      <c r="BX633" s="1034">
        <f t="shared" si="6"/>
        <v>0</v>
      </c>
      <c r="BY633" s="1035"/>
      <c r="BZ633" s="1035"/>
      <c r="CA633" s="1035"/>
      <c r="CB633" s="1037"/>
      <c r="CC633" s="1034">
        <f t="shared" si="7"/>
        <v>0</v>
      </c>
      <c r="CD633" s="1035"/>
      <c r="CE633" s="1035"/>
      <c r="CF633" s="1035"/>
      <c r="CG633" s="1037"/>
      <c r="CH633" s="1034">
        <f t="shared" si="8"/>
        <v>0</v>
      </c>
      <c r="CI633" s="1035"/>
      <c r="CJ633" s="1035"/>
      <c r="CK633" s="1035"/>
      <c r="CL633" s="1037"/>
      <c r="CM633" s="1038">
        <f t="shared" si="9"/>
        <v>0</v>
      </c>
      <c r="CN633" s="1039"/>
      <c r="CO633" s="1039"/>
      <c r="CP633" s="1039"/>
      <c r="CQ633" s="1036"/>
      <c r="CS633" s="1031">
        <f t="shared" si="22"/>
        <v>0</v>
      </c>
      <c r="CT633" s="1032"/>
      <c r="CU633" s="1032"/>
      <c r="CV633" s="1032"/>
      <c r="CW633" s="1033"/>
      <c r="CX633" s="1031">
        <f t="shared" si="23"/>
        <v>0</v>
      </c>
      <c r="CY633" s="1032"/>
      <c r="CZ633" s="1032"/>
      <c r="DA633" s="1032"/>
      <c r="DB633" s="1033"/>
      <c r="DC633" s="1031">
        <f t="shared" si="24"/>
        <v>0</v>
      </c>
      <c r="DD633" s="1032"/>
      <c r="DE633" s="1032"/>
      <c r="DF633" s="1032"/>
      <c r="DG633" s="1033"/>
      <c r="DH633" s="1031">
        <f t="shared" si="25"/>
        <v>0</v>
      </c>
      <c r="DI633" s="1032"/>
      <c r="DJ633" s="1032"/>
      <c r="DK633" s="1032"/>
      <c r="DL633" s="1033"/>
      <c r="DM633" s="1031">
        <f t="shared" si="26"/>
        <v>0</v>
      </c>
      <c r="DN633" s="1032"/>
      <c r="DO633" s="1032"/>
      <c r="DP633" s="1032"/>
      <c r="DQ633" s="1033"/>
      <c r="DR633" s="1031">
        <f t="shared" si="27"/>
        <v>0</v>
      </c>
      <c r="DS633" s="1032"/>
      <c r="DT633" s="1032"/>
      <c r="DU633" s="1032"/>
      <c r="DV633" s="1033"/>
    </row>
    <row r="634" spans="2:126" ht="12.95" customHeight="1">
      <c r="B634" s="51" t="s">
        <v>1319</v>
      </c>
      <c r="C634" s="1073"/>
      <c r="D634" s="1070"/>
      <c r="E634" s="1070"/>
      <c r="F634" s="1070"/>
      <c r="G634" s="1070"/>
      <c r="H634" s="1070"/>
      <c r="I634" s="1070"/>
      <c r="J634" s="1070"/>
      <c r="K634" s="1070"/>
      <c r="L634" s="1070"/>
      <c r="M634" s="1876" t="s">
        <v>1268</v>
      </c>
      <c r="N634" s="1876"/>
      <c r="O634" s="1876"/>
      <c r="P634" s="1876"/>
      <c r="Q634" s="1877"/>
      <c r="R634" s="1878"/>
      <c r="S634" s="1879"/>
      <c r="T634" s="1880"/>
      <c r="U634" s="1881"/>
      <c r="V634" s="1882"/>
      <c r="W634" s="1883"/>
      <c r="X634" s="1884"/>
      <c r="Y634" s="1885"/>
      <c r="Z634" s="1886" t="s">
        <v>1268</v>
      </c>
      <c r="AA634" s="1887"/>
      <c r="AB634" s="1888"/>
      <c r="AC634" s="1082"/>
      <c r="AD634" s="1083"/>
      <c r="AE634" s="1084"/>
      <c r="AF634" s="1135"/>
      <c r="AG634" s="1136"/>
      <c r="AH634" s="1136"/>
      <c r="AI634" s="1136"/>
      <c r="AJ634" s="1137"/>
      <c r="AK634" s="1227"/>
      <c r="AL634" s="1228"/>
      <c r="AM634" s="1228"/>
      <c r="AN634" s="1229"/>
      <c r="AO634" s="1081"/>
      <c r="AP634" s="1081"/>
      <c r="AQ634" s="1081"/>
      <c r="AR634" s="1081"/>
      <c r="AS634" s="1081"/>
      <c r="AT634" s="834" t="str">
        <f t="shared" si="28"/>
        <v/>
      </c>
      <c r="AU634" s="37"/>
      <c r="AV634" s="37"/>
      <c r="AW634" s="37"/>
      <c r="AX634" s="37"/>
      <c r="AY634" s="37"/>
      <c r="AZ634" s="37"/>
      <c r="BE634" s="1034">
        <f>IF(AND(AH737&lt;=0.5,AH737&gt;=0.36),1,0)</f>
        <v>0</v>
      </c>
      <c r="BF634" s="1037"/>
      <c r="BG634" s="1034">
        <f>IF(BE634=1,G737,0)</f>
        <v>0</v>
      </c>
      <c r="BH634" s="1037"/>
      <c r="BI634" s="1034">
        <f>IF(AND(AH737&lt;=0.35,AH737&gt;0),1,0)</f>
        <v>0</v>
      </c>
      <c r="BJ634" s="1037"/>
      <c r="BK634" s="1034">
        <f>IF(BI634=1,G737,0)</f>
        <v>0</v>
      </c>
      <c r="BL634" s="1037"/>
      <c r="BN634" s="1034">
        <f>SUM(BN599:BR633)</f>
        <v>57</v>
      </c>
      <c r="BO634" s="1035"/>
      <c r="BP634" s="1035"/>
      <c r="BQ634" s="1035"/>
      <c r="BR634" s="1037"/>
      <c r="BS634" s="1034">
        <f>SUM(BS599:BW633)</f>
        <v>0</v>
      </c>
      <c r="BT634" s="1035"/>
      <c r="BU634" s="1035"/>
      <c r="BV634" s="1035"/>
      <c r="BW634" s="1037"/>
      <c r="BX634" s="1034">
        <f>SUM(BX599:CB633)</f>
        <v>0</v>
      </c>
      <c r="BY634" s="1035"/>
      <c r="BZ634" s="1035"/>
      <c r="CA634" s="1035"/>
      <c r="CB634" s="1037"/>
      <c r="CC634" s="1034">
        <f>SUM(CC599:CG633)</f>
        <v>0</v>
      </c>
      <c r="CD634" s="1035"/>
      <c r="CE634" s="1035"/>
      <c r="CF634" s="1035"/>
      <c r="CG634" s="1037"/>
      <c r="CH634" s="1034">
        <f>SUM(CH599:CL633)</f>
        <v>0</v>
      </c>
      <c r="CI634" s="1035"/>
      <c r="CJ634" s="1035"/>
      <c r="CK634" s="1035"/>
      <c r="CL634" s="1037"/>
      <c r="CM634" s="1034">
        <f>SUM(CM599:CQ633)</f>
        <v>0</v>
      </c>
      <c r="CN634" s="1035"/>
      <c r="CO634" s="1035"/>
      <c r="CP634" s="1035"/>
      <c r="CQ634" s="1037"/>
      <c r="CS634" s="1031">
        <f>IF(AND(B737="SRO/Studio",AH737&lt;=0.3),G737,0)</f>
        <v>0</v>
      </c>
      <c r="CT634" s="1032"/>
      <c r="CU634" s="1032"/>
      <c r="CV634" s="1032"/>
      <c r="CW634" s="1033"/>
      <c r="CX634" s="1031">
        <f>IF(AND(B737="1 Bedroom",AH737&lt;=0.3),G737,0)</f>
        <v>0</v>
      </c>
      <c r="CY634" s="1032"/>
      <c r="CZ634" s="1032"/>
      <c r="DA634" s="1032"/>
      <c r="DB634" s="1033"/>
      <c r="DC634" s="1031">
        <f>IF(AND(B737="2 Bedrooms",AH737&lt;=0.3),G737,0)</f>
        <v>0</v>
      </c>
      <c r="DD634" s="1032"/>
      <c r="DE634" s="1032"/>
      <c r="DF634" s="1032"/>
      <c r="DG634" s="1033"/>
      <c r="DH634" s="1031">
        <f>IF(AND(B737="3 Bedrooms",AH737&lt;=0.3),G737,0)</f>
        <v>0</v>
      </c>
      <c r="DI634" s="1032"/>
      <c r="DJ634" s="1032"/>
      <c r="DK634" s="1032"/>
      <c r="DL634" s="1033"/>
      <c r="DM634" s="1031">
        <f>IF(AND(B737="4 Bedrooms",AH737&lt;=0.3),G737,0)</f>
        <v>0</v>
      </c>
      <c r="DN634" s="1032"/>
      <c r="DO634" s="1032"/>
      <c r="DP634" s="1032"/>
      <c r="DQ634" s="1033"/>
      <c r="DR634" s="1031">
        <f>IF(AND(B737="5 Bedrooms",AH737&lt;=0.3),G737,0)</f>
        <v>0</v>
      </c>
      <c r="DS634" s="1032"/>
      <c r="DT634" s="1032"/>
      <c r="DU634" s="1032"/>
      <c r="DV634" s="1033"/>
    </row>
    <row r="635" spans="2:126" ht="12.95" customHeight="1" thickBot="1">
      <c r="B635" s="51" t="s">
        <v>1321</v>
      </c>
      <c r="C635" s="1070"/>
      <c r="D635" s="1070"/>
      <c r="E635" s="1070"/>
      <c r="F635" s="1070"/>
      <c r="G635" s="1070"/>
      <c r="H635" s="1070"/>
      <c r="I635" s="1070"/>
      <c r="J635" s="1070"/>
      <c r="K635" s="1070"/>
      <c r="L635" s="1070"/>
      <c r="M635" s="1876" t="s">
        <v>1268</v>
      </c>
      <c r="N635" s="1876"/>
      <c r="O635" s="1876"/>
      <c r="P635" s="1876"/>
      <c r="Q635" s="1877"/>
      <c r="R635" s="1878"/>
      <c r="S635" s="1879"/>
      <c r="T635" s="1880"/>
      <c r="U635" s="1881"/>
      <c r="V635" s="1882"/>
      <c r="W635" s="1883"/>
      <c r="X635" s="1884"/>
      <c r="Y635" s="1885"/>
      <c r="Z635" s="1886" t="s">
        <v>1268</v>
      </c>
      <c r="AA635" s="1887"/>
      <c r="AB635" s="1888"/>
      <c r="AC635" s="1082"/>
      <c r="AD635" s="1083"/>
      <c r="AE635" s="1084"/>
      <c r="AF635" s="1135"/>
      <c r="AG635" s="1136"/>
      <c r="AH635" s="1136"/>
      <c r="AI635" s="1136"/>
      <c r="AJ635" s="1137"/>
      <c r="AK635" s="1227"/>
      <c r="AL635" s="1228"/>
      <c r="AM635" s="1228"/>
      <c r="AN635" s="1229"/>
      <c r="AO635" s="1081"/>
      <c r="AP635" s="1081"/>
      <c r="AQ635" s="1081"/>
      <c r="AR635" s="1081"/>
      <c r="AS635" s="1081"/>
      <c r="AT635" s="834" t="str">
        <f t="shared" si="28"/>
        <v/>
      </c>
      <c r="AU635" s="37"/>
      <c r="AV635" s="37"/>
      <c r="AW635" s="37"/>
      <c r="AX635" s="37"/>
      <c r="AY635" s="37"/>
      <c r="AZ635" s="37"/>
      <c r="BE635" s="37"/>
      <c r="BF635" s="37"/>
      <c r="BG635" s="1034">
        <f>SUM(BG600:BH634)</f>
        <v>0</v>
      </c>
      <c r="BH635" s="1037"/>
      <c r="BI635" s="37"/>
      <c r="BJ635" s="37"/>
      <c r="BK635" s="1034">
        <f>SUM(BK600:BL634)</f>
        <v>57</v>
      </c>
      <c r="BL635" s="1037"/>
      <c r="BN635" s="37" t="s">
        <v>1364</v>
      </c>
      <c r="BO635" s="37"/>
      <c r="BP635" s="37"/>
      <c r="BQ635" s="37"/>
      <c r="BR635" s="381">
        <f>BN634*1</f>
        <v>57</v>
      </c>
      <c r="BS635" s="37"/>
      <c r="BT635" s="37"/>
      <c r="BU635" s="37"/>
      <c r="BV635" s="37"/>
      <c r="BW635" s="381">
        <f>BS634*1</f>
        <v>0</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1034">
        <f>SUM(CS600:CW634)</f>
        <v>57</v>
      </c>
      <c r="CT635" s="1035"/>
      <c r="CU635" s="1035"/>
      <c r="CV635" s="1035"/>
      <c r="CW635" s="1037"/>
      <c r="CX635" s="1034">
        <f>SUM(CX600:DB634)</f>
        <v>0</v>
      </c>
      <c r="CY635" s="1035"/>
      <c r="CZ635" s="1035"/>
      <c r="DA635" s="1035"/>
      <c r="DB635" s="1037"/>
      <c r="DC635" s="1034">
        <f>SUM(DC600:DG634)</f>
        <v>0</v>
      </c>
      <c r="DD635" s="1035"/>
      <c r="DE635" s="1035"/>
      <c r="DF635" s="1035"/>
      <c r="DG635" s="1037"/>
      <c r="DH635" s="1034">
        <f>SUM(DH600:DL634)</f>
        <v>0</v>
      </c>
      <c r="DI635" s="1035"/>
      <c r="DJ635" s="1035"/>
      <c r="DK635" s="1035"/>
      <c r="DL635" s="1037"/>
      <c r="DM635" s="1034">
        <f>SUM(DM600:DQ634)</f>
        <v>0</v>
      </c>
      <c r="DN635" s="1035"/>
      <c r="DO635" s="1035"/>
      <c r="DP635" s="1035"/>
      <c r="DQ635" s="1037"/>
      <c r="DR635" s="1034">
        <f>SUM(DR600:DV634)</f>
        <v>0</v>
      </c>
      <c r="DS635" s="1035"/>
      <c r="DT635" s="1035"/>
      <c r="DU635" s="1035"/>
      <c r="DV635" s="1037"/>
    </row>
    <row r="636" spans="2:126" ht="12.95" customHeight="1" thickBot="1">
      <c r="B636" s="51" t="s">
        <v>1322</v>
      </c>
      <c r="C636" s="1070"/>
      <c r="D636" s="1070"/>
      <c r="E636" s="1070"/>
      <c r="F636" s="1070"/>
      <c r="G636" s="1070"/>
      <c r="H636" s="1070"/>
      <c r="I636" s="1070"/>
      <c r="J636" s="1070"/>
      <c r="K636" s="1070"/>
      <c r="L636" s="1070"/>
      <c r="M636" s="1876" t="s">
        <v>1268</v>
      </c>
      <c r="N636" s="1876"/>
      <c r="O636" s="1876"/>
      <c r="P636" s="1876"/>
      <c r="Q636" s="1877"/>
      <c r="R636" s="1878"/>
      <c r="S636" s="1879"/>
      <c r="T636" s="1880"/>
      <c r="U636" s="1881"/>
      <c r="V636" s="1882"/>
      <c r="W636" s="1883"/>
      <c r="X636" s="1884"/>
      <c r="Y636" s="1885"/>
      <c r="Z636" s="1886" t="s">
        <v>1268</v>
      </c>
      <c r="AA636" s="1887"/>
      <c r="AB636" s="1888"/>
      <c r="AC636" s="1082"/>
      <c r="AD636" s="1083"/>
      <c r="AE636" s="1084"/>
      <c r="AF636" s="1135"/>
      <c r="AG636" s="1136"/>
      <c r="AH636" s="1136"/>
      <c r="AI636" s="1136"/>
      <c r="AJ636" s="1137"/>
      <c r="AK636" s="1227"/>
      <c r="AL636" s="1228"/>
      <c r="AM636" s="1228"/>
      <c r="AN636" s="1229"/>
      <c r="AO636" s="1081"/>
      <c r="AP636" s="1081"/>
      <c r="AQ636" s="1081"/>
      <c r="AR636" s="1081"/>
      <c r="AS636" s="1081"/>
      <c r="AT636" s="834" t="str">
        <f t="shared" si="28"/>
        <v/>
      </c>
      <c r="AU636" s="37"/>
      <c r="AV636" s="37"/>
      <c r="AW636" s="37"/>
      <c r="AX636" s="37"/>
      <c r="AY636" s="37"/>
      <c r="AZ636" s="37"/>
      <c r="BN636" s="37" t="s">
        <v>1365</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1366</v>
      </c>
      <c r="CQ636" s="382">
        <f>BR635+BW635+CB635+CG635+CL635+CQ635</f>
        <v>57</v>
      </c>
      <c r="CR636" s="37"/>
      <c r="CS636" s="37"/>
    </row>
    <row r="637" spans="2:126" ht="12.95" customHeight="1">
      <c r="B637" s="51" t="s">
        <v>1323</v>
      </c>
      <c r="C637" s="1070"/>
      <c r="D637" s="1070"/>
      <c r="E637" s="1070"/>
      <c r="F637" s="1070"/>
      <c r="G637" s="1070"/>
      <c r="H637" s="1070"/>
      <c r="I637" s="1070"/>
      <c r="J637" s="1070"/>
      <c r="K637" s="1070"/>
      <c r="L637" s="1070"/>
      <c r="M637" s="1876" t="s">
        <v>1268</v>
      </c>
      <c r="N637" s="1876"/>
      <c r="O637" s="1876"/>
      <c r="P637" s="1876"/>
      <c r="Q637" s="1877"/>
      <c r="R637" s="1878"/>
      <c r="S637" s="1879"/>
      <c r="T637" s="1880"/>
      <c r="U637" s="1881"/>
      <c r="V637" s="1882"/>
      <c r="W637" s="1883"/>
      <c r="X637" s="1884"/>
      <c r="Y637" s="1885"/>
      <c r="Z637" s="1886" t="s">
        <v>1268</v>
      </c>
      <c r="AA637" s="1887"/>
      <c r="AB637" s="1888"/>
      <c r="AC637" s="1082"/>
      <c r="AD637" s="1083"/>
      <c r="AE637" s="1084"/>
      <c r="AF637" s="1135"/>
      <c r="AG637" s="1136"/>
      <c r="AH637" s="1136"/>
      <c r="AI637" s="1136"/>
      <c r="AJ637" s="1137"/>
      <c r="AK637" s="1227"/>
      <c r="AL637" s="1228"/>
      <c r="AM637" s="1228"/>
      <c r="AN637" s="1229"/>
      <c r="AO637" s="1081"/>
      <c r="AP637" s="1081"/>
      <c r="AQ637" s="1081"/>
      <c r="AR637" s="1081"/>
      <c r="AS637" s="1081"/>
      <c r="AT637" s="834" t="str">
        <f t="shared" si="28"/>
        <v/>
      </c>
      <c r="AU637" s="37"/>
      <c r="AV637" s="37"/>
      <c r="AW637" s="37"/>
      <c r="AX637" s="37"/>
      <c r="AY637" s="37"/>
      <c r="AZ637" s="37"/>
      <c r="BN637" s="1034">
        <f>IF(J760="SRO/Studio",O760,0)</f>
        <v>0</v>
      </c>
      <c r="BO637" s="1035"/>
      <c r="BP637" s="1035"/>
      <c r="BQ637" s="1035"/>
      <c r="BR637" s="1037"/>
      <c r="BS637" s="1034">
        <f>IF(J760="1 Bedroom",O760,0)</f>
        <v>0</v>
      </c>
      <c r="BT637" s="1035"/>
      <c r="BU637" s="1035"/>
      <c r="BV637" s="1035"/>
      <c r="BW637" s="1037"/>
      <c r="BX637" s="1034">
        <f>IF(J760="2 Bedrooms",O760,0)</f>
        <v>1</v>
      </c>
      <c r="BY637" s="1035"/>
      <c r="BZ637" s="1035"/>
      <c r="CA637" s="1035"/>
      <c r="CB637" s="1037"/>
      <c r="CC637" s="1034">
        <f>IF(J760="3 Bedrooms",O760,0)</f>
        <v>0</v>
      </c>
      <c r="CD637" s="1035"/>
      <c r="CE637" s="1035"/>
      <c r="CF637" s="1035"/>
      <c r="CG637" s="1037"/>
      <c r="CH637" s="1034">
        <f>IF(J760="4 Bedrooms",O760,0)</f>
        <v>0</v>
      </c>
      <c r="CI637" s="1035"/>
      <c r="CJ637" s="1035"/>
      <c r="CK637" s="1035"/>
      <c r="CL637" s="1037"/>
      <c r="CM637" s="1038">
        <f>IF(J760="5 Bedrooms",O760,0)</f>
        <v>0</v>
      </c>
      <c r="CN637" s="1039"/>
      <c r="CO637" s="1039"/>
      <c r="CP637" s="1039"/>
      <c r="CQ637" s="1036"/>
      <c r="CR637" s="37"/>
      <c r="CS637" s="37"/>
    </row>
    <row r="638" spans="2:126" ht="12.95" customHeight="1">
      <c r="B638" s="51" t="s">
        <v>1324</v>
      </c>
      <c r="C638" s="1070"/>
      <c r="D638" s="1070"/>
      <c r="E638" s="1070"/>
      <c r="F638" s="1070"/>
      <c r="G638" s="1070"/>
      <c r="H638" s="1070"/>
      <c r="I638" s="1070"/>
      <c r="J638" s="1070"/>
      <c r="K638" s="1070"/>
      <c r="L638" s="1070"/>
      <c r="M638" s="1876" t="s">
        <v>1268</v>
      </c>
      <c r="N638" s="1876"/>
      <c r="O638" s="1876"/>
      <c r="P638" s="1876"/>
      <c r="Q638" s="1877"/>
      <c r="R638" s="1878"/>
      <c r="S638" s="1879"/>
      <c r="T638" s="1880"/>
      <c r="U638" s="1881"/>
      <c r="V638" s="1882"/>
      <c r="W638" s="1883"/>
      <c r="X638" s="1884"/>
      <c r="Y638" s="1885"/>
      <c r="Z638" s="1886" t="s">
        <v>1268</v>
      </c>
      <c r="AA638" s="1887"/>
      <c r="AB638" s="1888"/>
      <c r="AC638" s="1082"/>
      <c r="AD638" s="1083"/>
      <c r="AE638" s="1084"/>
      <c r="AF638" s="1135"/>
      <c r="AG638" s="1136"/>
      <c r="AH638" s="1136"/>
      <c r="AI638" s="1136"/>
      <c r="AJ638" s="1137"/>
      <c r="AK638" s="1227"/>
      <c r="AL638" s="1228"/>
      <c r="AM638" s="1228"/>
      <c r="AN638" s="1229"/>
      <c r="AO638" s="1081"/>
      <c r="AP638" s="1081"/>
      <c r="AQ638" s="1081"/>
      <c r="AR638" s="1081"/>
      <c r="AS638" s="1081"/>
      <c r="AT638" s="834" t="str">
        <f t="shared" si="28"/>
        <v/>
      </c>
      <c r="AU638" s="37"/>
      <c r="AV638" s="37"/>
      <c r="AW638" s="37"/>
      <c r="AX638" s="37"/>
      <c r="AY638" s="37"/>
      <c r="AZ638" s="37"/>
      <c r="BN638" s="1034">
        <f>IF(J761="SRO/Studio",O761,0)</f>
        <v>0</v>
      </c>
      <c r="BO638" s="1035"/>
      <c r="BP638" s="1035"/>
      <c r="BQ638" s="1035"/>
      <c r="BR638" s="1037"/>
      <c r="BS638" s="1034">
        <f>IF(J761="1 Bedroom",O761,0)</f>
        <v>0</v>
      </c>
      <c r="BT638" s="1035"/>
      <c r="BU638" s="1035"/>
      <c r="BV638" s="1035"/>
      <c r="BW638" s="1037"/>
      <c r="BX638" s="1034">
        <f>IF(J761="2 Bedrooms",O761,0)</f>
        <v>0</v>
      </c>
      <c r="BY638" s="1035"/>
      <c r="BZ638" s="1035"/>
      <c r="CA638" s="1035"/>
      <c r="CB638" s="1037"/>
      <c r="CC638" s="1034">
        <f>IF(J761="3 Bedrooms",O761,0)</f>
        <v>0</v>
      </c>
      <c r="CD638" s="1035"/>
      <c r="CE638" s="1035"/>
      <c r="CF638" s="1035"/>
      <c r="CG638" s="1037"/>
      <c r="CH638" s="1034">
        <f>IF(J761="4 Bedrooms",O761,0)</f>
        <v>0</v>
      </c>
      <c r="CI638" s="1035"/>
      <c r="CJ638" s="1035"/>
      <c r="CK638" s="1035"/>
      <c r="CL638" s="1037"/>
      <c r="CM638" s="1038">
        <f>IF(J761="5 Bedrooms",O761,0)</f>
        <v>0</v>
      </c>
      <c r="CN638" s="1039"/>
      <c r="CO638" s="1039"/>
      <c r="CP638" s="1039"/>
      <c r="CQ638" s="1036"/>
      <c r="CR638" s="37"/>
      <c r="CS638" s="37"/>
    </row>
    <row r="639" spans="2:126" ht="12.95" customHeight="1">
      <c r="B639" s="51" t="s">
        <v>1325</v>
      </c>
      <c r="C639" s="1070"/>
      <c r="D639" s="1070"/>
      <c r="E639" s="1070"/>
      <c r="F639" s="1070"/>
      <c r="G639" s="1070"/>
      <c r="H639" s="1070"/>
      <c r="I639" s="1070"/>
      <c r="J639" s="1070"/>
      <c r="K639" s="1070"/>
      <c r="L639" s="1070"/>
      <c r="M639" s="1876" t="s">
        <v>1268</v>
      </c>
      <c r="N639" s="1876"/>
      <c r="O639" s="1876"/>
      <c r="P639" s="1876"/>
      <c r="Q639" s="1877"/>
      <c r="R639" s="1878"/>
      <c r="S639" s="1879"/>
      <c r="T639" s="1880"/>
      <c r="U639" s="1881"/>
      <c r="V639" s="1882"/>
      <c r="W639" s="1883"/>
      <c r="X639" s="1884"/>
      <c r="Y639" s="1885"/>
      <c r="Z639" s="1886" t="s">
        <v>1268</v>
      </c>
      <c r="AA639" s="1887"/>
      <c r="AB639" s="1888"/>
      <c r="AC639" s="1082"/>
      <c r="AD639" s="1083"/>
      <c r="AE639" s="1084"/>
      <c r="AF639" s="1135"/>
      <c r="AG639" s="1136"/>
      <c r="AH639" s="1136"/>
      <c r="AI639" s="1136"/>
      <c r="AJ639" s="1137"/>
      <c r="AK639" s="1227"/>
      <c r="AL639" s="1228"/>
      <c r="AM639" s="1228"/>
      <c r="AN639" s="1229"/>
      <c r="AO639" s="1081"/>
      <c r="AP639" s="1081"/>
      <c r="AQ639" s="1081"/>
      <c r="AR639" s="1081"/>
      <c r="AS639" s="1081"/>
      <c r="AT639" s="834" t="str">
        <f t="shared" si="28"/>
        <v/>
      </c>
      <c r="AU639" s="37"/>
      <c r="AV639" s="37"/>
      <c r="AW639" s="37"/>
      <c r="AX639" s="37"/>
      <c r="AY639" s="37"/>
      <c r="AZ639" s="37"/>
      <c r="BN639" s="1034">
        <f>IF(J762="SRO/Studio",O762,0)</f>
        <v>0</v>
      </c>
      <c r="BO639" s="1035"/>
      <c r="BP639" s="1035"/>
      <c r="BQ639" s="1035"/>
      <c r="BR639" s="1037"/>
      <c r="BS639" s="1034">
        <f>IF(J762="1 Bedroom",O762,0)</f>
        <v>0</v>
      </c>
      <c r="BT639" s="1035"/>
      <c r="BU639" s="1035"/>
      <c r="BV639" s="1035"/>
      <c r="BW639" s="1037"/>
      <c r="BX639" s="1034">
        <f>IF(J762="2 Bedrooms",O762,0)</f>
        <v>0</v>
      </c>
      <c r="BY639" s="1035"/>
      <c r="BZ639" s="1035"/>
      <c r="CA639" s="1035"/>
      <c r="CB639" s="1037"/>
      <c r="CC639" s="1034">
        <f>IF(J762="3 Bedrooms",O762,0)</f>
        <v>0</v>
      </c>
      <c r="CD639" s="1035"/>
      <c r="CE639" s="1035"/>
      <c r="CF639" s="1035"/>
      <c r="CG639" s="1037"/>
      <c r="CH639" s="1034">
        <f>IF(J762="4 Bedrooms",O762,0)</f>
        <v>0</v>
      </c>
      <c r="CI639" s="1035"/>
      <c r="CJ639" s="1035"/>
      <c r="CK639" s="1035"/>
      <c r="CL639" s="1037"/>
      <c r="CM639" s="1038">
        <f>IF(J762="5 Bedrooms",O762,0)</f>
        <v>0</v>
      </c>
      <c r="CN639" s="1039"/>
      <c r="CO639" s="1039"/>
      <c r="CP639" s="1039"/>
      <c r="CQ639" s="1036"/>
      <c r="CR639" s="37"/>
      <c r="CS639" s="37"/>
    </row>
    <row r="640" spans="2:126" ht="12.95" customHeight="1">
      <c r="B640" s="51" t="s">
        <v>1326</v>
      </c>
      <c r="C640" s="1070"/>
      <c r="D640" s="1070"/>
      <c r="E640" s="1070"/>
      <c r="F640" s="1070"/>
      <c r="G640" s="1070"/>
      <c r="H640" s="1070"/>
      <c r="I640" s="1070"/>
      <c r="J640" s="1070"/>
      <c r="K640" s="1070"/>
      <c r="L640" s="1070"/>
      <c r="M640" s="1876" t="s">
        <v>1268</v>
      </c>
      <c r="N640" s="1876"/>
      <c r="O640" s="1876"/>
      <c r="P640" s="1876"/>
      <c r="Q640" s="1877"/>
      <c r="R640" s="1878"/>
      <c r="S640" s="1879"/>
      <c r="T640" s="1880"/>
      <c r="U640" s="1881"/>
      <c r="V640" s="1882"/>
      <c r="W640" s="1883"/>
      <c r="X640" s="1884"/>
      <c r="Y640" s="1885"/>
      <c r="Z640" s="1886" t="s">
        <v>1268</v>
      </c>
      <c r="AA640" s="1887"/>
      <c r="AB640" s="1888"/>
      <c r="AC640" s="1082"/>
      <c r="AD640" s="1083"/>
      <c r="AE640" s="1084"/>
      <c r="AF640" s="1135"/>
      <c r="AG640" s="1136"/>
      <c r="AH640" s="1136"/>
      <c r="AI640" s="1136"/>
      <c r="AJ640" s="1137"/>
      <c r="AK640" s="1227"/>
      <c r="AL640" s="1228"/>
      <c r="AM640" s="1228"/>
      <c r="AN640" s="1229"/>
      <c r="AO640" s="1081"/>
      <c r="AP640" s="1081"/>
      <c r="AQ640" s="1081"/>
      <c r="AR640" s="1081"/>
      <c r="AS640" s="1081"/>
      <c r="AT640" s="834" t="str">
        <f t="shared" si="28"/>
        <v/>
      </c>
      <c r="AU640" s="37"/>
      <c r="AV640" s="37"/>
      <c r="AW640" s="37"/>
      <c r="AX640" s="37"/>
      <c r="AY640" s="37"/>
      <c r="AZ640" s="37"/>
      <c r="BN640" s="1034">
        <f>IF(J763="SRO/Studio",O763,0)</f>
        <v>0</v>
      </c>
      <c r="BO640" s="1035"/>
      <c r="BP640" s="1035"/>
      <c r="BQ640" s="1035"/>
      <c r="BR640" s="1037"/>
      <c r="BS640" s="1034">
        <f>IF(J763="1 Bedroom",O763,0)</f>
        <v>0</v>
      </c>
      <c r="BT640" s="1035"/>
      <c r="BU640" s="1035"/>
      <c r="BV640" s="1035"/>
      <c r="BW640" s="1037"/>
      <c r="BX640" s="1034">
        <f>IF(J763="2 Bedrooms",O763,0)</f>
        <v>0</v>
      </c>
      <c r="BY640" s="1035"/>
      <c r="BZ640" s="1035"/>
      <c r="CA640" s="1035"/>
      <c r="CB640" s="1037"/>
      <c r="CC640" s="1034">
        <f>IF(J763="3 Bedrooms",O763,0)</f>
        <v>0</v>
      </c>
      <c r="CD640" s="1035"/>
      <c r="CE640" s="1035"/>
      <c r="CF640" s="1035"/>
      <c r="CG640" s="1037"/>
      <c r="CH640" s="1034">
        <f>IF(J763="4 Bedrooms",O763,0)</f>
        <v>0</v>
      </c>
      <c r="CI640" s="1035"/>
      <c r="CJ640" s="1035"/>
      <c r="CK640" s="1035"/>
      <c r="CL640" s="1037"/>
      <c r="CM640" s="1038">
        <f>IF(J763="5 Bedrooms",O763,0)</f>
        <v>0</v>
      </c>
      <c r="CN640" s="1039"/>
      <c r="CO640" s="1039"/>
      <c r="CP640" s="1039"/>
      <c r="CQ640" s="1036"/>
      <c r="CR640" s="37"/>
      <c r="CS640" s="37"/>
    </row>
    <row r="641" spans="1:99" ht="12.95" customHeight="1">
      <c r="B641" s="1077" t="s">
        <v>1367</v>
      </c>
      <c r="C641" s="1078"/>
      <c r="D641" s="1078"/>
      <c r="E641" s="1078"/>
      <c r="F641" s="1078"/>
      <c r="G641" s="1078"/>
      <c r="H641" s="1078"/>
      <c r="I641" s="1078"/>
      <c r="J641" s="1078"/>
      <c r="K641" s="1078"/>
      <c r="L641" s="1078"/>
      <c r="M641" s="1078"/>
      <c r="N641" s="1078"/>
      <c r="O641" s="1078"/>
      <c r="P641" s="1078"/>
      <c r="Q641" s="1078"/>
      <c r="R641" s="1078"/>
      <c r="S641" s="1078"/>
      <c r="T641" s="1078"/>
      <c r="U641" s="1078"/>
      <c r="V641" s="1078"/>
      <c r="W641" s="1078"/>
      <c r="X641" s="1078"/>
      <c r="Y641" s="1078"/>
      <c r="Z641" s="1078"/>
      <c r="AA641" s="1078"/>
      <c r="AB641" s="1078"/>
      <c r="AC641" s="1078"/>
      <c r="AD641" s="1078"/>
      <c r="AE641" s="1078"/>
      <c r="AF641" s="1078"/>
      <c r="AG641" s="1078"/>
      <c r="AH641" s="1078"/>
      <c r="AI641" s="1078"/>
      <c r="AJ641" s="1078"/>
      <c r="AK641" s="1078"/>
      <c r="AL641" s="1078"/>
      <c r="AM641" s="1078"/>
      <c r="AN641" s="1080"/>
      <c r="AO641" s="1172">
        <f>SUM(AO629:AS640)</f>
        <v>16834145</v>
      </c>
      <c r="AP641" s="1173"/>
      <c r="AQ641" s="1173"/>
      <c r="AR641" s="1173"/>
      <c r="AS641" s="1174"/>
      <c r="AT641" s="37"/>
      <c r="AU641" s="37"/>
      <c r="AV641" s="37"/>
      <c r="AW641" s="37"/>
      <c r="AX641" s="37"/>
      <c r="AY641" s="37"/>
      <c r="AZ641" s="37"/>
      <c r="BN641" s="1034">
        <f>SUM(BN637:BR640)</f>
        <v>0</v>
      </c>
      <c r="BO641" s="1035"/>
      <c r="BP641" s="1035"/>
      <c r="BQ641" s="1035"/>
      <c r="BR641" s="1037"/>
      <c r="BS641" s="1034">
        <f>SUM(BS637:BW640)</f>
        <v>0</v>
      </c>
      <c r="BT641" s="1035"/>
      <c r="BU641" s="1035"/>
      <c r="BV641" s="1035"/>
      <c r="BW641" s="1037"/>
      <c r="BX641" s="1034">
        <f>SUM(BX637:CB640)</f>
        <v>1</v>
      </c>
      <c r="BY641" s="1035"/>
      <c r="BZ641" s="1035"/>
      <c r="CA641" s="1035"/>
      <c r="CB641" s="1037"/>
      <c r="CC641" s="1034">
        <f>SUM(CC637:CG640)</f>
        <v>0</v>
      </c>
      <c r="CD641" s="1035"/>
      <c r="CE641" s="1035"/>
      <c r="CF641" s="1035"/>
      <c r="CG641" s="1037"/>
      <c r="CH641" s="1034">
        <f>SUM(CH637:CL640)</f>
        <v>0</v>
      </c>
      <c r="CI641" s="1035"/>
      <c r="CJ641" s="1035"/>
      <c r="CK641" s="1035"/>
      <c r="CL641" s="1037"/>
      <c r="CM641" s="1034">
        <f>SUM(CM637:CQ640)</f>
        <v>0</v>
      </c>
      <c r="CN641" s="1035"/>
      <c r="CO641" s="1035"/>
      <c r="CP641" s="1035"/>
      <c r="CQ641" s="1037"/>
      <c r="CS641" s="381">
        <f>BN641+BS641+BX641+CC641+CH641+CM641</f>
        <v>1</v>
      </c>
      <c r="CT641" s="56" t="s">
        <v>1368</v>
      </c>
      <c r="CU641" s="37"/>
    </row>
    <row r="642" spans="1:99" ht="12.95" customHeight="1">
      <c r="B642" s="1077" t="s">
        <v>1369</v>
      </c>
      <c r="C642" s="1078"/>
      <c r="D642" s="1078"/>
      <c r="E642" s="1078"/>
      <c r="F642" s="1078"/>
      <c r="G642" s="1078"/>
      <c r="H642" s="1078"/>
      <c r="I642" s="1078"/>
      <c r="J642" s="1078"/>
      <c r="K642" s="1078"/>
      <c r="L642" s="1078"/>
      <c r="M642" s="1078"/>
      <c r="N642" s="1078"/>
      <c r="O642" s="1078"/>
      <c r="P642" s="1078"/>
      <c r="Q642" s="1078"/>
      <c r="R642" s="1078"/>
      <c r="S642" s="1078"/>
      <c r="T642" s="1078"/>
      <c r="U642" s="1078"/>
      <c r="V642" s="1078"/>
      <c r="W642" s="1078"/>
      <c r="X642" s="1078"/>
      <c r="Y642" s="1078"/>
      <c r="Z642" s="1078"/>
      <c r="AA642" s="1078"/>
      <c r="AB642" s="1078"/>
      <c r="AC642" s="1078"/>
      <c r="AD642" s="1078"/>
      <c r="AE642" s="1078"/>
      <c r="AF642" s="1078"/>
      <c r="AG642" s="1078"/>
      <c r="AH642" s="1078"/>
      <c r="AI642" s="1078"/>
      <c r="AJ642" s="1078"/>
      <c r="AK642" s="1078"/>
      <c r="AL642" s="1078"/>
      <c r="AM642" s="1078"/>
      <c r="AN642" s="1080"/>
      <c r="AO642" s="1176">
        <f>14926932-215000</f>
        <v>14711932</v>
      </c>
      <c r="AP642" s="1177"/>
      <c r="AQ642" s="1177"/>
      <c r="AR642" s="1177"/>
      <c r="AS642" s="1178"/>
      <c r="AT642" s="37"/>
      <c r="AU642" s="37"/>
      <c r="AV642" s="37"/>
      <c r="AW642" s="37"/>
      <c r="AX642" s="37"/>
      <c r="AY642" s="37"/>
      <c r="AZ642" s="37"/>
      <c r="BN642" s="37" t="s">
        <v>1370</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31" t="s">
        <v>1371</v>
      </c>
      <c r="C643" s="1079"/>
      <c r="D643" s="1079"/>
      <c r="E643" s="1079"/>
      <c r="F643" s="1079"/>
      <c r="G643" s="1079"/>
      <c r="H643" s="1079"/>
      <c r="I643" s="1079"/>
      <c r="J643" s="1079"/>
      <c r="K643" s="1079"/>
      <c r="L643" s="1079"/>
      <c r="M643" s="1079"/>
      <c r="N643" s="1079"/>
      <c r="O643" s="1079"/>
      <c r="P643" s="1079"/>
      <c r="Q643" s="1079"/>
      <c r="R643" s="1079"/>
      <c r="S643" s="1079"/>
      <c r="T643" s="1079"/>
      <c r="U643" s="1079"/>
      <c r="V643" s="1079"/>
      <c r="W643" s="1079"/>
      <c r="X643" s="1079"/>
      <c r="Y643" s="1079"/>
      <c r="Z643" s="1079"/>
      <c r="AA643" s="1079"/>
      <c r="AB643" s="1079"/>
      <c r="AC643" s="1079"/>
      <c r="AD643" s="1079"/>
      <c r="AE643" s="1079"/>
      <c r="AF643" s="1079"/>
      <c r="AG643" s="1079"/>
      <c r="AH643" s="1079"/>
      <c r="AI643" s="1079"/>
      <c r="AJ643" s="1079"/>
      <c r="AK643" s="1079"/>
      <c r="AL643" s="1079"/>
      <c r="AM643" s="1079"/>
      <c r="AN643" s="1232"/>
      <c r="AO643" s="1172">
        <f>AO641+AO642</f>
        <v>31546077</v>
      </c>
      <c r="AP643" s="1173"/>
      <c r="AQ643" s="1173"/>
      <c r="AR643" s="1173"/>
      <c r="AS643" s="1174"/>
      <c r="AT643" s="37"/>
      <c r="AU643" s="37"/>
      <c r="AV643" s="37"/>
      <c r="AW643" s="37"/>
      <c r="AX643" s="37"/>
      <c r="AY643" s="37"/>
      <c r="AZ643" s="37"/>
      <c r="BN643" s="1034">
        <f t="shared" ref="BN643:BN652" si="29">IF(J774="SRO/Studio",O774,0)</f>
        <v>0</v>
      </c>
      <c r="BO643" s="1035"/>
      <c r="BP643" s="1035"/>
      <c r="BQ643" s="1035"/>
      <c r="BR643" s="1037"/>
      <c r="BS643" s="1034">
        <f t="shared" ref="BS643:BS652" si="30">IF(J774="1 Bedroom",O774,0)</f>
        <v>0</v>
      </c>
      <c r="BT643" s="1035"/>
      <c r="BU643" s="1035"/>
      <c r="BV643" s="1035"/>
      <c r="BW643" s="1037"/>
      <c r="BX643" s="1034">
        <f t="shared" ref="BX643:BX652" si="31">IF(J774="2 Bedrooms",O774,0)</f>
        <v>0</v>
      </c>
      <c r="BY643" s="1035"/>
      <c r="BZ643" s="1035"/>
      <c r="CA643" s="1035"/>
      <c r="CB643" s="1037"/>
      <c r="CC643" s="1034">
        <f t="shared" ref="CC643:CC652" si="32">IF(J774="3 Bedrooms",O774,0)</f>
        <v>0</v>
      </c>
      <c r="CD643" s="1035"/>
      <c r="CE643" s="1035"/>
      <c r="CF643" s="1035"/>
      <c r="CG643" s="1037"/>
      <c r="CH643" s="1034">
        <f t="shared" ref="CH643:CH652" si="33">IF(J774="4 Bedrooms",O774,0)</f>
        <v>0</v>
      </c>
      <c r="CI643" s="1035"/>
      <c r="CJ643" s="1035"/>
      <c r="CK643" s="1035"/>
      <c r="CL643" s="1037"/>
      <c r="CM643" s="1034">
        <f t="shared" ref="CM643:CM652" si="34">IF(J774="5 Bedrooms",O774,0)</f>
        <v>0</v>
      </c>
      <c r="CN643" s="1035"/>
      <c r="CO643" s="1035"/>
      <c r="CP643" s="1035"/>
      <c r="CQ643" s="1037"/>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4">
        <f t="shared" si="29"/>
        <v>0</v>
      </c>
      <c r="BO644" s="1035"/>
      <c r="BP644" s="1035"/>
      <c r="BQ644" s="1035"/>
      <c r="BR644" s="1037"/>
      <c r="BS644" s="1034">
        <f t="shared" si="30"/>
        <v>0</v>
      </c>
      <c r="BT644" s="1035"/>
      <c r="BU644" s="1035"/>
      <c r="BV644" s="1035"/>
      <c r="BW644" s="1037"/>
      <c r="BX644" s="1034">
        <f t="shared" si="31"/>
        <v>0</v>
      </c>
      <c r="BY644" s="1035"/>
      <c r="BZ644" s="1035"/>
      <c r="CA644" s="1035"/>
      <c r="CB644" s="1037"/>
      <c r="CC644" s="1034">
        <f t="shared" si="32"/>
        <v>0</v>
      </c>
      <c r="CD644" s="1035"/>
      <c r="CE644" s="1035"/>
      <c r="CF644" s="1035"/>
      <c r="CG644" s="1037"/>
      <c r="CH644" s="1034">
        <f t="shared" si="33"/>
        <v>0</v>
      </c>
      <c r="CI644" s="1035"/>
      <c r="CJ644" s="1035"/>
      <c r="CK644" s="1035"/>
      <c r="CL644" s="1037"/>
      <c r="CM644" s="1034">
        <f t="shared" si="34"/>
        <v>0</v>
      </c>
      <c r="CN644" s="1035"/>
      <c r="CO644" s="1035"/>
      <c r="CP644" s="1035"/>
      <c r="CQ644" s="1037"/>
      <c r="CR644" s="37"/>
      <c r="CS644" s="37"/>
    </row>
    <row r="645" spans="1:99" ht="12.95" customHeight="1">
      <c r="A645" s="54" t="s">
        <v>15</v>
      </c>
      <c r="B645" t="s">
        <v>1328</v>
      </c>
      <c r="C645"/>
      <c r="G645" s="1180" t="str">
        <f>C629</f>
        <v>SCCHA Perm Loan -- Tranche A</v>
      </c>
      <c r="H645" s="1180"/>
      <c r="I645" s="1180"/>
      <c r="J645" s="1180"/>
      <c r="K645" s="1180"/>
      <c r="L645" s="1180"/>
      <c r="M645" s="1180"/>
      <c r="N645" s="1180"/>
      <c r="O645" s="1180"/>
      <c r="P645" s="1180"/>
      <c r="Q645" s="1180"/>
      <c r="R645" s="1180"/>
      <c r="S645" s="12"/>
      <c r="T645" s="54" t="s">
        <v>28</v>
      </c>
      <c r="U645" t="s">
        <v>1328</v>
      </c>
      <c r="Z645" s="1180" t="str">
        <f>C630</f>
        <v>SCCHA Perm Loan -- Tranche B</v>
      </c>
      <c r="AA645" s="1180"/>
      <c r="AB645" s="1180"/>
      <c r="AC645" s="1180"/>
      <c r="AD645" s="1180"/>
      <c r="AE645" s="1180"/>
      <c r="AF645" s="1180"/>
      <c r="AG645" s="1180"/>
      <c r="AH645" s="1180"/>
      <c r="AI645" s="1180"/>
      <c r="AJ645" s="1180"/>
      <c r="AK645" s="1180"/>
      <c r="AM645" s="37"/>
      <c r="AN645" s="37"/>
      <c r="AO645" s="37"/>
      <c r="AP645" s="37"/>
      <c r="AQ645" s="37"/>
      <c r="AR645" s="37"/>
      <c r="AS645" s="37"/>
      <c r="AT645" s="37"/>
      <c r="AU645" s="37"/>
      <c r="AV645" s="37"/>
      <c r="AW645" s="37"/>
      <c r="AX645" s="37"/>
      <c r="AY645" s="37"/>
      <c r="AZ645" s="37"/>
      <c r="BN645" s="1034">
        <f t="shared" si="29"/>
        <v>0</v>
      </c>
      <c r="BO645" s="1035"/>
      <c r="BP645" s="1035"/>
      <c r="BQ645" s="1035"/>
      <c r="BR645" s="1037"/>
      <c r="BS645" s="1034">
        <f t="shared" si="30"/>
        <v>0</v>
      </c>
      <c r="BT645" s="1035"/>
      <c r="BU645" s="1035"/>
      <c r="BV645" s="1035"/>
      <c r="BW645" s="1037"/>
      <c r="BX645" s="1034">
        <f t="shared" si="31"/>
        <v>0</v>
      </c>
      <c r="BY645" s="1035"/>
      <c r="BZ645" s="1035"/>
      <c r="CA645" s="1035"/>
      <c r="CB645" s="1037"/>
      <c r="CC645" s="1034">
        <f t="shared" si="32"/>
        <v>0</v>
      </c>
      <c r="CD645" s="1035"/>
      <c r="CE645" s="1035"/>
      <c r="CF645" s="1035"/>
      <c r="CG645" s="1037"/>
      <c r="CH645" s="1034">
        <f t="shared" si="33"/>
        <v>0</v>
      </c>
      <c r="CI645" s="1035"/>
      <c r="CJ645" s="1035"/>
      <c r="CK645" s="1035"/>
      <c r="CL645" s="1037"/>
      <c r="CM645" s="1034">
        <f t="shared" si="34"/>
        <v>0</v>
      </c>
      <c r="CN645" s="1035"/>
      <c r="CO645" s="1035"/>
      <c r="CP645" s="1035"/>
      <c r="CQ645" s="1037"/>
      <c r="CR645" s="37"/>
      <c r="CS645" s="37"/>
    </row>
    <row r="646" spans="1:99" ht="12.95" customHeight="1">
      <c r="A646" s="4"/>
      <c r="B646" t="s">
        <v>983</v>
      </c>
      <c r="C646"/>
      <c r="G646" s="1358" t="s">
        <v>984</v>
      </c>
      <c r="H646" s="1020"/>
      <c r="I646" s="1020"/>
      <c r="J646" s="1020"/>
      <c r="K646" s="1020"/>
      <c r="L646" s="1020"/>
      <c r="M646" s="1020"/>
      <c r="N646" s="1020"/>
      <c r="O646" s="1020"/>
      <c r="P646" s="1020"/>
      <c r="Q646" s="1020"/>
      <c r="R646" s="1020"/>
      <c r="S646" s="12"/>
      <c r="T646" s="4"/>
      <c r="U646" t="s">
        <v>983</v>
      </c>
      <c r="Z646" s="1358" t="s">
        <v>984</v>
      </c>
      <c r="AA646" s="1020"/>
      <c r="AB646" s="1020"/>
      <c r="AC646" s="1020"/>
      <c r="AD646" s="1020"/>
      <c r="AE646" s="1020"/>
      <c r="AF646" s="1020"/>
      <c r="AG646" s="1020"/>
      <c r="AH646" s="1020"/>
      <c r="AI646" s="1020"/>
      <c r="AJ646" s="1020"/>
      <c r="AK646" s="1020"/>
      <c r="AM646" s="37"/>
      <c r="AN646" s="37"/>
      <c r="AO646" s="37"/>
      <c r="AP646" s="37"/>
      <c r="AQ646" s="37"/>
      <c r="AR646" s="37"/>
      <c r="AS646" s="37"/>
      <c r="AT646" s="37"/>
      <c r="AU646" s="37"/>
      <c r="AV646" s="37"/>
      <c r="AW646" s="37"/>
      <c r="AX646" s="37"/>
      <c r="AY646" s="37"/>
      <c r="AZ646" s="37"/>
      <c r="BN646" s="1034">
        <f t="shared" si="29"/>
        <v>0</v>
      </c>
      <c r="BO646" s="1035"/>
      <c r="BP646" s="1035"/>
      <c r="BQ646" s="1035"/>
      <c r="BR646" s="1037"/>
      <c r="BS646" s="1034">
        <f t="shared" si="30"/>
        <v>0</v>
      </c>
      <c r="BT646" s="1035"/>
      <c r="BU646" s="1035"/>
      <c r="BV646" s="1035"/>
      <c r="BW646" s="1037"/>
      <c r="BX646" s="1034">
        <f t="shared" si="31"/>
        <v>0</v>
      </c>
      <c r="BY646" s="1035"/>
      <c r="BZ646" s="1035"/>
      <c r="CA646" s="1035"/>
      <c r="CB646" s="1037"/>
      <c r="CC646" s="1034">
        <f t="shared" si="32"/>
        <v>0</v>
      </c>
      <c r="CD646" s="1035"/>
      <c r="CE646" s="1035"/>
      <c r="CF646" s="1035"/>
      <c r="CG646" s="1037"/>
      <c r="CH646" s="1034">
        <f t="shared" si="33"/>
        <v>0</v>
      </c>
      <c r="CI646" s="1035"/>
      <c r="CJ646" s="1035"/>
      <c r="CK646" s="1035"/>
      <c r="CL646" s="1037"/>
      <c r="CM646" s="1034">
        <f t="shared" si="34"/>
        <v>0</v>
      </c>
      <c r="CN646" s="1035"/>
      <c r="CO646" s="1035"/>
      <c r="CP646" s="1035"/>
      <c r="CQ646" s="1037"/>
      <c r="CR646" s="37"/>
      <c r="CS646" s="37"/>
    </row>
    <row r="647" spans="1:99" ht="12.95" customHeight="1">
      <c r="A647" s="4"/>
      <c r="B647" t="s">
        <v>847</v>
      </c>
      <c r="C647"/>
      <c r="G647" s="1020" t="s">
        <v>734</v>
      </c>
      <c r="H647" s="1020"/>
      <c r="I647" s="1020"/>
      <c r="J647" s="1020"/>
      <c r="K647" s="1020"/>
      <c r="L647" s="1020"/>
      <c r="M647" s="1020"/>
      <c r="N647" s="1020"/>
      <c r="O647" s="1020"/>
      <c r="P647" s="1020"/>
      <c r="Q647" s="1020"/>
      <c r="R647" s="1020"/>
      <c r="T647" s="4"/>
      <c r="U647" t="s">
        <v>847</v>
      </c>
      <c r="Z647" s="1230" t="s">
        <v>734</v>
      </c>
      <c r="AA647" s="1018"/>
      <c r="AB647" s="1018"/>
      <c r="AC647" s="1018"/>
      <c r="AD647" s="1018"/>
      <c r="AE647" s="1018"/>
      <c r="AF647" s="1018"/>
      <c r="AG647" s="1018"/>
      <c r="AH647" s="1018"/>
      <c r="AI647" s="1018"/>
      <c r="AJ647" s="1018"/>
      <c r="AK647" s="1018"/>
      <c r="AM647" s="37"/>
      <c r="AN647" s="37"/>
      <c r="AO647" s="37"/>
      <c r="AP647" s="37"/>
      <c r="AQ647" s="37"/>
      <c r="AR647" s="37"/>
      <c r="AS647" s="37"/>
      <c r="AT647" s="37"/>
      <c r="AU647" s="37"/>
      <c r="AV647" s="37"/>
      <c r="AW647" s="37"/>
      <c r="AX647" s="37"/>
      <c r="AY647" s="37"/>
      <c r="AZ647" s="37"/>
      <c r="BN647" s="1034">
        <f t="shared" si="29"/>
        <v>0</v>
      </c>
      <c r="BO647" s="1035"/>
      <c r="BP647" s="1035"/>
      <c r="BQ647" s="1035"/>
      <c r="BR647" s="1037"/>
      <c r="BS647" s="1034">
        <f t="shared" si="30"/>
        <v>0</v>
      </c>
      <c r="BT647" s="1035"/>
      <c r="BU647" s="1035"/>
      <c r="BV647" s="1035"/>
      <c r="BW647" s="1037"/>
      <c r="BX647" s="1034">
        <f t="shared" si="31"/>
        <v>0</v>
      </c>
      <c r="BY647" s="1035"/>
      <c r="BZ647" s="1035"/>
      <c r="CA647" s="1035"/>
      <c r="CB647" s="1037"/>
      <c r="CC647" s="1034">
        <f t="shared" si="32"/>
        <v>0</v>
      </c>
      <c r="CD647" s="1035"/>
      <c r="CE647" s="1035"/>
      <c r="CF647" s="1035"/>
      <c r="CG647" s="1037"/>
      <c r="CH647" s="1034">
        <f t="shared" si="33"/>
        <v>0</v>
      </c>
      <c r="CI647" s="1035"/>
      <c r="CJ647" s="1035"/>
      <c r="CK647" s="1035"/>
      <c r="CL647" s="1037"/>
      <c r="CM647" s="1034">
        <f t="shared" si="34"/>
        <v>0</v>
      </c>
      <c r="CN647" s="1035"/>
      <c r="CO647" s="1035"/>
      <c r="CP647" s="1035"/>
      <c r="CQ647" s="1037"/>
      <c r="CR647" s="37"/>
      <c r="CS647" s="37"/>
    </row>
    <row r="648" spans="1:99" ht="12.95" customHeight="1">
      <c r="A648" s="4"/>
      <c r="B648" t="s">
        <v>1331</v>
      </c>
      <c r="C648"/>
      <c r="G648" s="1358" t="s">
        <v>989</v>
      </c>
      <c r="H648" s="1020"/>
      <c r="I648" s="1020"/>
      <c r="J648" s="1020"/>
      <c r="K648" s="1020"/>
      <c r="L648" s="1020"/>
      <c r="M648" s="1020"/>
      <c r="N648" s="1020"/>
      <c r="O648" s="1020"/>
      <c r="P648" s="1020"/>
      <c r="Q648" s="1020"/>
      <c r="R648" s="1020"/>
      <c r="S648" s="12"/>
      <c r="T648" s="4"/>
      <c r="U648" t="s">
        <v>1331</v>
      </c>
      <c r="Z648" s="1356" t="s">
        <v>989</v>
      </c>
      <c r="AA648" s="1018"/>
      <c r="AB648" s="1018"/>
      <c r="AC648" s="1018"/>
      <c r="AD648" s="1018"/>
      <c r="AE648" s="1018"/>
      <c r="AF648" s="1018"/>
      <c r="AG648" s="1018"/>
      <c r="AH648" s="1018"/>
      <c r="AI648" s="1018"/>
      <c r="AJ648" s="1018"/>
      <c r="AK648" s="1018"/>
      <c r="AM648" s="37"/>
      <c r="AN648" s="37"/>
      <c r="AO648" s="37"/>
      <c r="AP648" s="37"/>
      <c r="AQ648" s="37"/>
      <c r="AR648" s="37"/>
      <c r="AS648" s="37"/>
      <c r="AT648" s="37"/>
      <c r="AU648" s="37"/>
      <c r="AV648" s="37"/>
      <c r="AW648" s="37"/>
      <c r="AX648" s="37"/>
      <c r="AY648" s="37"/>
      <c r="AZ648" s="37"/>
      <c r="BN648" s="1034">
        <f t="shared" si="29"/>
        <v>0</v>
      </c>
      <c r="BO648" s="1035"/>
      <c r="BP648" s="1035"/>
      <c r="BQ648" s="1035"/>
      <c r="BR648" s="1037"/>
      <c r="BS648" s="1034">
        <f t="shared" si="30"/>
        <v>0</v>
      </c>
      <c r="BT648" s="1035"/>
      <c r="BU648" s="1035"/>
      <c r="BV648" s="1035"/>
      <c r="BW648" s="1037"/>
      <c r="BX648" s="1034">
        <f t="shared" si="31"/>
        <v>0</v>
      </c>
      <c r="BY648" s="1035"/>
      <c r="BZ648" s="1035"/>
      <c r="CA648" s="1035"/>
      <c r="CB648" s="1037"/>
      <c r="CC648" s="1034">
        <f t="shared" si="32"/>
        <v>0</v>
      </c>
      <c r="CD648" s="1035"/>
      <c r="CE648" s="1035"/>
      <c r="CF648" s="1035"/>
      <c r="CG648" s="1037"/>
      <c r="CH648" s="1034">
        <f t="shared" si="33"/>
        <v>0</v>
      </c>
      <c r="CI648" s="1035"/>
      <c r="CJ648" s="1035"/>
      <c r="CK648" s="1035"/>
      <c r="CL648" s="1037"/>
      <c r="CM648" s="1034">
        <f t="shared" si="34"/>
        <v>0</v>
      </c>
      <c r="CN648" s="1035"/>
      <c r="CO648" s="1035"/>
      <c r="CP648" s="1035"/>
      <c r="CQ648" s="1037"/>
      <c r="CR648" s="37"/>
      <c r="CS648" s="37"/>
    </row>
    <row r="649" spans="1:99" ht="12.95" customHeight="1">
      <c r="A649" s="4"/>
      <c r="B649" t="s">
        <v>762</v>
      </c>
      <c r="C649"/>
      <c r="G649" s="1255" t="s">
        <v>1338</v>
      </c>
      <c r="H649" s="1024"/>
      <c r="I649" s="1024"/>
      <c r="J649" s="1024"/>
      <c r="K649" s="1024"/>
      <c r="L649" s="1024"/>
      <c r="O649" s="810" t="s">
        <v>992</v>
      </c>
      <c r="P649" s="1279"/>
      <c r="Q649" s="1279"/>
      <c r="R649" s="1279"/>
      <c r="S649" s="14"/>
      <c r="T649" s="4"/>
      <c r="U649" t="s">
        <v>762</v>
      </c>
      <c r="Z649" s="1255" t="s">
        <v>1338</v>
      </c>
      <c r="AA649" s="1024"/>
      <c r="AB649" s="1024"/>
      <c r="AC649" s="1024"/>
      <c r="AD649" s="1024"/>
      <c r="AE649" s="1024"/>
      <c r="AH649" s="810" t="s">
        <v>992</v>
      </c>
      <c r="AI649" s="1279"/>
      <c r="AJ649" s="1279"/>
      <c r="AK649" s="1279"/>
      <c r="AM649" s="37"/>
      <c r="AN649" s="37"/>
      <c r="AO649" s="37"/>
      <c r="AP649" s="37"/>
      <c r="AQ649" s="37"/>
      <c r="AR649" s="37"/>
      <c r="AS649" s="37"/>
      <c r="AT649" s="37"/>
      <c r="AU649" s="37"/>
      <c r="AV649" s="37"/>
      <c r="AW649" s="37"/>
      <c r="AX649" s="37"/>
      <c r="AY649" s="37"/>
      <c r="AZ649" s="37"/>
      <c r="BN649" s="1034">
        <f t="shared" si="29"/>
        <v>0</v>
      </c>
      <c r="BO649" s="1035"/>
      <c r="BP649" s="1035"/>
      <c r="BQ649" s="1035"/>
      <c r="BR649" s="1037"/>
      <c r="BS649" s="1034">
        <f t="shared" si="30"/>
        <v>0</v>
      </c>
      <c r="BT649" s="1035"/>
      <c r="BU649" s="1035"/>
      <c r="BV649" s="1035"/>
      <c r="BW649" s="1037"/>
      <c r="BX649" s="1034">
        <f t="shared" si="31"/>
        <v>0</v>
      </c>
      <c r="BY649" s="1035"/>
      <c r="BZ649" s="1035"/>
      <c r="CA649" s="1035"/>
      <c r="CB649" s="1037"/>
      <c r="CC649" s="1034">
        <f t="shared" si="32"/>
        <v>0</v>
      </c>
      <c r="CD649" s="1035"/>
      <c r="CE649" s="1035"/>
      <c r="CF649" s="1035"/>
      <c r="CG649" s="1037"/>
      <c r="CH649" s="1034">
        <f t="shared" si="33"/>
        <v>0</v>
      </c>
      <c r="CI649" s="1035"/>
      <c r="CJ649" s="1035"/>
      <c r="CK649" s="1035"/>
      <c r="CL649" s="1037"/>
      <c r="CM649" s="1034">
        <f t="shared" si="34"/>
        <v>0</v>
      </c>
      <c r="CN649" s="1035"/>
      <c r="CO649" s="1035"/>
      <c r="CP649" s="1035"/>
      <c r="CQ649" s="1037"/>
      <c r="CR649" s="37"/>
      <c r="CS649" s="37"/>
    </row>
    <row r="650" spans="1:99" ht="12.95" customHeight="1">
      <c r="A650" s="4"/>
      <c r="B650" t="s">
        <v>1334</v>
      </c>
      <c r="C650"/>
      <c r="H650" s="1020" t="s">
        <v>1372</v>
      </c>
      <c r="I650" s="1020"/>
      <c r="J650" s="1020"/>
      <c r="K650" s="1020"/>
      <c r="L650" s="1020"/>
      <c r="M650" s="1020"/>
      <c r="N650" s="1020"/>
      <c r="O650" s="1020"/>
      <c r="P650" s="1020"/>
      <c r="Q650" s="1020"/>
      <c r="R650" s="1020"/>
      <c r="S650" s="12"/>
      <c r="T650" s="4"/>
      <c r="U650" t="s">
        <v>1334</v>
      </c>
      <c r="AA650" s="1020" t="s">
        <v>1372</v>
      </c>
      <c r="AB650" s="1020"/>
      <c r="AC650" s="1020"/>
      <c r="AD650" s="1020"/>
      <c r="AE650" s="1020"/>
      <c r="AF650" s="1020"/>
      <c r="AG650" s="1020"/>
      <c r="AH650" s="1020"/>
      <c r="AI650" s="1020"/>
      <c r="AJ650" s="1020"/>
      <c r="AK650" s="1020"/>
      <c r="AM650" s="37"/>
      <c r="AN650" s="37"/>
      <c r="AO650" s="37"/>
      <c r="AP650" s="37"/>
      <c r="AQ650" s="37"/>
      <c r="AR650" s="37"/>
      <c r="AS650" s="37"/>
      <c r="AT650" s="37"/>
      <c r="AU650" s="37"/>
      <c r="AV650" s="37"/>
      <c r="AW650" s="37"/>
      <c r="AX650" s="37"/>
      <c r="AY650" s="37"/>
      <c r="AZ650" s="37"/>
      <c r="BN650" s="1034">
        <f t="shared" si="29"/>
        <v>0</v>
      </c>
      <c r="BO650" s="1035"/>
      <c r="BP650" s="1035"/>
      <c r="BQ650" s="1035"/>
      <c r="BR650" s="1037"/>
      <c r="BS650" s="1034">
        <f t="shared" si="30"/>
        <v>0</v>
      </c>
      <c r="BT650" s="1035"/>
      <c r="BU650" s="1035"/>
      <c r="BV650" s="1035"/>
      <c r="BW650" s="1037"/>
      <c r="BX650" s="1034">
        <f t="shared" si="31"/>
        <v>0</v>
      </c>
      <c r="BY650" s="1035"/>
      <c r="BZ650" s="1035"/>
      <c r="CA650" s="1035"/>
      <c r="CB650" s="1037"/>
      <c r="CC650" s="1034">
        <f t="shared" si="32"/>
        <v>0</v>
      </c>
      <c r="CD650" s="1035"/>
      <c r="CE650" s="1035"/>
      <c r="CF650" s="1035"/>
      <c r="CG650" s="1037"/>
      <c r="CH650" s="1034">
        <f t="shared" si="33"/>
        <v>0</v>
      </c>
      <c r="CI650" s="1035"/>
      <c r="CJ650" s="1035"/>
      <c r="CK650" s="1035"/>
      <c r="CL650" s="1037"/>
      <c r="CM650" s="1034">
        <f t="shared" si="34"/>
        <v>0</v>
      </c>
      <c r="CN650" s="1035"/>
      <c r="CO650" s="1035"/>
      <c r="CP650" s="1035"/>
      <c r="CQ650" s="1037"/>
      <c r="CR650" s="37"/>
      <c r="CS650" s="37"/>
    </row>
    <row r="651" spans="1:99" ht="12.95" customHeight="1">
      <c r="A651" s="37"/>
      <c r="B651" t="s">
        <v>1337</v>
      </c>
      <c r="C651"/>
      <c r="N651" s="1065" t="s">
        <v>765</v>
      </c>
      <c r="O651" s="1065"/>
      <c r="T651" s="4"/>
      <c r="U651" t="s">
        <v>1337</v>
      </c>
      <c r="AG651" s="1065" t="s">
        <v>765</v>
      </c>
      <c r="AH651" s="1065"/>
      <c r="AM651" s="37"/>
      <c r="AN651" s="37"/>
      <c r="AO651" s="37"/>
      <c r="AP651" s="37"/>
      <c r="AQ651" s="37"/>
      <c r="AR651" s="37"/>
      <c r="AS651" s="37"/>
      <c r="AT651" s="37"/>
      <c r="AU651" s="37"/>
      <c r="AV651" s="37"/>
      <c r="AW651" s="37"/>
      <c r="AX651" s="37"/>
      <c r="AY651" s="37"/>
      <c r="AZ651" s="37"/>
      <c r="BA651" s="37"/>
      <c r="BB651" s="37"/>
      <c r="BC651" s="37"/>
      <c r="BD651" s="37"/>
      <c r="BN651" s="1034">
        <f t="shared" si="29"/>
        <v>0</v>
      </c>
      <c r="BO651" s="1035"/>
      <c r="BP651" s="1035"/>
      <c r="BQ651" s="1035"/>
      <c r="BR651" s="1037"/>
      <c r="BS651" s="1034">
        <f t="shared" si="30"/>
        <v>0</v>
      </c>
      <c r="BT651" s="1035"/>
      <c r="BU651" s="1035"/>
      <c r="BV651" s="1035"/>
      <c r="BW651" s="1037"/>
      <c r="BX651" s="1034">
        <f t="shared" si="31"/>
        <v>0</v>
      </c>
      <c r="BY651" s="1035"/>
      <c r="BZ651" s="1035"/>
      <c r="CA651" s="1035"/>
      <c r="CB651" s="1037"/>
      <c r="CC651" s="1034">
        <f t="shared" si="32"/>
        <v>0</v>
      </c>
      <c r="CD651" s="1035"/>
      <c r="CE651" s="1035"/>
      <c r="CF651" s="1035"/>
      <c r="CG651" s="1037"/>
      <c r="CH651" s="1034">
        <f t="shared" si="33"/>
        <v>0</v>
      </c>
      <c r="CI651" s="1035"/>
      <c r="CJ651" s="1035"/>
      <c r="CK651" s="1035"/>
      <c r="CL651" s="1037"/>
      <c r="CM651" s="1034">
        <f t="shared" si="34"/>
        <v>0</v>
      </c>
      <c r="CN651" s="1035"/>
      <c r="CO651" s="1035"/>
      <c r="CP651" s="1035"/>
      <c r="CQ651" s="1037"/>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4">
        <f t="shared" si="29"/>
        <v>0</v>
      </c>
      <c r="BO652" s="1035"/>
      <c r="BP652" s="1035"/>
      <c r="BQ652" s="1035"/>
      <c r="BR652" s="1037"/>
      <c r="BS652" s="1034">
        <f t="shared" si="30"/>
        <v>0</v>
      </c>
      <c r="BT652" s="1035"/>
      <c r="BU652" s="1035"/>
      <c r="BV652" s="1035"/>
      <c r="BW652" s="1037"/>
      <c r="BX652" s="1034">
        <f t="shared" si="31"/>
        <v>0</v>
      </c>
      <c r="BY652" s="1035"/>
      <c r="BZ652" s="1035"/>
      <c r="CA652" s="1035"/>
      <c r="CB652" s="1037"/>
      <c r="CC652" s="1034">
        <f t="shared" si="32"/>
        <v>0</v>
      </c>
      <c r="CD652" s="1035"/>
      <c r="CE652" s="1035"/>
      <c r="CF652" s="1035"/>
      <c r="CG652" s="1037"/>
      <c r="CH652" s="1034">
        <f t="shared" si="33"/>
        <v>0</v>
      </c>
      <c r="CI652" s="1035"/>
      <c r="CJ652" s="1035"/>
      <c r="CK652" s="1035"/>
      <c r="CL652" s="1037"/>
      <c r="CM652" s="1034">
        <f t="shared" si="34"/>
        <v>0</v>
      </c>
      <c r="CN652" s="1035"/>
      <c r="CO652" s="1035"/>
      <c r="CP652" s="1035"/>
      <c r="CQ652" s="1037"/>
      <c r="CR652" s="37"/>
      <c r="CS652" s="37"/>
    </row>
    <row r="653" spans="1:99" ht="12.95" customHeight="1">
      <c r="A653" s="54" t="s">
        <v>34</v>
      </c>
      <c r="B653" t="s">
        <v>1328</v>
      </c>
      <c r="C653"/>
      <c r="G653" s="1180" t="str">
        <f>C631</f>
        <v>City of San Jose Loan</v>
      </c>
      <c r="H653" s="1180"/>
      <c r="I653" s="1180"/>
      <c r="J653" s="1180"/>
      <c r="K653" s="1180"/>
      <c r="L653" s="1180"/>
      <c r="M653" s="1180"/>
      <c r="N653" s="1180"/>
      <c r="O653" s="1180"/>
      <c r="P653" s="1180"/>
      <c r="Q653" s="1180"/>
      <c r="R653" s="1180"/>
      <c r="T653" s="54" t="s">
        <v>92</v>
      </c>
      <c r="U653" t="s">
        <v>1328</v>
      </c>
      <c r="Z653" s="1180" t="str">
        <f>C632</f>
        <v>SCCHA MTW Loan</v>
      </c>
      <c r="AA653" s="1180"/>
      <c r="AB653" s="1180"/>
      <c r="AC653" s="1180"/>
      <c r="AD653" s="1180"/>
      <c r="AE653" s="1180"/>
      <c r="AF653" s="1180"/>
      <c r="AG653" s="1180"/>
      <c r="AH653" s="1180"/>
      <c r="AI653" s="1180"/>
      <c r="AJ653" s="1180"/>
      <c r="AK653" s="1180"/>
      <c r="AM653" s="37"/>
      <c r="AN653" s="37"/>
      <c r="AO653" s="37"/>
      <c r="AP653" s="37"/>
      <c r="AQ653" s="37"/>
      <c r="AR653" s="37"/>
      <c r="AS653" s="37"/>
      <c r="AT653" s="37"/>
      <c r="AU653" s="37"/>
      <c r="AV653" s="37"/>
      <c r="AW653" s="37"/>
      <c r="AX653" s="37"/>
      <c r="AY653" s="37"/>
      <c r="AZ653" s="37"/>
      <c r="BA653" s="37"/>
      <c r="BB653" s="37"/>
      <c r="BC653" s="37"/>
      <c r="BD653" s="37"/>
      <c r="BN653" s="1034">
        <f>SUM(BN643:BR652)</f>
        <v>0</v>
      </c>
      <c r="BO653" s="1035"/>
      <c r="BP653" s="1035"/>
      <c r="BQ653" s="1035"/>
      <c r="BR653" s="1037"/>
      <c r="BS653" s="1034">
        <f>SUM(BS643:BW652)</f>
        <v>0</v>
      </c>
      <c r="BT653" s="1035"/>
      <c r="BU653" s="1035"/>
      <c r="BV653" s="1035"/>
      <c r="BW653" s="1037"/>
      <c r="BX653" s="1034">
        <f>SUM(BX643:CB652)</f>
        <v>0</v>
      </c>
      <c r="BY653" s="1035"/>
      <c r="BZ653" s="1035"/>
      <c r="CA653" s="1035"/>
      <c r="CB653" s="1037"/>
      <c r="CC653" s="1034">
        <f>SUM(CC643:CG652)</f>
        <v>0</v>
      </c>
      <c r="CD653" s="1035"/>
      <c r="CE653" s="1035"/>
      <c r="CF653" s="1035"/>
      <c r="CG653" s="1037"/>
      <c r="CH653" s="1034">
        <f>SUM(CH643:CL652)</f>
        <v>0</v>
      </c>
      <c r="CI653" s="1035"/>
      <c r="CJ653" s="1035"/>
      <c r="CK653" s="1035"/>
      <c r="CL653" s="1037"/>
      <c r="CM653" s="1034">
        <f>SUM(CM643:CQ652)</f>
        <v>0</v>
      </c>
      <c r="CN653" s="1035"/>
      <c r="CO653" s="1035"/>
      <c r="CP653" s="1035"/>
      <c r="CQ653" s="1037"/>
      <c r="CR653" s="37"/>
      <c r="CS653" s="37"/>
    </row>
    <row r="654" spans="1:99" ht="12.95" customHeight="1" thickBot="1">
      <c r="A654" s="4"/>
      <c r="B654" t="s">
        <v>983</v>
      </c>
      <c r="C654"/>
      <c r="G654" s="1398" t="s">
        <v>1373</v>
      </c>
      <c r="H654" s="1020"/>
      <c r="I654" s="1020"/>
      <c r="J654" s="1020"/>
      <c r="K654" s="1020"/>
      <c r="L654" s="1020"/>
      <c r="M654" s="1020"/>
      <c r="N654" s="1020"/>
      <c r="O654" s="1020"/>
      <c r="P654" s="1020"/>
      <c r="Q654" s="1020"/>
      <c r="R654" s="1020"/>
      <c r="T654" s="4"/>
      <c r="U654" t="s">
        <v>983</v>
      </c>
      <c r="Z654" s="1061" t="s">
        <v>984</v>
      </c>
      <c r="AA654" s="1020"/>
      <c r="AB654" s="1020"/>
      <c r="AC654" s="1020"/>
      <c r="AD654" s="1020"/>
      <c r="AE654" s="1020"/>
      <c r="AF654" s="1020"/>
      <c r="AG654" s="1020"/>
      <c r="AH654" s="1020"/>
      <c r="AI654" s="1020"/>
      <c r="AJ654" s="1020"/>
      <c r="AK654" s="1020"/>
      <c r="AM654" s="37"/>
      <c r="AN654" s="37"/>
      <c r="AO654" s="37"/>
      <c r="AP654" s="37"/>
      <c r="AQ654" s="37"/>
      <c r="AR654" s="37"/>
      <c r="AS654" s="37"/>
      <c r="AT654" s="37"/>
      <c r="AU654" s="37"/>
      <c r="AV654" s="37"/>
      <c r="AW654" s="37"/>
      <c r="AX654" s="37"/>
      <c r="AY654" s="37"/>
      <c r="AZ654" s="37"/>
      <c r="BA654" s="37"/>
      <c r="BB654" s="37"/>
      <c r="BC654" s="37"/>
      <c r="BD654" s="37"/>
      <c r="BN654" s="37" t="s">
        <v>1374</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c r="A655" s="4"/>
      <c r="B655" t="s">
        <v>847</v>
      </c>
      <c r="C655"/>
      <c r="G655" s="1018" t="s">
        <v>734</v>
      </c>
      <c r="H655" s="1018"/>
      <c r="I655" s="1018"/>
      <c r="J655" s="1018"/>
      <c r="K655" s="1018"/>
      <c r="L655" s="1018"/>
      <c r="M655" s="1018"/>
      <c r="N655" s="1018"/>
      <c r="O655" s="1018"/>
      <c r="P655" s="1018"/>
      <c r="Q655" s="1018"/>
      <c r="R655" s="1018"/>
      <c r="T655" s="4"/>
      <c r="U655" t="s">
        <v>847</v>
      </c>
      <c r="Z655" s="1018" t="s">
        <v>734</v>
      </c>
      <c r="AA655" s="1018"/>
      <c r="AB655" s="1018"/>
      <c r="AC655" s="1018"/>
      <c r="AD655" s="1018"/>
      <c r="AE655" s="1018"/>
      <c r="AF655" s="1018"/>
      <c r="AG655" s="1018"/>
      <c r="AH655" s="1018"/>
      <c r="AI655" s="1018"/>
      <c r="AJ655" s="1018"/>
      <c r="AK655" s="1018"/>
      <c r="AM655" s="37"/>
      <c r="AN655" s="37"/>
      <c r="AO655" s="37"/>
      <c r="AP655" s="37"/>
      <c r="AQ655" s="37"/>
      <c r="AR655" s="37"/>
      <c r="AS655" s="37"/>
      <c r="AT655" s="37"/>
      <c r="AU655" s="37"/>
      <c r="AV655" s="37"/>
      <c r="AW655" s="37"/>
      <c r="AX655" s="37"/>
      <c r="AY655" s="37"/>
      <c r="AZ655" s="37"/>
      <c r="BA655" s="37"/>
      <c r="BB655" s="37"/>
      <c r="BC655" s="37"/>
      <c r="BD655" s="37"/>
      <c r="CP655" s="55" t="s">
        <v>1375</v>
      </c>
      <c r="CQ655" s="382">
        <f>BN653+BS653+BX653+CC653+CH653+CM653</f>
        <v>0</v>
      </c>
      <c r="CR655" s="37"/>
      <c r="CS655" s="37"/>
    </row>
    <row r="656" spans="1:99" ht="12.95" customHeight="1" thickBot="1">
      <c r="A656" s="4"/>
      <c r="B656" t="s">
        <v>1331</v>
      </c>
      <c r="C656"/>
      <c r="G656" s="1018" t="s">
        <v>1333</v>
      </c>
      <c r="H656" s="1018"/>
      <c r="I656" s="1018"/>
      <c r="J656" s="1018"/>
      <c r="K656" s="1018"/>
      <c r="L656" s="1018"/>
      <c r="M656" s="1018"/>
      <c r="N656" s="1018"/>
      <c r="O656" s="1018"/>
      <c r="P656" s="1018"/>
      <c r="Q656" s="1018"/>
      <c r="R656" s="1018"/>
      <c r="T656" s="4"/>
      <c r="U656" t="s">
        <v>1331</v>
      </c>
      <c r="Z656" s="1230" t="s">
        <v>989</v>
      </c>
      <c r="AA656" s="1018"/>
      <c r="AB656" s="1018"/>
      <c r="AC656" s="1018"/>
      <c r="AD656" s="1018"/>
      <c r="AE656" s="1018"/>
      <c r="AF656" s="1018"/>
      <c r="AG656" s="1018"/>
      <c r="AH656" s="1018"/>
      <c r="AI656" s="1018"/>
      <c r="AJ656" s="1018"/>
      <c r="AK656" s="1018"/>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762</v>
      </c>
      <c r="C657"/>
      <c r="G657" s="1397">
        <v>4089753797</v>
      </c>
      <c r="H657" s="1024"/>
      <c r="I657" s="1024"/>
      <c r="J657" s="1024"/>
      <c r="K657" s="1024"/>
      <c r="L657" s="1024"/>
      <c r="O657" s="810" t="s">
        <v>992</v>
      </c>
      <c r="P657" s="1279"/>
      <c r="Q657" s="1279"/>
      <c r="R657" s="1279"/>
      <c r="T657" s="4"/>
      <c r="U657" t="s">
        <v>762</v>
      </c>
      <c r="Z657" s="1397" t="s">
        <v>1338</v>
      </c>
      <c r="AA657" s="1024"/>
      <c r="AB657" s="1024"/>
      <c r="AC657" s="1024"/>
      <c r="AD657" s="1024"/>
      <c r="AE657" s="1024"/>
      <c r="AH657" s="810" t="s">
        <v>992</v>
      </c>
      <c r="AI657" s="1279"/>
      <c r="AJ657" s="1279"/>
      <c r="AK657" s="1279"/>
      <c r="AL657" s="258"/>
      <c r="AM657" s="37"/>
      <c r="AN657" s="37"/>
      <c r="AO657" s="37"/>
      <c r="AP657" s="37"/>
      <c r="AQ657" s="37"/>
      <c r="AR657" s="37"/>
      <c r="AS657" s="37"/>
      <c r="AT657" s="37"/>
      <c r="AU657" s="37"/>
      <c r="AV657" s="37"/>
      <c r="AW657" s="37"/>
      <c r="AX657" s="37"/>
      <c r="AY657" s="37"/>
      <c r="AZ657" s="37"/>
      <c r="BA657" s="37"/>
      <c r="BB657" s="37"/>
      <c r="BC657" s="37"/>
      <c r="BD657" s="37"/>
      <c r="CP657" s="55" t="s">
        <v>1376</v>
      </c>
      <c r="CQ657" s="382">
        <f>CQ655+CQ636</f>
        <v>57</v>
      </c>
      <c r="CR657" s="37"/>
      <c r="CS657" s="37"/>
    </row>
    <row r="658" spans="1:97" ht="12.95" customHeight="1">
      <c r="A658" s="4"/>
      <c r="B658" t="s">
        <v>1334</v>
      </c>
      <c r="C658"/>
      <c r="H658" s="1020" t="s">
        <v>1372</v>
      </c>
      <c r="I658" s="1020"/>
      <c r="J658" s="1020"/>
      <c r="K658" s="1020"/>
      <c r="L658" s="1020"/>
      <c r="M658" s="1020"/>
      <c r="N658" s="1020"/>
      <c r="O658" s="1020"/>
      <c r="P658" s="1020"/>
      <c r="Q658" s="1020"/>
      <c r="R658" s="1020"/>
      <c r="T658" s="4"/>
      <c r="U658" t="s">
        <v>1334</v>
      </c>
      <c r="AA658" s="1020" t="s">
        <v>1372</v>
      </c>
      <c r="AB658" s="1020"/>
      <c r="AC658" s="1020"/>
      <c r="AD658" s="1020"/>
      <c r="AE658" s="1020"/>
      <c r="AF658" s="1020"/>
      <c r="AG658" s="1020"/>
      <c r="AH658" s="1020"/>
      <c r="AI658" s="1020"/>
      <c r="AJ658" s="1020"/>
      <c r="AK658" s="1020"/>
      <c r="AL658" s="258"/>
      <c r="AM658" s="37"/>
      <c r="AN658" s="37"/>
      <c r="AO658" s="37"/>
      <c r="AP658" s="37"/>
      <c r="AQ658" s="37"/>
      <c r="AR658" s="37"/>
      <c r="AS658" s="37"/>
      <c r="AT658" s="37"/>
      <c r="AU658" s="37"/>
      <c r="AV658" s="37"/>
      <c r="AW658" s="37"/>
      <c r="AX658" s="37"/>
      <c r="AY658" s="37"/>
      <c r="AZ658" s="37"/>
      <c r="BA658" s="37"/>
      <c r="BB658" s="37"/>
      <c r="BC658" s="37"/>
      <c r="BD658" s="37"/>
      <c r="BN658" s="37" t="s">
        <v>1377</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1337</v>
      </c>
      <c r="C659"/>
      <c r="N659" s="1065" t="s">
        <v>765</v>
      </c>
      <c r="O659" s="1065"/>
      <c r="T659" s="4"/>
      <c r="U659" t="s">
        <v>1337</v>
      </c>
      <c r="AG659" s="1065" t="s">
        <v>765</v>
      </c>
      <c r="AH659" s="1065"/>
      <c r="AM659" s="37"/>
      <c r="AN659" s="37"/>
      <c r="AO659" s="37"/>
      <c r="AP659" s="37"/>
      <c r="AQ659" s="37"/>
      <c r="AR659" s="37"/>
      <c r="AS659" s="37"/>
      <c r="AT659" s="37"/>
      <c r="AU659" s="37"/>
      <c r="AV659" s="37"/>
      <c r="AW659" s="37"/>
      <c r="AX659" s="37"/>
      <c r="AY659" s="37"/>
      <c r="AZ659" s="37"/>
      <c r="BA659" s="37"/>
      <c r="BB659" s="37"/>
      <c r="BC659" s="37"/>
      <c r="BD659" s="37"/>
      <c r="BN659" s="1034">
        <f>BN634+BN641+BN653</f>
        <v>57</v>
      </c>
      <c r="BO659" s="1035"/>
      <c r="BP659" s="1035"/>
      <c r="BQ659" s="1035"/>
      <c r="BR659" s="1037"/>
      <c r="BS659" s="1034">
        <f>BS634+BS641+BS653</f>
        <v>0</v>
      </c>
      <c r="BT659" s="1035"/>
      <c r="BU659" s="1035"/>
      <c r="BV659" s="1035"/>
      <c r="BW659" s="1037"/>
      <c r="BX659" s="1034">
        <f>BX634+BX641+BX653</f>
        <v>1</v>
      </c>
      <c r="BY659" s="1035"/>
      <c r="BZ659" s="1035"/>
      <c r="CA659" s="1035"/>
      <c r="CB659" s="1037"/>
      <c r="CC659" s="1034">
        <f>CC634+CC641+CC653</f>
        <v>0</v>
      </c>
      <c r="CD659" s="1035"/>
      <c r="CE659" s="1035"/>
      <c r="CF659" s="1035"/>
      <c r="CG659" s="1037"/>
      <c r="CH659" s="1034">
        <f>CH634+CH641+CH653</f>
        <v>0</v>
      </c>
      <c r="CI659" s="1035"/>
      <c r="CJ659" s="1035"/>
      <c r="CK659" s="1035"/>
      <c r="CL659" s="1037"/>
      <c r="CM659" s="1034">
        <f>CM653+CM641+CM634</f>
        <v>0</v>
      </c>
      <c r="CN659" s="1035"/>
      <c r="CO659" s="1035"/>
      <c r="CP659" s="1035"/>
      <c r="CQ659" s="1037"/>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1328</v>
      </c>
      <c r="C661"/>
      <c r="G661" s="1180" t="str">
        <f>C633</f>
        <v>Accrued/Deferred interest</v>
      </c>
      <c r="H661" s="1180"/>
      <c r="I661" s="1180"/>
      <c r="J661" s="1180"/>
      <c r="K661" s="1180"/>
      <c r="L661" s="1180"/>
      <c r="M661" s="1180"/>
      <c r="N661" s="1180"/>
      <c r="O661" s="1180"/>
      <c r="P661" s="1180"/>
      <c r="Q661" s="1180"/>
      <c r="R661" s="1180"/>
      <c r="T661" s="54" t="s">
        <v>1319</v>
      </c>
      <c r="U661" t="s">
        <v>1328</v>
      </c>
      <c r="Z661" s="1180">
        <f>C634</f>
        <v>0</v>
      </c>
      <c r="AA661" s="1180"/>
      <c r="AB661" s="1180"/>
      <c r="AC661" s="1180"/>
      <c r="AD661" s="1180"/>
      <c r="AE661" s="1180"/>
      <c r="AF661" s="1180"/>
      <c r="AG661" s="1180"/>
      <c r="AH661" s="1180"/>
      <c r="AI661" s="1180"/>
      <c r="AJ661" s="1180"/>
      <c r="AK661" s="118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983</v>
      </c>
      <c r="C662"/>
      <c r="G662" s="1061" t="s">
        <v>984</v>
      </c>
      <c r="H662" s="1020"/>
      <c r="I662" s="1020"/>
      <c r="J662" s="1020"/>
      <c r="K662" s="1020"/>
      <c r="L662" s="1020"/>
      <c r="M662" s="1020"/>
      <c r="N662" s="1020"/>
      <c r="O662" s="1020"/>
      <c r="P662" s="1020"/>
      <c r="Q662" s="1020"/>
      <c r="R662" s="1020"/>
      <c r="T662" s="4"/>
      <c r="U662" t="s">
        <v>983</v>
      </c>
      <c r="Z662" s="1061"/>
      <c r="AA662" s="1020"/>
      <c r="AB662" s="1020"/>
      <c r="AC662" s="1020"/>
      <c r="AD662" s="1020"/>
      <c r="AE662" s="1020"/>
      <c r="AF662" s="1020"/>
      <c r="AG662" s="1020"/>
      <c r="AH662" s="1020"/>
      <c r="AI662" s="1020"/>
      <c r="AJ662" s="1020"/>
      <c r="AK662" s="102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847</v>
      </c>
      <c r="C663"/>
      <c r="G663" s="1020" t="s">
        <v>734</v>
      </c>
      <c r="H663" s="1020"/>
      <c r="I663" s="1020"/>
      <c r="J663" s="1020"/>
      <c r="K663" s="1020"/>
      <c r="L663" s="1020"/>
      <c r="M663" s="1020"/>
      <c r="N663" s="1020"/>
      <c r="O663" s="1020"/>
      <c r="P663" s="1020"/>
      <c r="Q663" s="1020"/>
      <c r="R663" s="1020"/>
      <c r="T663" s="4"/>
      <c r="U663" t="s">
        <v>847</v>
      </c>
      <c r="Z663" s="1018"/>
      <c r="AA663" s="1018"/>
      <c r="AB663" s="1018"/>
      <c r="AC663" s="1018"/>
      <c r="AD663" s="1018"/>
      <c r="AE663" s="1018"/>
      <c r="AF663" s="1018"/>
      <c r="AG663" s="1018"/>
      <c r="AH663" s="1018"/>
      <c r="AI663" s="1018"/>
      <c r="AJ663" s="1018"/>
      <c r="AK663" s="101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1331</v>
      </c>
      <c r="C664"/>
      <c r="G664" s="1020" t="s">
        <v>989</v>
      </c>
      <c r="H664" s="1020"/>
      <c r="I664" s="1020"/>
      <c r="J664" s="1020"/>
      <c r="K664" s="1020"/>
      <c r="L664" s="1020"/>
      <c r="M664" s="1020"/>
      <c r="N664" s="1020"/>
      <c r="O664" s="1020"/>
      <c r="P664" s="1020"/>
      <c r="Q664" s="1020"/>
      <c r="R664" s="1020"/>
      <c r="T664" s="4"/>
      <c r="U664" t="s">
        <v>1331</v>
      </c>
      <c r="Z664" s="1018"/>
      <c r="AA664" s="1018"/>
      <c r="AB664" s="1018"/>
      <c r="AC664" s="1018"/>
      <c r="AD664" s="1018"/>
      <c r="AE664" s="1018"/>
      <c r="AF664" s="1018"/>
      <c r="AG664" s="1018"/>
      <c r="AH664" s="1018"/>
      <c r="AI664" s="1018"/>
      <c r="AJ664" s="1018"/>
      <c r="AK664" s="1018"/>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762</v>
      </c>
      <c r="C665"/>
      <c r="G665" s="1357" t="s">
        <v>1338</v>
      </c>
      <c r="H665" s="1024"/>
      <c r="I665" s="1024"/>
      <c r="J665" s="1024"/>
      <c r="K665" s="1024"/>
      <c r="L665" s="1024"/>
      <c r="O665" s="810" t="s">
        <v>992</v>
      </c>
      <c r="P665" s="1279"/>
      <c r="Q665" s="1279"/>
      <c r="R665" s="1279"/>
      <c r="T665" s="4"/>
      <c r="U665" t="s">
        <v>762</v>
      </c>
      <c r="Z665" s="1357"/>
      <c r="AA665" s="1024"/>
      <c r="AB665" s="1024"/>
      <c r="AC665" s="1024"/>
      <c r="AD665" s="1024"/>
      <c r="AE665" s="1024"/>
      <c r="AH665" s="810" t="s">
        <v>992</v>
      </c>
      <c r="AI665" s="1279"/>
      <c r="AJ665" s="1279"/>
      <c r="AK665" s="1279"/>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1334</v>
      </c>
      <c r="C666"/>
      <c r="H666" s="1020" t="s">
        <v>1372</v>
      </c>
      <c r="I666" s="1020"/>
      <c r="J666" s="1020"/>
      <c r="K666" s="1020"/>
      <c r="L666" s="1020"/>
      <c r="M666" s="1020"/>
      <c r="N666" s="1020"/>
      <c r="O666" s="1020"/>
      <c r="P666" s="1020"/>
      <c r="Q666" s="1020"/>
      <c r="R666" s="1020"/>
      <c r="T666" s="4"/>
      <c r="U666" t="s">
        <v>1334</v>
      </c>
      <c r="AA666" s="1020"/>
      <c r="AB666" s="1020"/>
      <c r="AC666" s="1020"/>
      <c r="AD666" s="1020"/>
      <c r="AE666" s="1020"/>
      <c r="AF666" s="1020"/>
      <c r="AG666" s="1020"/>
      <c r="AH666" s="1020"/>
      <c r="AI666" s="1020"/>
      <c r="AJ666" s="1020"/>
      <c r="AK666" s="102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1337</v>
      </c>
      <c r="C667"/>
      <c r="N667" s="1065" t="s">
        <v>765</v>
      </c>
      <c r="O667" s="1065"/>
      <c r="T667" s="4"/>
      <c r="U667" t="s">
        <v>1337</v>
      </c>
      <c r="AG667" s="1065"/>
      <c r="AH667" s="1065"/>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1321</v>
      </c>
      <c r="B669" t="s">
        <v>1328</v>
      </c>
      <c r="C669"/>
      <c r="G669" s="1180">
        <f>C635</f>
        <v>0</v>
      </c>
      <c r="H669" s="1180"/>
      <c r="I669" s="1180"/>
      <c r="J669" s="1180"/>
      <c r="K669" s="1180"/>
      <c r="L669" s="1180"/>
      <c r="M669" s="1180"/>
      <c r="N669" s="1180"/>
      <c r="O669" s="1180"/>
      <c r="P669" s="1180"/>
      <c r="Q669" s="1180"/>
      <c r="R669" s="1180"/>
      <c r="T669" s="54" t="s">
        <v>1322</v>
      </c>
      <c r="U669" t="s">
        <v>1328</v>
      </c>
      <c r="Z669" s="1180">
        <f>C636</f>
        <v>0</v>
      </c>
      <c r="AA669" s="1180"/>
      <c r="AB669" s="1180"/>
      <c r="AC669" s="1180"/>
      <c r="AD669" s="1180"/>
      <c r="AE669" s="1180"/>
      <c r="AF669" s="1180"/>
      <c r="AG669" s="1180"/>
      <c r="AH669" s="1180"/>
      <c r="AI669" s="1180"/>
      <c r="AJ669" s="1180"/>
      <c r="AK669" s="1180"/>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983</v>
      </c>
      <c r="C670"/>
      <c r="G670" s="1020"/>
      <c r="H670" s="1020"/>
      <c r="I670" s="1020"/>
      <c r="J670" s="1020"/>
      <c r="K670" s="1020"/>
      <c r="L670" s="1020"/>
      <c r="M670" s="1020"/>
      <c r="N670" s="1020"/>
      <c r="O670" s="1020"/>
      <c r="P670" s="1020"/>
      <c r="Q670" s="1020"/>
      <c r="R670" s="1020"/>
      <c r="T670" s="4"/>
      <c r="U670" t="s">
        <v>983</v>
      </c>
      <c r="Z670" s="1020"/>
      <c r="AA670" s="1020"/>
      <c r="AB670" s="1020"/>
      <c r="AC670" s="1020"/>
      <c r="AD670" s="1020"/>
      <c r="AE670" s="1020"/>
      <c r="AF670" s="1020"/>
      <c r="AG670" s="1020"/>
      <c r="AH670" s="1020"/>
      <c r="AI670" s="1020"/>
      <c r="AJ670" s="1020"/>
      <c r="AK670" s="102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847</v>
      </c>
      <c r="C671"/>
      <c r="G671" s="1020"/>
      <c r="H671" s="1020"/>
      <c r="I671" s="1020"/>
      <c r="J671" s="1020"/>
      <c r="K671" s="1020"/>
      <c r="L671" s="1020"/>
      <c r="M671" s="1020"/>
      <c r="N671" s="1020"/>
      <c r="O671" s="1020"/>
      <c r="P671" s="1020"/>
      <c r="Q671" s="1020"/>
      <c r="R671" s="1020"/>
      <c r="T671" s="4"/>
      <c r="U671" t="s">
        <v>847</v>
      </c>
      <c r="Z671" s="1018"/>
      <c r="AA671" s="1018"/>
      <c r="AB671" s="1018"/>
      <c r="AC671" s="1018"/>
      <c r="AD671" s="1018"/>
      <c r="AE671" s="1018"/>
      <c r="AF671" s="1018"/>
      <c r="AG671" s="1018"/>
      <c r="AH671" s="1018"/>
      <c r="AI671" s="1018"/>
      <c r="AJ671" s="1018"/>
      <c r="AK671" s="1018"/>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1331</v>
      </c>
      <c r="C672"/>
      <c r="G672" s="1020"/>
      <c r="H672" s="1020"/>
      <c r="I672" s="1020"/>
      <c r="J672" s="1020"/>
      <c r="K672" s="1020"/>
      <c r="L672" s="1020"/>
      <c r="M672" s="1020"/>
      <c r="N672" s="1020"/>
      <c r="O672" s="1020"/>
      <c r="P672" s="1020"/>
      <c r="Q672" s="1020"/>
      <c r="R672" s="1020"/>
      <c r="T672" s="4"/>
      <c r="U672" t="s">
        <v>1331</v>
      </c>
      <c r="Z672" s="1018"/>
      <c r="AA672" s="1018"/>
      <c r="AB672" s="1018"/>
      <c r="AC672" s="1018"/>
      <c r="AD672" s="1018"/>
      <c r="AE672" s="1018"/>
      <c r="AF672" s="1018"/>
      <c r="AG672" s="1018"/>
      <c r="AH672" s="1018"/>
      <c r="AI672" s="1018"/>
      <c r="AJ672" s="1018"/>
      <c r="AK672" s="101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762</v>
      </c>
      <c r="C673"/>
      <c r="G673" s="1024"/>
      <c r="H673" s="1024"/>
      <c r="I673" s="1024"/>
      <c r="J673" s="1024"/>
      <c r="K673" s="1024"/>
      <c r="L673" s="1024"/>
      <c r="O673" s="810" t="s">
        <v>992</v>
      </c>
      <c r="P673" s="1279"/>
      <c r="Q673" s="1279"/>
      <c r="R673" s="1279"/>
      <c r="T673" s="4"/>
      <c r="U673" t="s">
        <v>762</v>
      </c>
      <c r="Z673" s="1024"/>
      <c r="AA673" s="1024"/>
      <c r="AB673" s="1024"/>
      <c r="AC673" s="1024"/>
      <c r="AD673" s="1024"/>
      <c r="AE673" s="1024"/>
      <c r="AH673" s="810" t="s">
        <v>992</v>
      </c>
      <c r="AI673" s="1279"/>
      <c r="AJ673" s="1279"/>
      <c r="AK673" s="1279"/>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1334</v>
      </c>
      <c r="C674"/>
      <c r="H674" s="1020"/>
      <c r="I674" s="1020"/>
      <c r="J674" s="1020"/>
      <c r="K674" s="1020"/>
      <c r="L674" s="1020"/>
      <c r="M674" s="1020"/>
      <c r="N674" s="1020"/>
      <c r="O674" s="1020"/>
      <c r="P674" s="1020"/>
      <c r="Q674" s="1020"/>
      <c r="R674" s="1020"/>
      <c r="T674" s="4"/>
      <c r="U674" t="s">
        <v>1334</v>
      </c>
      <c r="AA674" s="1020"/>
      <c r="AB674" s="1020"/>
      <c r="AC674" s="1020"/>
      <c r="AD674" s="1020"/>
      <c r="AE674" s="1020"/>
      <c r="AF674" s="1020"/>
      <c r="AG674" s="1020"/>
      <c r="AH674" s="1020"/>
      <c r="AI674" s="1020"/>
      <c r="AJ674" s="1020"/>
      <c r="AK674" s="1020"/>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1337</v>
      </c>
      <c r="C675"/>
      <c r="N675" s="1065"/>
      <c r="O675" s="1065"/>
      <c r="T675" s="4"/>
      <c r="U675" t="s">
        <v>1337</v>
      </c>
      <c r="AG675" s="1065"/>
      <c r="AH675" s="1065"/>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1323</v>
      </c>
      <c r="B677" t="s">
        <v>1328</v>
      </c>
      <c r="C677"/>
      <c r="G677" s="1180">
        <f>C637</f>
        <v>0</v>
      </c>
      <c r="H677" s="1180"/>
      <c r="I677" s="1180"/>
      <c r="J677" s="1180"/>
      <c r="K677" s="1180"/>
      <c r="L677" s="1180"/>
      <c r="M677" s="1180"/>
      <c r="N677" s="1180"/>
      <c r="O677" s="1180"/>
      <c r="P677" s="1180"/>
      <c r="Q677" s="1180"/>
      <c r="R677" s="1180"/>
      <c r="T677" s="54" t="s">
        <v>1324</v>
      </c>
      <c r="U677" t="s">
        <v>1328</v>
      </c>
      <c r="Z677" s="1180">
        <f>C638</f>
        <v>0</v>
      </c>
      <c r="AA677" s="1180"/>
      <c r="AB677" s="1180"/>
      <c r="AC677" s="1180"/>
      <c r="AD677" s="1180"/>
      <c r="AE677" s="1180"/>
      <c r="AF677" s="1180"/>
      <c r="AG677" s="1180"/>
      <c r="AH677" s="1180"/>
      <c r="AI677" s="1180"/>
      <c r="AJ677" s="1180"/>
      <c r="AK677" s="1180"/>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983</v>
      </c>
      <c r="C678"/>
      <c r="G678" s="1020"/>
      <c r="H678" s="1020"/>
      <c r="I678" s="1020"/>
      <c r="J678" s="1020"/>
      <c r="K678" s="1020"/>
      <c r="L678" s="1020"/>
      <c r="M678" s="1020"/>
      <c r="N678" s="1020"/>
      <c r="O678" s="1020"/>
      <c r="P678" s="1020"/>
      <c r="Q678" s="1020"/>
      <c r="R678" s="1020"/>
      <c r="T678" s="4"/>
      <c r="U678" t="s">
        <v>983</v>
      </c>
      <c r="Z678" s="1020"/>
      <c r="AA678" s="1020"/>
      <c r="AB678" s="1020"/>
      <c r="AC678" s="1020"/>
      <c r="AD678" s="1020"/>
      <c r="AE678" s="1020"/>
      <c r="AF678" s="1020"/>
      <c r="AG678" s="1020"/>
      <c r="AH678" s="1020"/>
      <c r="AI678" s="1020"/>
      <c r="AJ678" s="1020"/>
      <c r="AK678" s="1020"/>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847</v>
      </c>
      <c r="C679"/>
      <c r="G679" s="1020"/>
      <c r="H679" s="1020"/>
      <c r="I679" s="1020"/>
      <c r="J679" s="1020"/>
      <c r="K679" s="1020"/>
      <c r="L679" s="1020"/>
      <c r="M679" s="1020"/>
      <c r="N679" s="1020"/>
      <c r="O679" s="1020"/>
      <c r="P679" s="1020"/>
      <c r="Q679" s="1020"/>
      <c r="R679" s="1020"/>
      <c r="T679" s="4"/>
      <c r="U679" t="s">
        <v>847</v>
      </c>
      <c r="Z679" s="1018"/>
      <c r="AA679" s="1018"/>
      <c r="AB679" s="1018"/>
      <c r="AC679" s="1018"/>
      <c r="AD679" s="1018"/>
      <c r="AE679" s="1018"/>
      <c r="AF679" s="1018"/>
      <c r="AG679" s="1018"/>
      <c r="AH679" s="1018"/>
      <c r="AI679" s="1018"/>
      <c r="AJ679" s="1018"/>
      <c r="AK679" s="1018"/>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1331</v>
      </c>
      <c r="C680"/>
      <c r="G680" s="1020"/>
      <c r="H680" s="1020"/>
      <c r="I680" s="1020"/>
      <c r="J680" s="1020"/>
      <c r="K680" s="1020"/>
      <c r="L680" s="1020"/>
      <c r="M680" s="1020"/>
      <c r="N680" s="1020"/>
      <c r="O680" s="1020"/>
      <c r="P680" s="1020"/>
      <c r="Q680" s="1020"/>
      <c r="R680" s="1020"/>
      <c r="T680" s="4"/>
      <c r="U680" t="s">
        <v>1331</v>
      </c>
      <c r="Z680" s="1018"/>
      <c r="AA680" s="1018"/>
      <c r="AB680" s="1018"/>
      <c r="AC680" s="1018"/>
      <c r="AD680" s="1018"/>
      <c r="AE680" s="1018"/>
      <c r="AF680" s="1018"/>
      <c r="AG680" s="1018"/>
      <c r="AH680" s="1018"/>
      <c r="AI680" s="1018"/>
      <c r="AJ680" s="1018"/>
      <c r="AK680" s="1018"/>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762</v>
      </c>
      <c r="C681"/>
      <c r="G681" s="1024"/>
      <c r="H681" s="1024"/>
      <c r="I681" s="1024"/>
      <c r="J681" s="1024"/>
      <c r="K681" s="1024"/>
      <c r="L681" s="1024"/>
      <c r="O681" s="810" t="s">
        <v>992</v>
      </c>
      <c r="P681" s="1279"/>
      <c r="Q681" s="1279"/>
      <c r="R681" s="1279"/>
      <c r="T681" s="4"/>
      <c r="U681" t="s">
        <v>762</v>
      </c>
      <c r="Z681" s="1024"/>
      <c r="AA681" s="1024"/>
      <c r="AB681" s="1024"/>
      <c r="AC681" s="1024"/>
      <c r="AD681" s="1024"/>
      <c r="AE681" s="1024"/>
      <c r="AH681" s="810" t="s">
        <v>992</v>
      </c>
      <c r="AI681" s="1279"/>
      <c r="AJ681" s="1279"/>
      <c r="AK681" s="1279"/>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1334</v>
      </c>
      <c r="C682"/>
      <c r="H682" s="1020"/>
      <c r="I682" s="1020"/>
      <c r="J682" s="1020"/>
      <c r="K682" s="1020"/>
      <c r="L682" s="1020"/>
      <c r="M682" s="1020"/>
      <c r="N682" s="1020"/>
      <c r="O682" s="1020"/>
      <c r="P682" s="1020"/>
      <c r="Q682" s="1020"/>
      <c r="R682" s="1020"/>
      <c r="T682" s="4"/>
      <c r="U682" t="s">
        <v>1334</v>
      </c>
      <c r="AA682" s="1020"/>
      <c r="AB682" s="1020"/>
      <c r="AC682" s="1020"/>
      <c r="AD682" s="1020"/>
      <c r="AE682" s="1020"/>
      <c r="AF682" s="1020"/>
      <c r="AG682" s="1020"/>
      <c r="AH682" s="1020"/>
      <c r="AI682" s="1020"/>
      <c r="AJ682" s="1020"/>
      <c r="AK682" s="1020"/>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1337</v>
      </c>
      <c r="C683"/>
      <c r="N683" s="1065" t="s">
        <v>708</v>
      </c>
      <c r="O683" s="1065"/>
      <c r="T683" s="4"/>
      <c r="U683" t="s">
        <v>1337</v>
      </c>
      <c r="AG683" s="1065" t="s">
        <v>708</v>
      </c>
      <c r="AH683" s="1065"/>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1325</v>
      </c>
      <c r="B685" t="s">
        <v>1328</v>
      </c>
      <c r="C685"/>
      <c r="G685" s="1180">
        <f>C639</f>
        <v>0</v>
      </c>
      <c r="H685" s="1180"/>
      <c r="I685" s="1180"/>
      <c r="J685" s="1180"/>
      <c r="K685" s="1180"/>
      <c r="L685" s="1180"/>
      <c r="M685" s="1180"/>
      <c r="N685" s="1180"/>
      <c r="O685" s="1180"/>
      <c r="P685" s="1180"/>
      <c r="Q685" s="1180"/>
      <c r="R685" s="1180"/>
      <c r="T685" s="54" t="s">
        <v>1326</v>
      </c>
      <c r="U685" t="s">
        <v>1328</v>
      </c>
      <c r="Z685" s="1180">
        <f>C640</f>
        <v>0</v>
      </c>
      <c r="AA685" s="1180"/>
      <c r="AB685" s="1180"/>
      <c r="AC685" s="1180"/>
      <c r="AD685" s="1180"/>
      <c r="AE685" s="1180"/>
      <c r="AF685" s="1180"/>
      <c r="AG685" s="1180"/>
      <c r="AH685" s="1180"/>
      <c r="AI685" s="1180"/>
      <c r="AJ685" s="1180"/>
      <c r="AK685" s="1180"/>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983</v>
      </c>
      <c r="C686"/>
      <c r="G686" s="1020"/>
      <c r="H686" s="1020"/>
      <c r="I686" s="1020"/>
      <c r="J686" s="1020"/>
      <c r="K686" s="1020"/>
      <c r="L686" s="1020"/>
      <c r="M686" s="1020"/>
      <c r="N686" s="1020"/>
      <c r="O686" s="1020"/>
      <c r="P686" s="1020"/>
      <c r="Q686" s="1020"/>
      <c r="R686" s="1020"/>
      <c r="T686" s="4"/>
      <c r="U686" t="s">
        <v>983</v>
      </c>
      <c r="Z686" s="1020"/>
      <c r="AA686" s="1020"/>
      <c r="AB686" s="1020"/>
      <c r="AC686" s="1020"/>
      <c r="AD686" s="1020"/>
      <c r="AE686" s="1020"/>
      <c r="AF686" s="1020"/>
      <c r="AG686" s="1020"/>
      <c r="AH686" s="1020"/>
      <c r="AI686" s="1020"/>
      <c r="AJ686" s="1020"/>
      <c r="AK686" s="1020"/>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847</v>
      </c>
      <c r="C687"/>
      <c r="G687" s="1020"/>
      <c r="H687" s="1020"/>
      <c r="I687" s="1020"/>
      <c r="J687" s="1020"/>
      <c r="K687" s="1020"/>
      <c r="L687" s="1020"/>
      <c r="M687" s="1020"/>
      <c r="N687" s="1020"/>
      <c r="O687" s="1020"/>
      <c r="P687" s="1020"/>
      <c r="Q687" s="1020"/>
      <c r="R687" s="1020"/>
      <c r="U687" t="s">
        <v>847</v>
      </c>
      <c r="Z687" s="1018"/>
      <c r="AA687" s="1018"/>
      <c r="AB687" s="1018"/>
      <c r="AC687" s="1018"/>
      <c r="AD687" s="1018"/>
      <c r="AE687" s="1018"/>
      <c r="AF687" s="1018"/>
      <c r="AG687" s="1018"/>
      <c r="AH687" s="1018"/>
      <c r="AI687" s="1018"/>
      <c r="AJ687" s="1018"/>
      <c r="AK687" s="1018"/>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1331</v>
      </c>
      <c r="C688"/>
      <c r="G688" s="1020"/>
      <c r="H688" s="1020"/>
      <c r="I688" s="1020"/>
      <c r="J688" s="1020"/>
      <c r="K688" s="1020"/>
      <c r="L688" s="1020"/>
      <c r="M688" s="1020"/>
      <c r="N688" s="1020"/>
      <c r="O688" s="1020"/>
      <c r="P688" s="1020"/>
      <c r="Q688" s="1020"/>
      <c r="R688" s="1020"/>
      <c r="U688" t="s">
        <v>1331</v>
      </c>
      <c r="Z688" s="1018"/>
      <c r="AA688" s="1018"/>
      <c r="AB688" s="1018"/>
      <c r="AC688" s="1018"/>
      <c r="AD688" s="1018"/>
      <c r="AE688" s="1018"/>
      <c r="AF688" s="1018"/>
      <c r="AG688" s="1018"/>
      <c r="AH688" s="1018"/>
      <c r="AI688" s="1018"/>
      <c r="AJ688" s="1018"/>
      <c r="AK688" s="1018"/>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762</v>
      </c>
      <c r="C689"/>
      <c r="G689" s="1024"/>
      <c r="H689" s="1024"/>
      <c r="I689" s="1024"/>
      <c r="J689" s="1024"/>
      <c r="K689" s="1024"/>
      <c r="L689" s="1024"/>
      <c r="O689" s="810" t="s">
        <v>992</v>
      </c>
      <c r="P689" s="1279"/>
      <c r="Q689" s="1279"/>
      <c r="R689" s="1279"/>
      <c r="U689" t="s">
        <v>762</v>
      </c>
      <c r="Z689" s="1024"/>
      <c r="AA689" s="1024"/>
      <c r="AB689" s="1024"/>
      <c r="AC689" s="1024"/>
      <c r="AD689" s="1024"/>
      <c r="AE689" s="1024"/>
      <c r="AH689" s="810" t="s">
        <v>992</v>
      </c>
      <c r="AI689" s="1279"/>
      <c r="AJ689" s="1279"/>
      <c r="AK689" s="1279"/>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1334</v>
      </c>
      <c r="C690"/>
      <c r="H690" s="1020"/>
      <c r="I690" s="1020"/>
      <c r="J690" s="1020"/>
      <c r="K690" s="1020"/>
      <c r="L690" s="1020"/>
      <c r="M690" s="1020"/>
      <c r="N690" s="1020"/>
      <c r="O690" s="1020"/>
      <c r="P690" s="1020"/>
      <c r="Q690" s="1020"/>
      <c r="R690" s="1020"/>
      <c r="U690" t="s">
        <v>1334</v>
      </c>
      <c r="AA690" s="1020"/>
      <c r="AB690" s="1020"/>
      <c r="AC690" s="1020"/>
      <c r="AD690" s="1020"/>
      <c r="AE690" s="1020"/>
      <c r="AF690" s="1020"/>
      <c r="AG690" s="1020"/>
      <c r="AH690" s="1020"/>
      <c r="AI690" s="1020"/>
      <c r="AJ690" s="1020"/>
      <c r="AK690" s="1020"/>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1337</v>
      </c>
      <c r="C691"/>
      <c r="N691" s="1065" t="s">
        <v>708</v>
      </c>
      <c r="O691" s="1065"/>
      <c r="U691" t="s">
        <v>1337</v>
      </c>
      <c r="AG691" s="1065" t="s">
        <v>708</v>
      </c>
      <c r="AH691" s="1065"/>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1378</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9" t="s">
        <v>1379</v>
      </c>
      <c r="B694" s="1019"/>
      <c r="C694" s="1019"/>
      <c r="D694" s="1019"/>
      <c r="E694" s="1019"/>
      <c r="F694" s="1019"/>
      <c r="G694" s="1019"/>
      <c r="H694" s="1019"/>
      <c r="I694" s="1019"/>
      <c r="J694" s="1019"/>
      <c r="K694" s="1019"/>
      <c r="L694" s="1019"/>
      <c r="M694" s="1019"/>
      <c r="N694" s="1019"/>
      <c r="O694" s="1019"/>
      <c r="P694" s="1019"/>
      <c r="Q694" s="1019"/>
      <c r="R694" s="1019"/>
      <c r="S694" s="1019"/>
      <c r="T694" s="1019"/>
      <c r="U694" s="1019"/>
      <c r="V694" s="1019"/>
      <c r="W694" s="1019"/>
      <c r="X694" s="1019"/>
      <c r="Y694" s="1019"/>
      <c r="Z694" s="1019"/>
      <c r="AA694" s="1019"/>
      <c r="AB694" s="1019"/>
      <c r="AC694" s="1019"/>
      <c r="AD694" s="1019"/>
      <c r="AE694" s="1019"/>
      <c r="AF694" s="1019"/>
      <c r="AG694" s="1019"/>
      <c r="AH694" s="1019"/>
      <c r="AI694" s="1019"/>
      <c r="AJ694" s="1019"/>
      <c r="AK694" s="1019"/>
      <c r="AL694" s="1019"/>
      <c r="AM694" s="1019"/>
      <c r="AN694" s="1019"/>
      <c r="AO694" s="1019"/>
      <c r="AP694" s="1019"/>
      <c r="AQ694" s="1019"/>
      <c r="AR694" s="1019"/>
      <c r="AS694" s="1019"/>
      <c r="AT694" s="1019"/>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9"/>
      <c r="B695" s="1019"/>
      <c r="C695" s="1019"/>
      <c r="D695" s="1019"/>
      <c r="E695" s="1019"/>
      <c r="F695" s="1019"/>
      <c r="G695" s="1019"/>
      <c r="H695" s="1019"/>
      <c r="I695" s="1019"/>
      <c r="J695" s="1019"/>
      <c r="K695" s="1019"/>
      <c r="L695" s="1019"/>
      <c r="M695" s="1019"/>
      <c r="N695" s="1019"/>
      <c r="O695" s="1019"/>
      <c r="P695" s="1019"/>
      <c r="Q695" s="1019"/>
      <c r="R695" s="1019"/>
      <c r="S695" s="1019"/>
      <c r="T695" s="1019"/>
      <c r="U695" s="1019"/>
      <c r="V695" s="1019"/>
      <c r="W695" s="1019"/>
      <c r="X695" s="1019"/>
      <c r="Y695" s="1019"/>
      <c r="Z695" s="1019"/>
      <c r="AA695" s="1019"/>
      <c r="AB695" s="1019"/>
      <c r="AC695" s="1019"/>
      <c r="AD695" s="1019"/>
      <c r="AE695" s="1019"/>
      <c r="AF695" s="1019"/>
      <c r="AG695" s="1019"/>
      <c r="AH695" s="1019"/>
      <c r="AI695" s="1019"/>
      <c r="AJ695" s="1019"/>
      <c r="AK695" s="1019"/>
      <c r="AL695" s="1019"/>
      <c r="AM695" s="1019"/>
      <c r="AN695" s="1019"/>
      <c r="AO695" s="1019"/>
      <c r="AP695" s="1019"/>
      <c r="AQ695" s="1019"/>
      <c r="AR695" s="1019"/>
      <c r="AS695" s="1019"/>
      <c r="AT695" s="1019"/>
      <c r="BE695" s="37"/>
      <c r="BJ695" s="37"/>
      <c r="BK695" s="37"/>
      <c r="BL695" s="37"/>
      <c r="BM695" s="37"/>
      <c r="BN695" s="37"/>
      <c r="BO695" s="37"/>
      <c r="BP695" s="479" t="s">
        <v>1380</v>
      </c>
      <c r="BQ695" s="480" t="s">
        <v>1348</v>
      </c>
      <c r="BR695" s="480" t="s">
        <v>1342</v>
      </c>
      <c r="BS695" s="480" t="s">
        <v>1343</v>
      </c>
      <c r="BT695" s="480" t="s">
        <v>1344</v>
      </c>
      <c r="BU695" s="480" t="s">
        <v>1345</v>
      </c>
      <c r="BV695" s="480" t="s">
        <v>1352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9"/>
      <c r="B696" s="1019"/>
      <c r="C696" s="1019"/>
      <c r="D696" s="1019"/>
      <c r="E696" s="1019"/>
      <c r="F696" s="1019"/>
      <c r="G696" s="1019"/>
      <c r="H696" s="1019"/>
      <c r="I696" s="1019"/>
      <c r="J696" s="1019"/>
      <c r="K696" s="1019"/>
      <c r="L696" s="1019"/>
      <c r="M696" s="1019"/>
      <c r="N696" s="1019"/>
      <c r="O696" s="1019"/>
      <c r="P696" s="1019"/>
      <c r="Q696" s="1019"/>
      <c r="R696" s="1019"/>
      <c r="S696" s="1019"/>
      <c r="T696" s="1019"/>
      <c r="U696" s="1019"/>
      <c r="V696" s="1019"/>
      <c r="W696" s="1019"/>
      <c r="X696" s="1019"/>
      <c r="Y696" s="1019"/>
      <c r="Z696" s="1019"/>
      <c r="AA696" s="1019"/>
      <c r="AB696" s="1019"/>
      <c r="AC696" s="1019"/>
      <c r="AD696" s="1019"/>
      <c r="AE696" s="1019"/>
      <c r="AF696" s="1019"/>
      <c r="AG696" s="1019"/>
      <c r="AH696" s="1019"/>
      <c r="AI696" s="1019"/>
      <c r="AJ696" s="1019"/>
      <c r="AK696" s="1019"/>
      <c r="AL696" s="1019"/>
      <c r="AM696" s="1019"/>
      <c r="AN696" s="1019"/>
      <c r="AO696" s="1019"/>
      <c r="AP696" s="1019"/>
      <c r="AQ696" s="1019"/>
      <c r="AR696" s="1019"/>
      <c r="AS696" s="1019"/>
      <c r="AT696" s="1019"/>
      <c r="BE696" s="37"/>
      <c r="BJ696" s="370"/>
      <c r="BK696" s="37"/>
      <c r="BL696" s="37"/>
      <c r="BM696" s="37"/>
      <c r="BN696" s="37"/>
      <c r="BO696" s="37"/>
      <c r="BP696" s="481" t="s">
        <v>746</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793</v>
      </c>
      <c r="B697" s="3"/>
      <c r="C697" s="3" t="s">
        <v>1381</v>
      </c>
      <c r="BE697" s="37"/>
      <c r="BJ697" s="37"/>
      <c r="BK697" s="37"/>
      <c r="BL697" s="37"/>
      <c r="BM697" s="37"/>
      <c r="BN697" s="37"/>
      <c r="BO697" s="37"/>
      <c r="BP697" s="483" t="s">
        <v>750</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754</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33" t="s">
        <v>1382</v>
      </c>
      <c r="C699" s="1234"/>
      <c r="D699" s="1234"/>
      <c r="E699" s="1234"/>
      <c r="F699" s="1235"/>
      <c r="G699" s="1233" t="s">
        <v>1383</v>
      </c>
      <c r="H699" s="1234"/>
      <c r="I699" s="1234"/>
      <c r="J699" s="1235"/>
      <c r="K699" s="1399" t="s">
        <v>1384</v>
      </c>
      <c r="L699" s="1400"/>
      <c r="M699" s="1400"/>
      <c r="N699" s="1401"/>
      <c r="O699" s="1233" t="s">
        <v>1385</v>
      </c>
      <c r="P699" s="1234"/>
      <c r="Q699" s="1234"/>
      <c r="R699" s="1234"/>
      <c r="S699" s="1235"/>
      <c r="T699" s="1233" t="s">
        <v>1386</v>
      </c>
      <c r="U699" s="1234"/>
      <c r="V699" s="1234"/>
      <c r="W699" s="1234"/>
      <c r="X699" s="1235"/>
      <c r="Y699" s="1233" t="s">
        <v>1387</v>
      </c>
      <c r="Z699" s="1234"/>
      <c r="AA699" s="1234"/>
      <c r="AB699" s="1235"/>
      <c r="AC699" s="1233" t="s">
        <v>1388</v>
      </c>
      <c r="AD699" s="1234"/>
      <c r="AE699" s="1234"/>
      <c r="AF699" s="1234"/>
      <c r="AG699" s="1235"/>
      <c r="AH699" s="1233" t="s">
        <v>1389</v>
      </c>
      <c r="AI699" s="1234"/>
      <c r="AJ699" s="1234"/>
      <c r="AK699" s="1234"/>
      <c r="AL699" s="1235"/>
      <c r="AM699" s="1233" t="s">
        <v>1390</v>
      </c>
      <c r="AN699" s="1234"/>
      <c r="AO699" s="1235"/>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36"/>
      <c r="C700" s="1237"/>
      <c r="D700" s="1237"/>
      <c r="E700" s="1237"/>
      <c r="F700" s="1238"/>
      <c r="G700" s="1236"/>
      <c r="H700" s="1237"/>
      <c r="I700" s="1237"/>
      <c r="J700" s="1238"/>
      <c r="K700" s="1402"/>
      <c r="L700" s="1403"/>
      <c r="M700" s="1403"/>
      <c r="N700" s="1404"/>
      <c r="O700" s="1236"/>
      <c r="P700" s="1237"/>
      <c r="Q700" s="1237"/>
      <c r="R700" s="1237"/>
      <c r="S700" s="1238"/>
      <c r="T700" s="1236"/>
      <c r="U700" s="1237"/>
      <c r="V700" s="1237"/>
      <c r="W700" s="1237"/>
      <c r="X700" s="1238"/>
      <c r="Y700" s="1236"/>
      <c r="Z700" s="1237"/>
      <c r="AA700" s="1237"/>
      <c r="AB700" s="1238"/>
      <c r="AC700" s="1236"/>
      <c r="AD700" s="1237"/>
      <c r="AE700" s="1237"/>
      <c r="AF700" s="1237"/>
      <c r="AG700" s="1238"/>
      <c r="AH700" s="1236"/>
      <c r="AI700" s="1237"/>
      <c r="AJ700" s="1237"/>
      <c r="AK700" s="1237"/>
      <c r="AL700" s="1238"/>
      <c r="AM700" s="1236"/>
      <c r="AN700" s="1237"/>
      <c r="AO700" s="1238"/>
      <c r="BB700" s="37"/>
      <c r="BC700" s="37"/>
      <c r="BD700" s="37"/>
      <c r="BE700" s="37"/>
      <c r="BJ700" s="37"/>
      <c r="BK700" s="37"/>
      <c r="BL700" s="37"/>
      <c r="BM700" s="37"/>
      <c r="BN700" s="37"/>
      <c r="BO700" s="37"/>
      <c r="BP700" s="483" t="s">
        <v>761</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36"/>
      <c r="C701" s="1237"/>
      <c r="D701" s="1237"/>
      <c r="E701" s="1237"/>
      <c r="F701" s="1238"/>
      <c r="G701" s="1236"/>
      <c r="H701" s="1237"/>
      <c r="I701" s="1237"/>
      <c r="J701" s="1238"/>
      <c r="K701" s="1402"/>
      <c r="L701" s="1403"/>
      <c r="M701" s="1403"/>
      <c r="N701" s="1404"/>
      <c r="O701" s="1236"/>
      <c r="P701" s="1237"/>
      <c r="Q701" s="1237"/>
      <c r="R701" s="1237"/>
      <c r="S701" s="1238"/>
      <c r="T701" s="1236"/>
      <c r="U701" s="1237"/>
      <c r="V701" s="1237"/>
      <c r="W701" s="1237"/>
      <c r="X701" s="1238"/>
      <c r="Y701" s="1236"/>
      <c r="Z701" s="1237"/>
      <c r="AA701" s="1237"/>
      <c r="AB701" s="1238"/>
      <c r="AC701" s="1236"/>
      <c r="AD701" s="1237"/>
      <c r="AE701" s="1237"/>
      <c r="AF701" s="1237"/>
      <c r="AG701" s="1238"/>
      <c r="AH701" s="1236"/>
      <c r="AI701" s="1237"/>
      <c r="AJ701" s="1237"/>
      <c r="AK701" s="1237"/>
      <c r="AL701" s="1238"/>
      <c r="AM701" s="1236"/>
      <c r="AN701" s="1237"/>
      <c r="AO701" s="1238"/>
      <c r="AX701" s="37"/>
      <c r="AY701" s="3" t="s">
        <v>1391</v>
      </c>
      <c r="AZ701" s="37"/>
      <c r="BA701" s="37"/>
      <c r="BB701" s="37"/>
      <c r="BC701" s="37"/>
      <c r="BD701" s="37"/>
      <c r="BE701" s="738" t="s">
        <v>1392</v>
      </c>
      <c r="BF701" s="739"/>
      <c r="BG701" s="739"/>
      <c r="BJ701" s="37"/>
      <c r="BK701" s="37"/>
      <c r="BL701" s="37"/>
      <c r="BM701" s="37"/>
      <c r="BN701" s="37"/>
      <c r="BO701" s="37"/>
      <c r="BP701" s="483" t="s">
        <v>767</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39"/>
      <c r="C702" s="1240"/>
      <c r="D702" s="1240"/>
      <c r="E702" s="1240"/>
      <c r="F702" s="1241"/>
      <c r="G702" s="1239"/>
      <c r="H702" s="1240"/>
      <c r="I702" s="1240"/>
      <c r="J702" s="1241"/>
      <c r="K702" s="1402"/>
      <c r="L702" s="1403"/>
      <c r="M702" s="1403"/>
      <c r="N702" s="1404"/>
      <c r="O702" s="1239"/>
      <c r="P702" s="1240"/>
      <c r="Q702" s="1240"/>
      <c r="R702" s="1240"/>
      <c r="S702" s="1241"/>
      <c r="T702" s="1239"/>
      <c r="U702" s="1240"/>
      <c r="V702" s="1240"/>
      <c r="W702" s="1240"/>
      <c r="X702" s="1241"/>
      <c r="Y702" s="1239"/>
      <c r="Z702" s="1240"/>
      <c r="AA702" s="1240"/>
      <c r="AB702" s="1241"/>
      <c r="AC702" s="1239"/>
      <c r="AD702" s="1240"/>
      <c r="AE702" s="1240"/>
      <c r="AF702" s="1240"/>
      <c r="AG702" s="1241"/>
      <c r="AH702" s="1239"/>
      <c r="AI702" s="1240"/>
      <c r="AJ702" s="1240"/>
      <c r="AK702" s="1240"/>
      <c r="AL702" s="1241"/>
      <c r="AM702" s="1239"/>
      <c r="AN702" s="1240"/>
      <c r="AO702" s="1241"/>
      <c r="AV702" s="229" t="s">
        <v>1393</v>
      </c>
      <c r="AX702" s="37"/>
      <c r="AY702" s="369" t="s">
        <v>1394</v>
      </c>
      <c r="AZ702" s="378" t="s">
        <v>1395</v>
      </c>
      <c r="BA702" s="377" t="s">
        <v>1396</v>
      </c>
      <c r="BB702" s="37"/>
      <c r="BC702" s="37"/>
      <c r="BD702" s="37"/>
      <c r="BE702" s="740" t="s">
        <v>1394</v>
      </c>
      <c r="BF702" s="741" t="s">
        <v>1395</v>
      </c>
      <c r="BG702" s="742" t="s">
        <v>1396</v>
      </c>
      <c r="BJ702" s="37"/>
      <c r="BK702" s="37"/>
      <c r="BL702" s="37"/>
      <c r="BM702" s="37"/>
      <c r="BN702" s="37"/>
      <c r="BO702" s="37"/>
      <c r="BP702" s="483" t="s">
        <v>771</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40" t="s">
        <v>1348</v>
      </c>
      <c r="C703" s="1041"/>
      <c r="D703" s="1041"/>
      <c r="E703" s="1041"/>
      <c r="F703" s="1042"/>
      <c r="G703" s="1043">
        <v>57</v>
      </c>
      <c r="H703" s="1044"/>
      <c r="I703" s="1044"/>
      <c r="J703" s="1045"/>
      <c r="K703" s="1046">
        <v>364</v>
      </c>
      <c r="L703" s="1047"/>
      <c r="M703" s="1047"/>
      <c r="N703" s="1048"/>
      <c r="O703" s="1049">
        <v>1055</v>
      </c>
      <c r="P703" s="1050"/>
      <c r="Q703" s="1050"/>
      <c r="R703" s="1050"/>
      <c r="S703" s="1051"/>
      <c r="T703" s="1052">
        <f t="shared" ref="T703:T737" si="35">G703*O703</f>
        <v>60135</v>
      </c>
      <c r="U703" s="1053"/>
      <c r="V703" s="1053"/>
      <c r="W703" s="1053"/>
      <c r="X703" s="1054"/>
      <c r="Y703" s="1049">
        <v>0</v>
      </c>
      <c r="Z703" s="1050"/>
      <c r="AA703" s="1050"/>
      <c r="AB703" s="1051"/>
      <c r="AC703" s="1052">
        <f t="shared" ref="AC703:AC737" si="36">O703+Y703</f>
        <v>1055</v>
      </c>
      <c r="AD703" s="1053"/>
      <c r="AE703" s="1053"/>
      <c r="AF703" s="1053"/>
      <c r="AG703" s="1054"/>
      <c r="AH703" s="1394">
        <v>0.3</v>
      </c>
      <c r="AI703" s="1395"/>
      <c r="AJ703" s="1395"/>
      <c r="AK703" s="1395"/>
      <c r="AL703" s="1396"/>
      <c r="AM703" s="1058">
        <f>IF($AH703&gt;0,($AC703/$AV703),"")</f>
        <v>0.30005688282138793</v>
      </c>
      <c r="AN703" s="1059"/>
      <c r="AO703" s="1060"/>
      <c r="AV703" s="37">
        <f t="shared" ref="AV703:AV737" si="37">IF($G703=0,"N/A",VLOOKUP($T$189,TC_Rent,(MATCH($B703,bedrooms,FALSE))))</f>
        <v>3516</v>
      </c>
      <c r="AX703" s="37"/>
      <c r="AY703" s="889">
        <f t="shared" ref="AY703:AY726" si="38">G703</f>
        <v>57</v>
      </c>
      <c r="AZ703" s="890">
        <f t="shared" ref="AZ703:AZ726" si="39">IF($AY$738=0,"",AY703/$AY$738)</f>
        <v>1</v>
      </c>
      <c r="BA703" s="891">
        <f t="shared" ref="BA703:BA726" si="40">IF(AZ703="","",AZ703*AH703)</f>
        <v>0.3</v>
      </c>
      <c r="BB703" s="37"/>
      <c r="BC703" s="37"/>
      <c r="BD703" s="37"/>
      <c r="BE703" s="743">
        <f t="shared" ref="BE703:BE726" si="41">G703</f>
        <v>57</v>
      </c>
      <c r="BF703" s="747">
        <f t="shared" ref="BF703:BF726" si="42">IF(BE703=0,"",BE703/$BE$738)</f>
        <v>1</v>
      </c>
      <c r="BG703" s="748">
        <f t="shared" ref="BG703:BG726" si="43">IF(BF703="","",BF703*AM703)</f>
        <v>0.30005688282138793</v>
      </c>
      <c r="BJ703" s="37"/>
      <c r="BK703" s="37"/>
      <c r="BL703" s="37"/>
      <c r="BM703" s="37"/>
      <c r="BN703" s="37"/>
      <c r="BO703" s="37"/>
      <c r="BP703" s="483" t="s">
        <v>775</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40"/>
      <c r="C704" s="1041"/>
      <c r="D704" s="1041"/>
      <c r="E704" s="1041"/>
      <c r="F704" s="1042"/>
      <c r="G704" s="1043"/>
      <c r="H704" s="1044"/>
      <c r="I704" s="1044"/>
      <c r="J704" s="1045"/>
      <c r="K704" s="1046"/>
      <c r="L704" s="1047"/>
      <c r="M704" s="1047"/>
      <c r="N704" s="1048"/>
      <c r="O704" s="1049"/>
      <c r="P704" s="1050"/>
      <c r="Q704" s="1050"/>
      <c r="R704" s="1050"/>
      <c r="S704" s="1051"/>
      <c r="T704" s="1052">
        <f t="shared" si="35"/>
        <v>0</v>
      </c>
      <c r="U704" s="1053"/>
      <c r="V704" s="1053"/>
      <c r="W704" s="1053"/>
      <c r="X704" s="1054"/>
      <c r="Y704" s="1049"/>
      <c r="Z704" s="1050"/>
      <c r="AA704" s="1050"/>
      <c r="AB704" s="1051"/>
      <c r="AC704" s="1052">
        <f t="shared" si="36"/>
        <v>0</v>
      </c>
      <c r="AD704" s="1053"/>
      <c r="AE704" s="1053"/>
      <c r="AF704" s="1053"/>
      <c r="AG704" s="1054"/>
      <c r="AH704" s="1055"/>
      <c r="AI704" s="1056"/>
      <c r="AJ704" s="1056"/>
      <c r="AK704" s="1056"/>
      <c r="AL704" s="1057"/>
      <c r="AM704" s="1058" t="str">
        <f t="shared" ref="AM704:AM726" si="44">IF($AH704&gt;0,($AC704/$AV704), "")</f>
        <v/>
      </c>
      <c r="AN704" s="1059"/>
      <c r="AO704" s="1060"/>
      <c r="AV704" s="37" t="str">
        <f t="shared" si="37"/>
        <v>N/A</v>
      </c>
      <c r="AX704" s="37"/>
      <c r="AY704" s="892">
        <f t="shared" si="38"/>
        <v>0</v>
      </c>
      <c r="AZ704" s="890">
        <f t="shared" si="39"/>
        <v>0</v>
      </c>
      <c r="BA704" s="891">
        <f t="shared" si="40"/>
        <v>0</v>
      </c>
      <c r="BB704" s="37"/>
      <c r="BC704" s="37"/>
      <c r="BD704" s="37"/>
      <c r="BE704" s="743">
        <f t="shared" si="41"/>
        <v>0</v>
      </c>
      <c r="BF704" s="747" t="str">
        <f t="shared" si="42"/>
        <v/>
      </c>
      <c r="BG704" s="748" t="str">
        <f t="shared" si="43"/>
        <v/>
      </c>
      <c r="BJ704" s="37"/>
      <c r="BK704" s="37"/>
      <c r="BL704" s="37"/>
      <c r="BM704" s="37"/>
      <c r="BN704" s="37"/>
      <c r="BO704" s="37"/>
      <c r="BP704" s="483" t="s">
        <v>777</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40"/>
      <c r="C705" s="1041"/>
      <c r="D705" s="1041"/>
      <c r="E705" s="1041"/>
      <c r="F705" s="1042"/>
      <c r="G705" s="1043"/>
      <c r="H705" s="1044"/>
      <c r="I705" s="1044"/>
      <c r="J705" s="1045"/>
      <c r="K705" s="1046"/>
      <c r="L705" s="1047"/>
      <c r="M705" s="1047"/>
      <c r="N705" s="1048"/>
      <c r="O705" s="1049"/>
      <c r="P705" s="1050"/>
      <c r="Q705" s="1050"/>
      <c r="R705" s="1050"/>
      <c r="S705" s="1051"/>
      <c r="T705" s="1052">
        <f t="shared" si="35"/>
        <v>0</v>
      </c>
      <c r="U705" s="1053"/>
      <c r="V705" s="1053"/>
      <c r="W705" s="1053"/>
      <c r="X705" s="1054"/>
      <c r="Y705" s="1049"/>
      <c r="Z705" s="1050"/>
      <c r="AA705" s="1050"/>
      <c r="AB705" s="1051"/>
      <c r="AC705" s="1052">
        <f t="shared" si="36"/>
        <v>0</v>
      </c>
      <c r="AD705" s="1053"/>
      <c r="AE705" s="1053"/>
      <c r="AF705" s="1053"/>
      <c r="AG705" s="1054"/>
      <c r="AH705" s="1055"/>
      <c r="AI705" s="1056"/>
      <c r="AJ705" s="1056"/>
      <c r="AK705" s="1056"/>
      <c r="AL705" s="1057"/>
      <c r="AM705" s="1058" t="str">
        <f t="shared" si="44"/>
        <v/>
      </c>
      <c r="AN705" s="1059"/>
      <c r="AO705" s="1060"/>
      <c r="AV705" s="37" t="str">
        <f t="shared" si="37"/>
        <v>N/A</v>
      </c>
      <c r="AX705" s="37"/>
      <c r="AY705" s="892">
        <f t="shared" si="38"/>
        <v>0</v>
      </c>
      <c r="AZ705" s="890">
        <f t="shared" si="39"/>
        <v>0</v>
      </c>
      <c r="BA705" s="891">
        <f t="shared" si="40"/>
        <v>0</v>
      </c>
      <c r="BB705" s="37"/>
      <c r="BC705" s="37"/>
      <c r="BD705" s="37"/>
      <c r="BE705" s="743">
        <f t="shared" si="41"/>
        <v>0</v>
      </c>
      <c r="BF705" s="747" t="str">
        <f t="shared" si="42"/>
        <v/>
      </c>
      <c r="BG705" s="748" t="str">
        <f t="shared" si="43"/>
        <v/>
      </c>
      <c r="BJ705" s="37"/>
      <c r="BK705" s="37"/>
      <c r="BL705" s="37"/>
      <c r="BM705" s="37"/>
      <c r="BN705" s="37"/>
      <c r="BO705" s="37"/>
      <c r="BP705" s="483" t="s">
        <v>780</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40"/>
      <c r="C706" s="1041"/>
      <c r="D706" s="1041"/>
      <c r="E706" s="1041"/>
      <c r="F706" s="1042"/>
      <c r="G706" s="1043"/>
      <c r="H706" s="1044"/>
      <c r="I706" s="1044"/>
      <c r="J706" s="1045"/>
      <c r="K706" s="1046"/>
      <c r="L706" s="1047"/>
      <c r="M706" s="1047"/>
      <c r="N706" s="1048"/>
      <c r="O706" s="1049"/>
      <c r="P706" s="1050"/>
      <c r="Q706" s="1050"/>
      <c r="R706" s="1050"/>
      <c r="S706" s="1051"/>
      <c r="T706" s="1052">
        <f t="shared" si="35"/>
        <v>0</v>
      </c>
      <c r="U706" s="1053"/>
      <c r="V706" s="1053"/>
      <c r="W706" s="1053"/>
      <c r="X706" s="1054"/>
      <c r="Y706" s="1049"/>
      <c r="Z706" s="1050"/>
      <c r="AA706" s="1050"/>
      <c r="AB706" s="1051"/>
      <c r="AC706" s="1052">
        <f t="shared" si="36"/>
        <v>0</v>
      </c>
      <c r="AD706" s="1053"/>
      <c r="AE706" s="1053"/>
      <c r="AF706" s="1053"/>
      <c r="AG706" s="1054"/>
      <c r="AH706" s="1055"/>
      <c r="AI706" s="1056"/>
      <c r="AJ706" s="1056"/>
      <c r="AK706" s="1056"/>
      <c r="AL706" s="1057"/>
      <c r="AM706" s="1058" t="str">
        <f t="shared" si="44"/>
        <v/>
      </c>
      <c r="AN706" s="1059"/>
      <c r="AO706" s="1060"/>
      <c r="AV706" s="37" t="str">
        <f t="shared" si="37"/>
        <v>N/A</v>
      </c>
      <c r="AX706" s="37"/>
      <c r="AY706" s="892">
        <f t="shared" si="38"/>
        <v>0</v>
      </c>
      <c r="AZ706" s="890">
        <f t="shared" si="39"/>
        <v>0</v>
      </c>
      <c r="BA706" s="891">
        <f t="shared" si="40"/>
        <v>0</v>
      </c>
      <c r="BB706" s="37"/>
      <c r="BC706" s="37"/>
      <c r="BD706" s="37"/>
      <c r="BE706" s="743">
        <f t="shared" si="41"/>
        <v>0</v>
      </c>
      <c r="BF706" s="747" t="str">
        <f t="shared" si="42"/>
        <v/>
      </c>
      <c r="BG706" s="748" t="str">
        <f t="shared" si="43"/>
        <v/>
      </c>
      <c r="BJ706" s="37"/>
      <c r="BK706" s="37"/>
      <c r="BL706" s="37"/>
      <c r="BM706" s="37"/>
      <c r="BN706" s="37"/>
      <c r="BO706" s="37"/>
      <c r="BP706" s="483" t="s">
        <v>783</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40"/>
      <c r="C707" s="1041"/>
      <c r="D707" s="1041"/>
      <c r="E707" s="1041"/>
      <c r="F707" s="1042"/>
      <c r="G707" s="1043"/>
      <c r="H707" s="1044"/>
      <c r="I707" s="1044"/>
      <c r="J707" s="1045"/>
      <c r="K707" s="1046"/>
      <c r="L707" s="1047"/>
      <c r="M707" s="1047"/>
      <c r="N707" s="1048"/>
      <c r="O707" s="1049"/>
      <c r="P707" s="1050"/>
      <c r="Q707" s="1050"/>
      <c r="R707" s="1050"/>
      <c r="S707" s="1051"/>
      <c r="T707" s="1052">
        <f t="shared" si="35"/>
        <v>0</v>
      </c>
      <c r="U707" s="1053"/>
      <c r="V707" s="1053"/>
      <c r="W707" s="1053"/>
      <c r="X707" s="1054"/>
      <c r="Y707" s="1049"/>
      <c r="Z707" s="1050"/>
      <c r="AA707" s="1050"/>
      <c r="AB707" s="1051"/>
      <c r="AC707" s="1052">
        <f t="shared" si="36"/>
        <v>0</v>
      </c>
      <c r="AD707" s="1053"/>
      <c r="AE707" s="1053"/>
      <c r="AF707" s="1053"/>
      <c r="AG707" s="1054"/>
      <c r="AH707" s="1055"/>
      <c r="AI707" s="1056"/>
      <c r="AJ707" s="1056"/>
      <c r="AK707" s="1056"/>
      <c r="AL707" s="1057"/>
      <c r="AM707" s="1058" t="str">
        <f t="shared" si="44"/>
        <v/>
      </c>
      <c r="AN707" s="1059"/>
      <c r="AO707" s="1060"/>
      <c r="AV707" s="37" t="str">
        <f t="shared" si="37"/>
        <v>N/A</v>
      </c>
      <c r="AX707" s="37"/>
      <c r="AY707" s="892">
        <f t="shared" si="38"/>
        <v>0</v>
      </c>
      <c r="AZ707" s="890">
        <f t="shared" si="39"/>
        <v>0</v>
      </c>
      <c r="BA707" s="891">
        <f t="shared" si="40"/>
        <v>0</v>
      </c>
      <c r="BB707" s="37"/>
      <c r="BC707" s="37"/>
      <c r="BD707" s="37"/>
      <c r="BE707" s="743">
        <f t="shared" si="41"/>
        <v>0</v>
      </c>
      <c r="BF707" s="747" t="str">
        <f t="shared" si="42"/>
        <v/>
      </c>
      <c r="BG707" s="748" t="str">
        <f t="shared" si="43"/>
        <v/>
      </c>
      <c r="BJ707" s="37"/>
      <c r="BK707" s="37"/>
      <c r="BL707" s="37"/>
      <c r="BM707" s="37"/>
      <c r="BN707" s="37"/>
      <c r="BO707" s="37"/>
      <c r="BP707" s="483" t="s">
        <v>785</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40"/>
      <c r="C708" s="1041"/>
      <c r="D708" s="1041"/>
      <c r="E708" s="1041"/>
      <c r="F708" s="1042"/>
      <c r="G708" s="1043"/>
      <c r="H708" s="1044"/>
      <c r="I708" s="1044"/>
      <c r="J708" s="1045"/>
      <c r="K708" s="1046"/>
      <c r="L708" s="1047"/>
      <c r="M708" s="1047"/>
      <c r="N708" s="1048"/>
      <c r="O708" s="1049"/>
      <c r="P708" s="1050"/>
      <c r="Q708" s="1050"/>
      <c r="R708" s="1050"/>
      <c r="S708" s="1051"/>
      <c r="T708" s="1052">
        <f t="shared" si="35"/>
        <v>0</v>
      </c>
      <c r="U708" s="1053"/>
      <c r="V708" s="1053"/>
      <c r="W708" s="1053"/>
      <c r="X708" s="1054"/>
      <c r="Y708" s="1049"/>
      <c r="Z708" s="1050"/>
      <c r="AA708" s="1050"/>
      <c r="AB708" s="1051"/>
      <c r="AC708" s="1052">
        <f t="shared" si="36"/>
        <v>0</v>
      </c>
      <c r="AD708" s="1053"/>
      <c r="AE708" s="1053"/>
      <c r="AF708" s="1053"/>
      <c r="AG708" s="1054"/>
      <c r="AH708" s="1055"/>
      <c r="AI708" s="1056"/>
      <c r="AJ708" s="1056"/>
      <c r="AK708" s="1056"/>
      <c r="AL708" s="1057"/>
      <c r="AM708" s="1058" t="str">
        <f t="shared" si="44"/>
        <v/>
      </c>
      <c r="AN708" s="1059"/>
      <c r="AO708" s="1060"/>
      <c r="AV708" s="37" t="str">
        <f t="shared" si="37"/>
        <v>N/A</v>
      </c>
      <c r="AX708" s="37"/>
      <c r="AY708" s="892">
        <f t="shared" si="38"/>
        <v>0</v>
      </c>
      <c r="AZ708" s="890">
        <f t="shared" si="39"/>
        <v>0</v>
      </c>
      <c r="BA708" s="891">
        <f t="shared" si="40"/>
        <v>0</v>
      </c>
      <c r="BB708" s="37"/>
      <c r="BC708" s="37"/>
      <c r="BD708" s="37"/>
      <c r="BE708" s="743">
        <f t="shared" si="41"/>
        <v>0</v>
      </c>
      <c r="BF708" s="747" t="str">
        <f t="shared" si="42"/>
        <v/>
      </c>
      <c r="BG708" s="748" t="str">
        <f t="shared" si="43"/>
        <v/>
      </c>
      <c r="BJ708" s="37"/>
      <c r="BK708" s="37"/>
      <c r="BL708" s="37"/>
      <c r="BM708" s="37"/>
      <c r="BN708" s="37"/>
      <c r="BO708" s="37"/>
      <c r="BP708" s="483" t="s">
        <v>788</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40"/>
      <c r="C709" s="1041"/>
      <c r="D709" s="1041"/>
      <c r="E709" s="1041"/>
      <c r="F709" s="1042"/>
      <c r="G709" s="1043"/>
      <c r="H709" s="1044"/>
      <c r="I709" s="1044"/>
      <c r="J709" s="1045"/>
      <c r="K709" s="1046"/>
      <c r="L709" s="1047"/>
      <c r="M709" s="1047"/>
      <c r="N709" s="1048"/>
      <c r="O709" s="1049"/>
      <c r="P709" s="1050"/>
      <c r="Q709" s="1050"/>
      <c r="R709" s="1050"/>
      <c r="S709" s="1051"/>
      <c r="T709" s="1052">
        <f t="shared" si="35"/>
        <v>0</v>
      </c>
      <c r="U709" s="1053"/>
      <c r="V709" s="1053"/>
      <c r="W709" s="1053"/>
      <c r="X709" s="1054"/>
      <c r="Y709" s="1049"/>
      <c r="Z709" s="1050"/>
      <c r="AA709" s="1050"/>
      <c r="AB709" s="1051"/>
      <c r="AC709" s="1052">
        <f t="shared" si="36"/>
        <v>0</v>
      </c>
      <c r="AD709" s="1053"/>
      <c r="AE709" s="1053"/>
      <c r="AF709" s="1053"/>
      <c r="AG709" s="1054"/>
      <c r="AH709" s="1055"/>
      <c r="AI709" s="1056"/>
      <c r="AJ709" s="1056"/>
      <c r="AK709" s="1056"/>
      <c r="AL709" s="1057"/>
      <c r="AM709" s="1058" t="str">
        <f t="shared" si="44"/>
        <v/>
      </c>
      <c r="AN709" s="1059"/>
      <c r="AO709" s="1060"/>
      <c r="AV709" s="37" t="str">
        <f t="shared" si="37"/>
        <v>N/A</v>
      </c>
      <c r="AX709" s="37"/>
      <c r="AY709" s="892">
        <f t="shared" si="38"/>
        <v>0</v>
      </c>
      <c r="AZ709" s="890">
        <f t="shared" si="39"/>
        <v>0</v>
      </c>
      <c r="BA709" s="891">
        <f t="shared" si="40"/>
        <v>0</v>
      </c>
      <c r="BB709" s="37"/>
      <c r="BC709" s="37"/>
      <c r="BD709" s="37"/>
      <c r="BE709" s="743">
        <f t="shared" si="41"/>
        <v>0</v>
      </c>
      <c r="BF709" s="747" t="str">
        <f t="shared" si="42"/>
        <v/>
      </c>
      <c r="BG709" s="748" t="str">
        <f t="shared" si="43"/>
        <v/>
      </c>
      <c r="BJ709" s="37"/>
      <c r="BK709" s="37"/>
      <c r="BL709" s="37"/>
      <c r="BM709" s="37"/>
      <c r="BN709" s="37"/>
      <c r="BO709" s="37"/>
      <c r="BP709" s="483" t="s">
        <v>790</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40"/>
      <c r="C710" s="1041"/>
      <c r="D710" s="1041"/>
      <c r="E710" s="1041"/>
      <c r="F710" s="1042"/>
      <c r="G710" s="1043"/>
      <c r="H710" s="1044"/>
      <c r="I710" s="1044"/>
      <c r="J710" s="1045"/>
      <c r="K710" s="1046"/>
      <c r="L710" s="1047"/>
      <c r="M710" s="1047"/>
      <c r="N710" s="1048"/>
      <c r="O710" s="1049"/>
      <c r="P710" s="1050"/>
      <c r="Q710" s="1050"/>
      <c r="R710" s="1050"/>
      <c r="S710" s="1051"/>
      <c r="T710" s="1052">
        <f t="shared" si="35"/>
        <v>0</v>
      </c>
      <c r="U710" s="1053"/>
      <c r="V710" s="1053"/>
      <c r="W710" s="1053"/>
      <c r="X710" s="1054"/>
      <c r="Y710" s="1049"/>
      <c r="Z710" s="1050"/>
      <c r="AA710" s="1050"/>
      <c r="AB710" s="1051"/>
      <c r="AC710" s="1052">
        <f t="shared" si="36"/>
        <v>0</v>
      </c>
      <c r="AD710" s="1053"/>
      <c r="AE710" s="1053"/>
      <c r="AF710" s="1053"/>
      <c r="AG710" s="1054"/>
      <c r="AH710" s="1055"/>
      <c r="AI710" s="1056"/>
      <c r="AJ710" s="1056"/>
      <c r="AK710" s="1056"/>
      <c r="AL710" s="1057"/>
      <c r="AM710" s="1058" t="str">
        <f t="shared" si="44"/>
        <v/>
      </c>
      <c r="AN710" s="1059"/>
      <c r="AO710" s="1060"/>
      <c r="AV710" s="37" t="str">
        <f t="shared" si="37"/>
        <v>N/A</v>
      </c>
      <c r="AX710" s="37"/>
      <c r="AY710" s="892">
        <f t="shared" si="38"/>
        <v>0</v>
      </c>
      <c r="AZ710" s="890">
        <f t="shared" si="39"/>
        <v>0</v>
      </c>
      <c r="BA710" s="891">
        <f t="shared" si="40"/>
        <v>0</v>
      </c>
      <c r="BB710" s="37"/>
      <c r="BC710" s="37"/>
      <c r="BD710" s="37"/>
      <c r="BE710" s="743">
        <f t="shared" si="41"/>
        <v>0</v>
      </c>
      <c r="BF710" s="747" t="str">
        <f t="shared" si="42"/>
        <v/>
      </c>
      <c r="BG710" s="748" t="str">
        <f t="shared" si="43"/>
        <v/>
      </c>
      <c r="BJ710" s="37"/>
      <c r="BK710" s="37"/>
      <c r="BL710" s="37"/>
      <c r="BM710" s="37"/>
      <c r="BN710" s="37"/>
      <c r="BO710" s="37"/>
      <c r="BP710" s="483" t="s">
        <v>792</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40"/>
      <c r="C711" s="1041"/>
      <c r="D711" s="1041"/>
      <c r="E711" s="1041"/>
      <c r="F711" s="1042"/>
      <c r="G711" s="1043"/>
      <c r="H711" s="1044"/>
      <c r="I711" s="1044"/>
      <c r="J711" s="1045"/>
      <c r="K711" s="1046"/>
      <c r="L711" s="1047"/>
      <c r="M711" s="1047"/>
      <c r="N711" s="1048"/>
      <c r="O711" s="1049"/>
      <c r="P711" s="1050"/>
      <c r="Q711" s="1050"/>
      <c r="R711" s="1050"/>
      <c r="S711" s="1051"/>
      <c r="T711" s="1052">
        <f t="shared" si="35"/>
        <v>0</v>
      </c>
      <c r="U711" s="1053"/>
      <c r="V711" s="1053"/>
      <c r="W711" s="1053"/>
      <c r="X711" s="1054"/>
      <c r="Y711" s="1049"/>
      <c r="Z711" s="1050"/>
      <c r="AA711" s="1050"/>
      <c r="AB711" s="1051"/>
      <c r="AC711" s="1052">
        <f t="shared" si="36"/>
        <v>0</v>
      </c>
      <c r="AD711" s="1053"/>
      <c r="AE711" s="1053"/>
      <c r="AF711" s="1053"/>
      <c r="AG711" s="1054"/>
      <c r="AH711" s="1055"/>
      <c r="AI711" s="1056"/>
      <c r="AJ711" s="1056"/>
      <c r="AK711" s="1056"/>
      <c r="AL711" s="1057"/>
      <c r="AM711" s="1058" t="str">
        <f t="shared" si="44"/>
        <v/>
      </c>
      <c r="AN711" s="1059"/>
      <c r="AO711" s="1060"/>
      <c r="AV711" s="37" t="str">
        <f t="shared" si="37"/>
        <v>N/A</v>
      </c>
      <c r="AX711" s="37"/>
      <c r="AY711" s="892">
        <f t="shared" si="38"/>
        <v>0</v>
      </c>
      <c r="AZ711" s="890">
        <f t="shared" si="39"/>
        <v>0</v>
      </c>
      <c r="BA711" s="891">
        <f t="shared" si="40"/>
        <v>0</v>
      </c>
      <c r="BB711" s="37"/>
      <c r="BC711" s="37"/>
      <c r="BD711" s="37"/>
      <c r="BE711" s="743">
        <f t="shared" si="41"/>
        <v>0</v>
      </c>
      <c r="BF711" s="747" t="str">
        <f t="shared" si="42"/>
        <v/>
      </c>
      <c r="BG711" s="748" t="str">
        <f t="shared" si="43"/>
        <v/>
      </c>
      <c r="BJ711" s="37"/>
      <c r="BK711" s="37"/>
      <c r="BL711" s="37"/>
      <c r="BM711" s="37"/>
      <c r="BN711" s="37"/>
      <c r="BO711" s="37"/>
      <c r="BP711" s="483" t="s">
        <v>795</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40"/>
      <c r="C712" s="1041"/>
      <c r="D712" s="1041"/>
      <c r="E712" s="1041"/>
      <c r="F712" s="1042"/>
      <c r="G712" s="1043"/>
      <c r="H712" s="1044"/>
      <c r="I712" s="1044"/>
      <c r="J712" s="1045"/>
      <c r="K712" s="1046"/>
      <c r="L712" s="1047"/>
      <c r="M712" s="1047"/>
      <c r="N712" s="1048"/>
      <c r="O712" s="1049"/>
      <c r="P712" s="1050"/>
      <c r="Q712" s="1050"/>
      <c r="R712" s="1050"/>
      <c r="S712" s="1051"/>
      <c r="T712" s="1052">
        <f t="shared" si="35"/>
        <v>0</v>
      </c>
      <c r="U712" s="1053"/>
      <c r="V712" s="1053"/>
      <c r="W712" s="1053"/>
      <c r="X712" s="1054"/>
      <c r="Y712" s="1049"/>
      <c r="Z712" s="1050"/>
      <c r="AA712" s="1050"/>
      <c r="AB712" s="1051"/>
      <c r="AC712" s="1052">
        <f t="shared" si="36"/>
        <v>0</v>
      </c>
      <c r="AD712" s="1053"/>
      <c r="AE712" s="1053"/>
      <c r="AF712" s="1053"/>
      <c r="AG712" s="1054"/>
      <c r="AH712" s="1055"/>
      <c r="AI712" s="1056"/>
      <c r="AJ712" s="1056"/>
      <c r="AK712" s="1056"/>
      <c r="AL712" s="1057"/>
      <c r="AM712" s="1058" t="str">
        <f t="shared" si="44"/>
        <v/>
      </c>
      <c r="AN712" s="1059"/>
      <c r="AO712" s="1060"/>
      <c r="AV712" s="37" t="str">
        <f t="shared" si="37"/>
        <v>N/A</v>
      </c>
      <c r="AX712" s="37"/>
      <c r="AY712" s="892">
        <f t="shared" si="38"/>
        <v>0</v>
      </c>
      <c r="AZ712" s="890">
        <f t="shared" si="39"/>
        <v>0</v>
      </c>
      <c r="BA712" s="891">
        <f t="shared" si="40"/>
        <v>0</v>
      </c>
      <c r="BB712" s="37"/>
      <c r="BC712" s="37"/>
      <c r="BD712" s="37"/>
      <c r="BE712" s="743">
        <f t="shared" si="41"/>
        <v>0</v>
      </c>
      <c r="BF712" s="747" t="str">
        <f t="shared" si="42"/>
        <v/>
      </c>
      <c r="BG712" s="748" t="str">
        <f t="shared" si="43"/>
        <v/>
      </c>
      <c r="BJ712" s="37"/>
      <c r="BK712" s="37"/>
      <c r="BL712" s="37"/>
      <c r="BM712" s="37"/>
      <c r="BN712" s="37"/>
      <c r="BO712" s="37"/>
      <c r="BP712" s="483" t="s">
        <v>799</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40"/>
      <c r="C713" s="1041"/>
      <c r="D713" s="1041"/>
      <c r="E713" s="1041"/>
      <c r="F713" s="1042"/>
      <c r="G713" s="1043"/>
      <c r="H713" s="1044"/>
      <c r="I713" s="1044"/>
      <c r="J713" s="1045"/>
      <c r="K713" s="1046"/>
      <c r="L713" s="1047"/>
      <c r="M713" s="1047"/>
      <c r="N713" s="1048"/>
      <c r="O713" s="1049"/>
      <c r="P713" s="1050"/>
      <c r="Q713" s="1050"/>
      <c r="R713" s="1050"/>
      <c r="S713" s="1051"/>
      <c r="T713" s="1052">
        <f t="shared" si="35"/>
        <v>0</v>
      </c>
      <c r="U713" s="1053"/>
      <c r="V713" s="1053"/>
      <c r="W713" s="1053"/>
      <c r="X713" s="1054"/>
      <c r="Y713" s="1049"/>
      <c r="Z713" s="1050"/>
      <c r="AA713" s="1050"/>
      <c r="AB713" s="1051"/>
      <c r="AC713" s="1052">
        <f t="shared" si="36"/>
        <v>0</v>
      </c>
      <c r="AD713" s="1053"/>
      <c r="AE713" s="1053"/>
      <c r="AF713" s="1053"/>
      <c r="AG713" s="1054"/>
      <c r="AH713" s="1055"/>
      <c r="AI713" s="1056"/>
      <c r="AJ713" s="1056"/>
      <c r="AK713" s="1056"/>
      <c r="AL713" s="1057"/>
      <c r="AM713" s="1058" t="str">
        <f t="shared" si="44"/>
        <v/>
      </c>
      <c r="AN713" s="1059"/>
      <c r="AO713" s="1060"/>
      <c r="AV713" s="37" t="str">
        <f t="shared" si="37"/>
        <v>N/A</v>
      </c>
      <c r="AX713" s="37"/>
      <c r="AY713" s="892">
        <f t="shared" si="38"/>
        <v>0</v>
      </c>
      <c r="AZ713" s="890">
        <f t="shared" si="39"/>
        <v>0</v>
      </c>
      <c r="BA713" s="891">
        <f t="shared" si="40"/>
        <v>0</v>
      </c>
      <c r="BB713" s="37"/>
      <c r="BC713" s="37"/>
      <c r="BD713" s="37"/>
      <c r="BE713" s="743">
        <f t="shared" si="41"/>
        <v>0</v>
      </c>
      <c r="BF713" s="747" t="str">
        <f t="shared" si="42"/>
        <v/>
      </c>
      <c r="BG713" s="748" t="str">
        <f t="shared" si="43"/>
        <v/>
      </c>
      <c r="BJ713" s="37"/>
      <c r="BK713" s="37"/>
      <c r="BL713" s="37"/>
      <c r="BM713" s="37"/>
      <c r="BN713" s="37"/>
      <c r="BO713" s="37"/>
      <c r="BP713" s="483" t="s">
        <v>802</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40"/>
      <c r="C714" s="1041"/>
      <c r="D714" s="1041"/>
      <c r="E714" s="1041"/>
      <c r="F714" s="1042"/>
      <c r="G714" s="1043"/>
      <c r="H714" s="1044"/>
      <c r="I714" s="1044"/>
      <c r="J714" s="1045"/>
      <c r="K714" s="1046"/>
      <c r="L714" s="1047"/>
      <c r="M714" s="1047"/>
      <c r="N714" s="1048"/>
      <c r="O714" s="1049"/>
      <c r="P714" s="1050"/>
      <c r="Q714" s="1050"/>
      <c r="R714" s="1050"/>
      <c r="S714" s="1051"/>
      <c r="T714" s="1052">
        <f t="shared" si="35"/>
        <v>0</v>
      </c>
      <c r="U714" s="1053"/>
      <c r="V714" s="1053"/>
      <c r="W714" s="1053"/>
      <c r="X714" s="1054"/>
      <c r="Y714" s="1049"/>
      <c r="Z714" s="1050"/>
      <c r="AA714" s="1050"/>
      <c r="AB714" s="1051"/>
      <c r="AC714" s="1052">
        <f t="shared" si="36"/>
        <v>0</v>
      </c>
      <c r="AD714" s="1053"/>
      <c r="AE714" s="1053"/>
      <c r="AF714" s="1053"/>
      <c r="AG714" s="1054"/>
      <c r="AH714" s="1055"/>
      <c r="AI714" s="1056"/>
      <c r="AJ714" s="1056"/>
      <c r="AK714" s="1056"/>
      <c r="AL714" s="1057"/>
      <c r="AM714" s="1058" t="str">
        <f t="shared" si="44"/>
        <v/>
      </c>
      <c r="AN714" s="1059"/>
      <c r="AO714" s="1060"/>
      <c r="AV714" s="37" t="str">
        <f t="shared" si="37"/>
        <v>N/A</v>
      </c>
      <c r="AX714" s="37"/>
      <c r="AY714" s="892">
        <f t="shared" si="38"/>
        <v>0</v>
      </c>
      <c r="AZ714" s="890">
        <f t="shared" si="39"/>
        <v>0</v>
      </c>
      <c r="BA714" s="891">
        <f t="shared" si="40"/>
        <v>0</v>
      </c>
      <c r="BB714" s="37"/>
      <c r="BC714" s="37"/>
      <c r="BD714" s="37"/>
      <c r="BE714" s="743">
        <f t="shared" si="41"/>
        <v>0</v>
      </c>
      <c r="BF714" s="747" t="str">
        <f t="shared" si="42"/>
        <v/>
      </c>
      <c r="BG714" s="748" t="str">
        <f t="shared" si="43"/>
        <v/>
      </c>
      <c r="BJ714" s="37"/>
      <c r="BK714" s="37"/>
      <c r="BL714" s="37"/>
      <c r="BM714" s="37"/>
      <c r="BN714" s="37"/>
      <c r="BO714" s="37"/>
      <c r="BP714" s="483" t="s">
        <v>808</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40"/>
      <c r="C715" s="1041"/>
      <c r="D715" s="1041"/>
      <c r="E715" s="1041"/>
      <c r="F715" s="1042"/>
      <c r="G715" s="1043"/>
      <c r="H715" s="1044"/>
      <c r="I715" s="1044"/>
      <c r="J715" s="1045"/>
      <c r="K715" s="1046"/>
      <c r="L715" s="1047"/>
      <c r="M715" s="1047"/>
      <c r="N715" s="1048"/>
      <c r="O715" s="1049"/>
      <c r="P715" s="1050"/>
      <c r="Q715" s="1050"/>
      <c r="R715" s="1050"/>
      <c r="S715" s="1051"/>
      <c r="T715" s="1052">
        <f t="shared" si="35"/>
        <v>0</v>
      </c>
      <c r="U715" s="1053"/>
      <c r="V715" s="1053"/>
      <c r="W715" s="1053"/>
      <c r="X715" s="1054"/>
      <c r="Y715" s="1049"/>
      <c r="Z715" s="1050"/>
      <c r="AA715" s="1050"/>
      <c r="AB715" s="1051"/>
      <c r="AC715" s="1052">
        <f t="shared" si="36"/>
        <v>0</v>
      </c>
      <c r="AD715" s="1053"/>
      <c r="AE715" s="1053"/>
      <c r="AF715" s="1053"/>
      <c r="AG715" s="1054"/>
      <c r="AH715" s="1055"/>
      <c r="AI715" s="1056"/>
      <c r="AJ715" s="1056"/>
      <c r="AK715" s="1056"/>
      <c r="AL715" s="1057"/>
      <c r="AM715" s="1058" t="str">
        <f t="shared" si="44"/>
        <v/>
      </c>
      <c r="AN715" s="1059"/>
      <c r="AO715" s="1060"/>
      <c r="AV715" s="37" t="str">
        <f t="shared" si="37"/>
        <v>N/A</v>
      </c>
      <c r="AX715" s="37"/>
      <c r="AY715" s="892">
        <f t="shared" si="38"/>
        <v>0</v>
      </c>
      <c r="AZ715" s="890">
        <f t="shared" si="39"/>
        <v>0</v>
      </c>
      <c r="BA715" s="891">
        <f t="shared" si="40"/>
        <v>0</v>
      </c>
      <c r="BB715" s="37"/>
      <c r="BC715" s="37"/>
      <c r="BD715" s="37"/>
      <c r="BE715" s="743">
        <f t="shared" si="41"/>
        <v>0</v>
      </c>
      <c r="BF715" s="747" t="str">
        <f t="shared" si="42"/>
        <v/>
      </c>
      <c r="BG715" s="748" t="str">
        <f t="shared" si="43"/>
        <v/>
      </c>
      <c r="BJ715" s="37"/>
      <c r="BK715" s="37"/>
      <c r="BL715" s="37"/>
      <c r="BM715" s="37"/>
      <c r="BN715" s="37"/>
      <c r="BO715" s="37"/>
      <c r="BP715" s="483" t="s">
        <v>811</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40"/>
      <c r="C716" s="1041"/>
      <c r="D716" s="1041"/>
      <c r="E716" s="1041"/>
      <c r="F716" s="1042"/>
      <c r="G716" s="1043"/>
      <c r="H716" s="1044"/>
      <c r="I716" s="1044"/>
      <c r="J716" s="1045"/>
      <c r="K716" s="1046"/>
      <c r="L716" s="1047"/>
      <c r="M716" s="1047"/>
      <c r="N716" s="1048"/>
      <c r="O716" s="1049"/>
      <c r="P716" s="1050"/>
      <c r="Q716" s="1050"/>
      <c r="R716" s="1050"/>
      <c r="S716" s="1051"/>
      <c r="T716" s="1052">
        <f t="shared" si="35"/>
        <v>0</v>
      </c>
      <c r="U716" s="1053"/>
      <c r="V716" s="1053"/>
      <c r="W716" s="1053"/>
      <c r="X716" s="1054"/>
      <c r="Y716" s="1049"/>
      <c r="Z716" s="1050"/>
      <c r="AA716" s="1050"/>
      <c r="AB716" s="1051"/>
      <c r="AC716" s="1052">
        <f t="shared" si="36"/>
        <v>0</v>
      </c>
      <c r="AD716" s="1053"/>
      <c r="AE716" s="1053"/>
      <c r="AF716" s="1053"/>
      <c r="AG716" s="1054"/>
      <c r="AH716" s="1055"/>
      <c r="AI716" s="1056"/>
      <c r="AJ716" s="1056"/>
      <c r="AK716" s="1056"/>
      <c r="AL716" s="1057"/>
      <c r="AM716" s="1058" t="str">
        <f t="shared" si="44"/>
        <v/>
      </c>
      <c r="AN716" s="1059"/>
      <c r="AO716" s="1060"/>
      <c r="AV716" s="37" t="str">
        <f t="shared" si="37"/>
        <v>N/A</v>
      </c>
      <c r="AX716" s="37"/>
      <c r="AY716" s="892">
        <f t="shared" si="38"/>
        <v>0</v>
      </c>
      <c r="AZ716" s="890">
        <f t="shared" si="39"/>
        <v>0</v>
      </c>
      <c r="BA716" s="891">
        <f t="shared" si="40"/>
        <v>0</v>
      </c>
      <c r="BB716" s="37"/>
      <c r="BC716" s="37"/>
      <c r="BD716" s="37"/>
      <c r="BE716" s="743">
        <f t="shared" si="41"/>
        <v>0</v>
      </c>
      <c r="BF716" s="747" t="str">
        <f t="shared" si="42"/>
        <v/>
      </c>
      <c r="BG716" s="748" t="str">
        <f t="shared" si="43"/>
        <v/>
      </c>
      <c r="BJ716" s="37"/>
      <c r="BK716" s="37"/>
      <c r="BL716" s="37"/>
      <c r="BM716" s="37"/>
      <c r="BN716" s="37"/>
      <c r="BO716" s="37"/>
      <c r="BP716" s="483" t="s">
        <v>814</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40"/>
      <c r="C717" s="1041"/>
      <c r="D717" s="1041"/>
      <c r="E717" s="1041"/>
      <c r="F717" s="1042"/>
      <c r="G717" s="1043"/>
      <c r="H717" s="1044"/>
      <c r="I717" s="1044"/>
      <c r="J717" s="1045"/>
      <c r="K717" s="1046"/>
      <c r="L717" s="1047"/>
      <c r="M717" s="1047"/>
      <c r="N717" s="1048"/>
      <c r="O717" s="1049"/>
      <c r="P717" s="1050"/>
      <c r="Q717" s="1050"/>
      <c r="R717" s="1050"/>
      <c r="S717" s="1051"/>
      <c r="T717" s="1052">
        <f t="shared" si="35"/>
        <v>0</v>
      </c>
      <c r="U717" s="1053"/>
      <c r="V717" s="1053"/>
      <c r="W717" s="1053"/>
      <c r="X717" s="1054"/>
      <c r="Y717" s="1049"/>
      <c r="Z717" s="1050"/>
      <c r="AA717" s="1050"/>
      <c r="AB717" s="1051"/>
      <c r="AC717" s="1052">
        <f t="shared" si="36"/>
        <v>0</v>
      </c>
      <c r="AD717" s="1053"/>
      <c r="AE717" s="1053"/>
      <c r="AF717" s="1053"/>
      <c r="AG717" s="1054"/>
      <c r="AH717" s="1055"/>
      <c r="AI717" s="1056"/>
      <c r="AJ717" s="1056"/>
      <c r="AK717" s="1056"/>
      <c r="AL717" s="1057"/>
      <c r="AM717" s="1058" t="str">
        <f t="shared" si="44"/>
        <v/>
      </c>
      <c r="AN717" s="1059"/>
      <c r="AO717" s="1060"/>
      <c r="AV717" s="37" t="str">
        <f t="shared" si="37"/>
        <v>N/A</v>
      </c>
      <c r="AX717" s="37"/>
      <c r="AY717" s="892">
        <f t="shared" si="38"/>
        <v>0</v>
      </c>
      <c r="AZ717" s="890">
        <f t="shared" si="39"/>
        <v>0</v>
      </c>
      <c r="BA717" s="891">
        <f t="shared" si="40"/>
        <v>0</v>
      </c>
      <c r="BB717" s="37"/>
      <c r="BC717" s="37"/>
      <c r="BD717" s="37"/>
      <c r="BE717" s="743">
        <f t="shared" si="41"/>
        <v>0</v>
      </c>
      <c r="BF717" s="747" t="str">
        <f t="shared" si="42"/>
        <v/>
      </c>
      <c r="BG717" s="748" t="str">
        <f t="shared" si="43"/>
        <v/>
      </c>
      <c r="BJ717" s="37"/>
      <c r="BK717" s="37"/>
      <c r="BL717" s="37"/>
      <c r="BM717" s="37"/>
      <c r="BN717" s="37"/>
      <c r="BO717" s="37"/>
      <c r="BP717" s="483" t="s">
        <v>817</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40"/>
      <c r="C718" s="1041"/>
      <c r="D718" s="1041"/>
      <c r="E718" s="1041"/>
      <c r="F718" s="1042"/>
      <c r="G718" s="1043"/>
      <c r="H718" s="1044"/>
      <c r="I718" s="1044"/>
      <c r="J718" s="1045"/>
      <c r="K718" s="1046"/>
      <c r="L718" s="1047"/>
      <c r="M718" s="1047"/>
      <c r="N718" s="1048"/>
      <c r="O718" s="1049"/>
      <c r="P718" s="1050"/>
      <c r="Q718" s="1050"/>
      <c r="R718" s="1050"/>
      <c r="S718" s="1051"/>
      <c r="T718" s="1052">
        <f t="shared" si="35"/>
        <v>0</v>
      </c>
      <c r="U718" s="1053"/>
      <c r="V718" s="1053"/>
      <c r="W718" s="1053"/>
      <c r="X718" s="1054"/>
      <c r="Y718" s="1049"/>
      <c r="Z718" s="1050"/>
      <c r="AA718" s="1050"/>
      <c r="AB718" s="1051"/>
      <c r="AC718" s="1052">
        <f t="shared" si="36"/>
        <v>0</v>
      </c>
      <c r="AD718" s="1053"/>
      <c r="AE718" s="1053"/>
      <c r="AF718" s="1053"/>
      <c r="AG718" s="1054"/>
      <c r="AH718" s="1055"/>
      <c r="AI718" s="1056"/>
      <c r="AJ718" s="1056"/>
      <c r="AK718" s="1056"/>
      <c r="AL718" s="1057"/>
      <c r="AM718" s="1058" t="str">
        <f t="shared" si="44"/>
        <v/>
      </c>
      <c r="AN718" s="1059"/>
      <c r="AO718" s="1060"/>
      <c r="AV718" s="37" t="str">
        <f t="shared" si="37"/>
        <v>N/A</v>
      </c>
      <c r="AX718" s="37"/>
      <c r="AY718" s="892">
        <f t="shared" si="38"/>
        <v>0</v>
      </c>
      <c r="AZ718" s="890">
        <f t="shared" si="39"/>
        <v>0</v>
      </c>
      <c r="BA718" s="891">
        <f t="shared" si="40"/>
        <v>0</v>
      </c>
      <c r="BB718" s="37"/>
      <c r="BC718" s="37"/>
      <c r="BD718" s="37"/>
      <c r="BE718" s="743">
        <f t="shared" si="41"/>
        <v>0</v>
      </c>
      <c r="BF718" s="747" t="str">
        <f t="shared" si="42"/>
        <v/>
      </c>
      <c r="BG718" s="748" t="str">
        <f t="shared" si="43"/>
        <v/>
      </c>
      <c r="BJ718" s="37"/>
      <c r="BK718" s="37"/>
      <c r="BL718" s="37"/>
      <c r="BM718" s="37"/>
      <c r="BN718" s="37"/>
      <c r="BO718" s="37"/>
      <c r="BP718" s="483" t="s">
        <v>819</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40"/>
      <c r="C719" s="1041"/>
      <c r="D719" s="1041"/>
      <c r="E719" s="1041"/>
      <c r="F719" s="1042"/>
      <c r="G719" s="1043"/>
      <c r="H719" s="1044"/>
      <c r="I719" s="1044"/>
      <c r="J719" s="1045"/>
      <c r="K719" s="1046"/>
      <c r="L719" s="1047"/>
      <c r="M719" s="1047"/>
      <c r="N719" s="1048"/>
      <c r="O719" s="1049"/>
      <c r="P719" s="1050"/>
      <c r="Q719" s="1050"/>
      <c r="R719" s="1050"/>
      <c r="S719" s="1051"/>
      <c r="T719" s="1052">
        <f t="shared" si="35"/>
        <v>0</v>
      </c>
      <c r="U719" s="1053"/>
      <c r="V719" s="1053"/>
      <c r="W719" s="1053"/>
      <c r="X719" s="1054"/>
      <c r="Y719" s="1049"/>
      <c r="Z719" s="1050"/>
      <c r="AA719" s="1050"/>
      <c r="AB719" s="1051"/>
      <c r="AC719" s="1052">
        <f t="shared" si="36"/>
        <v>0</v>
      </c>
      <c r="AD719" s="1053"/>
      <c r="AE719" s="1053"/>
      <c r="AF719" s="1053"/>
      <c r="AG719" s="1054"/>
      <c r="AH719" s="1055"/>
      <c r="AI719" s="1056"/>
      <c r="AJ719" s="1056"/>
      <c r="AK719" s="1056"/>
      <c r="AL719" s="1057"/>
      <c r="AM719" s="1058" t="str">
        <f t="shared" si="44"/>
        <v/>
      </c>
      <c r="AN719" s="1059"/>
      <c r="AO719" s="1060"/>
      <c r="AV719" s="37" t="str">
        <f t="shared" si="37"/>
        <v>N/A</v>
      </c>
      <c r="AX719" s="37"/>
      <c r="AY719" s="892">
        <f t="shared" si="38"/>
        <v>0</v>
      </c>
      <c r="AZ719" s="890">
        <f t="shared" si="39"/>
        <v>0</v>
      </c>
      <c r="BA719" s="891">
        <f t="shared" si="40"/>
        <v>0</v>
      </c>
      <c r="BB719" s="37"/>
      <c r="BC719" s="37"/>
      <c r="BD719" s="37"/>
      <c r="BE719" s="743">
        <f t="shared" si="41"/>
        <v>0</v>
      </c>
      <c r="BF719" s="747" t="str">
        <f t="shared" si="42"/>
        <v/>
      </c>
      <c r="BG719" s="748" t="str">
        <f t="shared" si="43"/>
        <v/>
      </c>
      <c r="BJ719" s="37"/>
      <c r="BK719" s="37"/>
      <c r="BL719" s="37"/>
      <c r="BM719" s="37"/>
      <c r="BN719" s="37"/>
      <c r="BO719" s="37"/>
      <c r="BP719" s="483" t="s">
        <v>822</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40"/>
      <c r="C720" s="1041"/>
      <c r="D720" s="1041"/>
      <c r="E720" s="1041"/>
      <c r="F720" s="1042"/>
      <c r="G720" s="1043"/>
      <c r="H720" s="1044"/>
      <c r="I720" s="1044"/>
      <c r="J720" s="1045"/>
      <c r="K720" s="1046"/>
      <c r="L720" s="1047"/>
      <c r="M720" s="1047"/>
      <c r="N720" s="1048"/>
      <c r="O720" s="1049"/>
      <c r="P720" s="1050"/>
      <c r="Q720" s="1050"/>
      <c r="R720" s="1050"/>
      <c r="S720" s="1051"/>
      <c r="T720" s="1052">
        <f t="shared" si="35"/>
        <v>0</v>
      </c>
      <c r="U720" s="1053"/>
      <c r="V720" s="1053"/>
      <c r="W720" s="1053"/>
      <c r="X720" s="1054"/>
      <c r="Y720" s="1049"/>
      <c r="Z720" s="1050"/>
      <c r="AA720" s="1050"/>
      <c r="AB720" s="1051"/>
      <c r="AC720" s="1052">
        <f t="shared" si="36"/>
        <v>0</v>
      </c>
      <c r="AD720" s="1053"/>
      <c r="AE720" s="1053"/>
      <c r="AF720" s="1053"/>
      <c r="AG720" s="1054"/>
      <c r="AH720" s="1055"/>
      <c r="AI720" s="1056"/>
      <c r="AJ720" s="1056"/>
      <c r="AK720" s="1056"/>
      <c r="AL720" s="1057"/>
      <c r="AM720" s="1058" t="str">
        <f t="shared" si="44"/>
        <v/>
      </c>
      <c r="AN720" s="1059"/>
      <c r="AO720" s="1060"/>
      <c r="AV720" s="37" t="str">
        <f t="shared" si="37"/>
        <v>N/A</v>
      </c>
      <c r="AX720" s="37"/>
      <c r="AY720" s="892">
        <f t="shared" si="38"/>
        <v>0</v>
      </c>
      <c r="AZ720" s="890">
        <f t="shared" si="39"/>
        <v>0</v>
      </c>
      <c r="BA720" s="891">
        <f t="shared" si="40"/>
        <v>0</v>
      </c>
      <c r="BB720" s="37"/>
      <c r="BC720" s="37"/>
      <c r="BD720" s="37"/>
      <c r="BE720" s="743">
        <f t="shared" si="41"/>
        <v>0</v>
      </c>
      <c r="BF720" s="747" t="str">
        <f t="shared" si="42"/>
        <v/>
      </c>
      <c r="BG720" s="748" t="str">
        <f t="shared" si="43"/>
        <v/>
      </c>
      <c r="BJ720" s="37"/>
      <c r="BK720" s="37"/>
      <c r="BL720" s="37"/>
      <c r="BM720" s="37"/>
      <c r="BN720" s="37"/>
      <c r="BO720" s="37"/>
      <c r="BP720" s="483" t="s">
        <v>825</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40"/>
      <c r="C721" s="1041"/>
      <c r="D721" s="1041"/>
      <c r="E721" s="1041"/>
      <c r="F721" s="1042"/>
      <c r="G721" s="1043"/>
      <c r="H721" s="1044"/>
      <c r="I721" s="1044"/>
      <c r="J721" s="1045"/>
      <c r="K721" s="1046"/>
      <c r="L721" s="1047"/>
      <c r="M721" s="1047"/>
      <c r="N721" s="1048"/>
      <c r="O721" s="1049"/>
      <c r="P721" s="1050"/>
      <c r="Q721" s="1050"/>
      <c r="R721" s="1050"/>
      <c r="S721" s="1051"/>
      <c r="T721" s="1052">
        <f t="shared" si="35"/>
        <v>0</v>
      </c>
      <c r="U721" s="1053"/>
      <c r="V721" s="1053"/>
      <c r="W721" s="1053"/>
      <c r="X721" s="1054"/>
      <c r="Y721" s="1049"/>
      <c r="Z721" s="1050"/>
      <c r="AA721" s="1050"/>
      <c r="AB721" s="1051"/>
      <c r="AC721" s="1052">
        <f t="shared" si="36"/>
        <v>0</v>
      </c>
      <c r="AD721" s="1053"/>
      <c r="AE721" s="1053"/>
      <c r="AF721" s="1053"/>
      <c r="AG721" s="1054"/>
      <c r="AH721" s="1055"/>
      <c r="AI721" s="1056"/>
      <c r="AJ721" s="1056"/>
      <c r="AK721" s="1056"/>
      <c r="AL721" s="1057"/>
      <c r="AM721" s="1058" t="str">
        <f t="shared" si="44"/>
        <v/>
      </c>
      <c r="AN721" s="1059"/>
      <c r="AO721" s="1060"/>
      <c r="AV721" s="37" t="str">
        <f t="shared" si="37"/>
        <v>N/A</v>
      </c>
      <c r="AX721" s="37"/>
      <c r="AY721" s="892">
        <f t="shared" si="38"/>
        <v>0</v>
      </c>
      <c r="AZ721" s="890">
        <f t="shared" si="39"/>
        <v>0</v>
      </c>
      <c r="BA721" s="891">
        <f t="shared" si="40"/>
        <v>0</v>
      </c>
      <c r="BB721" s="37"/>
      <c r="BC721" s="37"/>
      <c r="BD721" s="37"/>
      <c r="BE721" s="743">
        <f t="shared" si="41"/>
        <v>0</v>
      </c>
      <c r="BF721" s="747" t="str">
        <f t="shared" si="42"/>
        <v/>
      </c>
      <c r="BG721" s="748" t="str">
        <f t="shared" si="43"/>
        <v/>
      </c>
      <c r="BJ721" s="37"/>
      <c r="BK721" s="37"/>
      <c r="BL721" s="37"/>
      <c r="BM721" s="37"/>
      <c r="BN721" s="37"/>
      <c r="BO721" s="37"/>
      <c r="BP721" s="483" t="s">
        <v>827</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40"/>
      <c r="C722" s="1041"/>
      <c r="D722" s="1041"/>
      <c r="E722" s="1041"/>
      <c r="F722" s="1042"/>
      <c r="G722" s="1043"/>
      <c r="H722" s="1044"/>
      <c r="I722" s="1044"/>
      <c r="J722" s="1045"/>
      <c r="K722" s="1046"/>
      <c r="L722" s="1047"/>
      <c r="M722" s="1047"/>
      <c r="N722" s="1048"/>
      <c r="O722" s="1049"/>
      <c r="P722" s="1050"/>
      <c r="Q722" s="1050"/>
      <c r="R722" s="1050"/>
      <c r="S722" s="1051"/>
      <c r="T722" s="1052">
        <f t="shared" si="35"/>
        <v>0</v>
      </c>
      <c r="U722" s="1053"/>
      <c r="V722" s="1053"/>
      <c r="W722" s="1053"/>
      <c r="X722" s="1054"/>
      <c r="Y722" s="1049"/>
      <c r="Z722" s="1050"/>
      <c r="AA722" s="1050"/>
      <c r="AB722" s="1051"/>
      <c r="AC722" s="1052">
        <f t="shared" si="36"/>
        <v>0</v>
      </c>
      <c r="AD722" s="1053"/>
      <c r="AE722" s="1053"/>
      <c r="AF722" s="1053"/>
      <c r="AG722" s="1054"/>
      <c r="AH722" s="1055"/>
      <c r="AI722" s="1056"/>
      <c r="AJ722" s="1056"/>
      <c r="AK722" s="1056"/>
      <c r="AL722" s="1057"/>
      <c r="AM722" s="1058" t="str">
        <f t="shared" si="44"/>
        <v/>
      </c>
      <c r="AN722" s="1059"/>
      <c r="AO722" s="1060"/>
      <c r="AV722" s="37" t="str">
        <f t="shared" si="37"/>
        <v>N/A</v>
      </c>
      <c r="AX722" s="37"/>
      <c r="AY722" s="892">
        <f t="shared" si="38"/>
        <v>0</v>
      </c>
      <c r="AZ722" s="890">
        <f t="shared" si="39"/>
        <v>0</v>
      </c>
      <c r="BA722" s="891">
        <f t="shared" si="40"/>
        <v>0</v>
      </c>
      <c r="BB722" s="37"/>
      <c r="BC722" s="37"/>
      <c r="BD722" s="37"/>
      <c r="BE722" s="743">
        <f t="shared" si="41"/>
        <v>0</v>
      </c>
      <c r="BF722" s="747" t="str">
        <f t="shared" si="42"/>
        <v/>
      </c>
      <c r="BG722" s="748" t="str">
        <f t="shared" si="43"/>
        <v/>
      </c>
      <c r="BJ722" s="37"/>
      <c r="BK722" s="37"/>
      <c r="BL722" s="37"/>
      <c r="BM722" s="37"/>
      <c r="BN722" s="37"/>
      <c r="BO722" s="37"/>
      <c r="BP722" s="483" t="s">
        <v>830</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40"/>
      <c r="C723" s="1041"/>
      <c r="D723" s="1041"/>
      <c r="E723" s="1041"/>
      <c r="F723" s="1042"/>
      <c r="G723" s="1043"/>
      <c r="H723" s="1044"/>
      <c r="I723" s="1044"/>
      <c r="J723" s="1045"/>
      <c r="K723" s="1046"/>
      <c r="L723" s="1047"/>
      <c r="M723" s="1047"/>
      <c r="N723" s="1048"/>
      <c r="O723" s="1049"/>
      <c r="P723" s="1050"/>
      <c r="Q723" s="1050"/>
      <c r="R723" s="1050"/>
      <c r="S723" s="1051"/>
      <c r="T723" s="1052">
        <f t="shared" si="35"/>
        <v>0</v>
      </c>
      <c r="U723" s="1053"/>
      <c r="V723" s="1053"/>
      <c r="W723" s="1053"/>
      <c r="X723" s="1054"/>
      <c r="Y723" s="1049"/>
      <c r="Z723" s="1050"/>
      <c r="AA723" s="1050"/>
      <c r="AB723" s="1051"/>
      <c r="AC723" s="1052">
        <f t="shared" si="36"/>
        <v>0</v>
      </c>
      <c r="AD723" s="1053"/>
      <c r="AE723" s="1053"/>
      <c r="AF723" s="1053"/>
      <c r="AG723" s="1054"/>
      <c r="AH723" s="1055"/>
      <c r="AI723" s="1056"/>
      <c r="AJ723" s="1056"/>
      <c r="AK723" s="1056"/>
      <c r="AL723" s="1057"/>
      <c r="AM723" s="1058" t="str">
        <f t="shared" si="44"/>
        <v/>
      </c>
      <c r="AN723" s="1059"/>
      <c r="AO723" s="1060"/>
      <c r="AV723" s="37" t="str">
        <f t="shared" si="37"/>
        <v>N/A</v>
      </c>
      <c r="AX723" s="37"/>
      <c r="AY723" s="892">
        <f t="shared" si="38"/>
        <v>0</v>
      </c>
      <c r="AZ723" s="890">
        <f t="shared" si="39"/>
        <v>0</v>
      </c>
      <c r="BA723" s="891">
        <f t="shared" si="40"/>
        <v>0</v>
      </c>
      <c r="BB723" s="37"/>
      <c r="BC723" s="37"/>
      <c r="BD723" s="37"/>
      <c r="BE723" s="743">
        <f t="shared" si="41"/>
        <v>0</v>
      </c>
      <c r="BF723" s="747" t="str">
        <f t="shared" si="42"/>
        <v/>
      </c>
      <c r="BG723" s="748" t="str">
        <f t="shared" si="43"/>
        <v/>
      </c>
      <c r="BH723" s="37"/>
      <c r="BI723" s="37"/>
      <c r="BJ723" s="37"/>
      <c r="BK723" s="37"/>
      <c r="BL723" s="37"/>
      <c r="BM723" s="37"/>
      <c r="BN723" s="37"/>
      <c r="BO723" s="37"/>
      <c r="BP723" s="483" t="s">
        <v>834</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40"/>
      <c r="C724" s="1041"/>
      <c r="D724" s="1041"/>
      <c r="E724" s="1041"/>
      <c r="F724" s="1042"/>
      <c r="G724" s="1043"/>
      <c r="H724" s="1044"/>
      <c r="I724" s="1044"/>
      <c r="J724" s="1045"/>
      <c r="K724" s="1046"/>
      <c r="L724" s="1047"/>
      <c r="M724" s="1047"/>
      <c r="N724" s="1048"/>
      <c r="O724" s="1049"/>
      <c r="P724" s="1050"/>
      <c r="Q724" s="1050"/>
      <c r="R724" s="1050"/>
      <c r="S724" s="1051"/>
      <c r="T724" s="1052">
        <f t="shared" si="35"/>
        <v>0</v>
      </c>
      <c r="U724" s="1053"/>
      <c r="V724" s="1053"/>
      <c r="W724" s="1053"/>
      <c r="X724" s="1054"/>
      <c r="Y724" s="1049"/>
      <c r="Z724" s="1050"/>
      <c r="AA724" s="1050"/>
      <c r="AB724" s="1051"/>
      <c r="AC724" s="1052">
        <f t="shared" si="36"/>
        <v>0</v>
      </c>
      <c r="AD724" s="1053"/>
      <c r="AE724" s="1053"/>
      <c r="AF724" s="1053"/>
      <c r="AG724" s="1054"/>
      <c r="AH724" s="1055"/>
      <c r="AI724" s="1056"/>
      <c r="AJ724" s="1056"/>
      <c r="AK724" s="1056"/>
      <c r="AL724" s="1057"/>
      <c r="AM724" s="1058" t="str">
        <f t="shared" si="44"/>
        <v/>
      </c>
      <c r="AN724" s="1059"/>
      <c r="AO724" s="1060"/>
      <c r="AV724" s="37" t="str">
        <f t="shared" si="37"/>
        <v>N/A</v>
      </c>
      <c r="AX724" s="37"/>
      <c r="AY724" s="892">
        <f t="shared" si="38"/>
        <v>0</v>
      </c>
      <c r="AZ724" s="890">
        <f t="shared" si="39"/>
        <v>0</v>
      </c>
      <c r="BA724" s="891">
        <f t="shared" si="40"/>
        <v>0</v>
      </c>
      <c r="BB724" s="37"/>
      <c r="BC724" s="37"/>
      <c r="BD724" s="37"/>
      <c r="BE724" s="743">
        <f t="shared" si="41"/>
        <v>0</v>
      </c>
      <c r="BF724" s="747" t="str">
        <f t="shared" si="42"/>
        <v/>
      </c>
      <c r="BG724" s="748" t="str">
        <f t="shared" si="43"/>
        <v/>
      </c>
      <c r="BH724" s="37"/>
      <c r="BI724" s="37"/>
      <c r="BJ724" s="37"/>
      <c r="BK724" s="37"/>
      <c r="BL724" s="37"/>
      <c r="BM724" s="37"/>
      <c r="BN724" s="37"/>
      <c r="BO724" s="37"/>
      <c r="BP724" s="483" t="s">
        <v>839</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40"/>
      <c r="C725" s="1041"/>
      <c r="D725" s="1041"/>
      <c r="E725" s="1041"/>
      <c r="F725" s="1042"/>
      <c r="G725" s="1043"/>
      <c r="H725" s="1044"/>
      <c r="I725" s="1044"/>
      <c r="J725" s="1045"/>
      <c r="K725" s="1046"/>
      <c r="L725" s="1047"/>
      <c r="M725" s="1047"/>
      <c r="N725" s="1048"/>
      <c r="O725" s="1049"/>
      <c r="P725" s="1050"/>
      <c r="Q725" s="1050"/>
      <c r="R725" s="1050"/>
      <c r="S725" s="1051"/>
      <c r="T725" s="1052">
        <f t="shared" si="35"/>
        <v>0</v>
      </c>
      <c r="U725" s="1053"/>
      <c r="V725" s="1053"/>
      <c r="W725" s="1053"/>
      <c r="X725" s="1054"/>
      <c r="Y725" s="1049"/>
      <c r="Z725" s="1050"/>
      <c r="AA725" s="1050"/>
      <c r="AB725" s="1051"/>
      <c r="AC725" s="1052">
        <f t="shared" si="36"/>
        <v>0</v>
      </c>
      <c r="AD725" s="1053"/>
      <c r="AE725" s="1053"/>
      <c r="AF725" s="1053"/>
      <c r="AG725" s="1054"/>
      <c r="AH725" s="1055"/>
      <c r="AI725" s="1056"/>
      <c r="AJ725" s="1056"/>
      <c r="AK725" s="1056"/>
      <c r="AL725" s="1057"/>
      <c r="AM725" s="1058" t="str">
        <f t="shared" si="44"/>
        <v/>
      </c>
      <c r="AN725" s="1059"/>
      <c r="AO725" s="1060"/>
      <c r="AV725" s="37" t="str">
        <f t="shared" si="37"/>
        <v>N/A</v>
      </c>
      <c r="AX725" s="37"/>
      <c r="AY725" s="892">
        <f t="shared" si="38"/>
        <v>0</v>
      </c>
      <c r="AZ725" s="890">
        <f t="shared" si="39"/>
        <v>0</v>
      </c>
      <c r="BA725" s="891">
        <f t="shared" si="40"/>
        <v>0</v>
      </c>
      <c r="BB725" s="37"/>
      <c r="BC725" s="37"/>
      <c r="BD725" s="37"/>
      <c r="BE725" s="743">
        <f t="shared" si="41"/>
        <v>0</v>
      </c>
      <c r="BF725" s="747" t="str">
        <f t="shared" si="42"/>
        <v/>
      </c>
      <c r="BG725" s="748" t="str">
        <f t="shared" si="43"/>
        <v/>
      </c>
      <c r="BH725" s="37"/>
      <c r="BI725" s="37"/>
      <c r="BJ725" s="37"/>
      <c r="BK725" s="37"/>
      <c r="BL725" s="37"/>
      <c r="BM725" s="37"/>
      <c r="BN725" s="37"/>
      <c r="BO725" s="37"/>
      <c r="BP725" s="483" t="s">
        <v>842</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40"/>
      <c r="C726" s="1041"/>
      <c r="D726" s="1041"/>
      <c r="E726" s="1041"/>
      <c r="F726" s="1042"/>
      <c r="G726" s="1043"/>
      <c r="H726" s="1044"/>
      <c r="I726" s="1044"/>
      <c r="J726" s="1045"/>
      <c r="K726" s="1046"/>
      <c r="L726" s="1047"/>
      <c r="M726" s="1047"/>
      <c r="N726" s="1048"/>
      <c r="O726" s="1049"/>
      <c r="P726" s="1050"/>
      <c r="Q726" s="1050"/>
      <c r="R726" s="1050"/>
      <c r="S726" s="1051"/>
      <c r="T726" s="1052">
        <f t="shared" si="35"/>
        <v>0</v>
      </c>
      <c r="U726" s="1053"/>
      <c r="V726" s="1053"/>
      <c r="W726" s="1053"/>
      <c r="X726" s="1054"/>
      <c r="Y726" s="1049"/>
      <c r="Z726" s="1050"/>
      <c r="AA726" s="1050"/>
      <c r="AB726" s="1051"/>
      <c r="AC726" s="1052">
        <f t="shared" si="36"/>
        <v>0</v>
      </c>
      <c r="AD726" s="1053"/>
      <c r="AE726" s="1053"/>
      <c r="AF726" s="1053"/>
      <c r="AG726" s="1054"/>
      <c r="AH726" s="1055"/>
      <c r="AI726" s="1056"/>
      <c r="AJ726" s="1056"/>
      <c r="AK726" s="1056"/>
      <c r="AL726" s="1057"/>
      <c r="AM726" s="1058" t="str">
        <f t="shared" si="44"/>
        <v/>
      </c>
      <c r="AN726" s="1059"/>
      <c r="AO726" s="1060"/>
      <c r="AV726" s="37" t="str">
        <f t="shared" si="37"/>
        <v>N/A</v>
      </c>
      <c r="AX726" s="37"/>
      <c r="AY726" s="892">
        <f t="shared" si="38"/>
        <v>0</v>
      </c>
      <c r="AZ726" s="890">
        <f t="shared" si="39"/>
        <v>0</v>
      </c>
      <c r="BA726" s="891">
        <f t="shared" si="40"/>
        <v>0</v>
      </c>
      <c r="BB726" s="37"/>
      <c r="BC726" s="37"/>
      <c r="BD726" s="37"/>
      <c r="BE726" s="743">
        <f t="shared" si="41"/>
        <v>0</v>
      </c>
      <c r="BF726" s="747" t="str">
        <f t="shared" si="42"/>
        <v/>
      </c>
      <c r="BG726" s="748" t="str">
        <f t="shared" si="43"/>
        <v/>
      </c>
      <c r="BJ726" s="37"/>
      <c r="BK726" s="37"/>
      <c r="BL726" s="37"/>
      <c r="BM726" s="37"/>
      <c r="BN726" s="37"/>
      <c r="BO726" s="37"/>
      <c r="BP726" s="483" t="s">
        <v>844</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40"/>
      <c r="C727" s="1041"/>
      <c r="D727" s="1041"/>
      <c r="E727" s="1041"/>
      <c r="F727" s="1042"/>
      <c r="G727" s="1043"/>
      <c r="H727" s="1044"/>
      <c r="I727" s="1044"/>
      <c r="J727" s="1045"/>
      <c r="K727" s="1046"/>
      <c r="L727" s="1047"/>
      <c r="M727" s="1047"/>
      <c r="N727" s="1048"/>
      <c r="O727" s="1049"/>
      <c r="P727" s="1050"/>
      <c r="Q727" s="1050"/>
      <c r="R727" s="1050"/>
      <c r="S727" s="1051"/>
      <c r="T727" s="1052">
        <f t="shared" ref="T727:T736" si="45">G727*O727</f>
        <v>0</v>
      </c>
      <c r="U727" s="1053"/>
      <c r="V727" s="1053"/>
      <c r="W727" s="1053"/>
      <c r="X727" s="1054"/>
      <c r="Y727" s="1049"/>
      <c r="Z727" s="1050"/>
      <c r="AA727" s="1050"/>
      <c r="AB727" s="1051"/>
      <c r="AC727" s="1052">
        <f t="shared" ref="AC727:AC736" si="46">O727+Y727</f>
        <v>0</v>
      </c>
      <c r="AD727" s="1053"/>
      <c r="AE727" s="1053"/>
      <c r="AF727" s="1053"/>
      <c r="AG727" s="1054"/>
      <c r="AH727" s="1055"/>
      <c r="AI727" s="1056"/>
      <c r="AJ727" s="1056"/>
      <c r="AK727" s="1056"/>
      <c r="AL727" s="1057"/>
      <c r="AM727" s="1058" t="str">
        <f t="shared" ref="AM727:AM736" si="47">IF($AH727&gt;0,($AC727/$AV727), "")</f>
        <v/>
      </c>
      <c r="AN727" s="1059"/>
      <c r="AO727" s="1060"/>
      <c r="AV727" s="37" t="str">
        <f t="shared" si="37"/>
        <v>N/A</v>
      </c>
      <c r="AY727" s="892">
        <f t="shared" ref="AY727:AY736" si="48">G727</f>
        <v>0</v>
      </c>
      <c r="AZ727" s="890">
        <f t="shared" ref="AZ727:AZ735" si="49">IF($AY$738=0,"",AY727/$AY$738)</f>
        <v>0</v>
      </c>
      <c r="BA727" s="891">
        <f t="shared" ref="BA727:BA736" si="50">IF(AZ727="","",AZ727*AH727)</f>
        <v>0</v>
      </c>
      <c r="BB727" s="37"/>
      <c r="BC727" s="37"/>
      <c r="BD727" s="37"/>
      <c r="BE727" s="743">
        <f t="shared" ref="BE727:BE736" si="51">G727</f>
        <v>0</v>
      </c>
      <c r="BF727" s="747" t="str">
        <f t="shared" ref="BF727:BF736" si="52">IF(BE727=0,"",BE727/$BE$738)</f>
        <v/>
      </c>
      <c r="BG727" s="748" t="str">
        <f t="shared" ref="BG727:BG736" si="53">IF(BF727="","",BF727*AM727)</f>
        <v/>
      </c>
      <c r="BJ727" s="37"/>
      <c r="BK727" s="37"/>
      <c r="BL727" s="37"/>
      <c r="BM727" s="37"/>
      <c r="BN727" s="37"/>
      <c r="BO727" s="37"/>
      <c r="BP727" s="483" t="s">
        <v>846</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40"/>
      <c r="C728" s="1041"/>
      <c r="D728" s="1041"/>
      <c r="E728" s="1041"/>
      <c r="F728" s="1042"/>
      <c r="G728" s="1043"/>
      <c r="H728" s="1044"/>
      <c r="I728" s="1044"/>
      <c r="J728" s="1045"/>
      <c r="K728" s="1046"/>
      <c r="L728" s="1047"/>
      <c r="M728" s="1047"/>
      <c r="N728" s="1048"/>
      <c r="O728" s="1049"/>
      <c r="P728" s="1050"/>
      <c r="Q728" s="1050"/>
      <c r="R728" s="1050"/>
      <c r="S728" s="1051"/>
      <c r="T728" s="1052">
        <f t="shared" si="45"/>
        <v>0</v>
      </c>
      <c r="U728" s="1053"/>
      <c r="V728" s="1053"/>
      <c r="W728" s="1053"/>
      <c r="X728" s="1054"/>
      <c r="Y728" s="1049"/>
      <c r="Z728" s="1050"/>
      <c r="AA728" s="1050"/>
      <c r="AB728" s="1051"/>
      <c r="AC728" s="1052">
        <f t="shared" si="46"/>
        <v>0</v>
      </c>
      <c r="AD728" s="1053"/>
      <c r="AE728" s="1053"/>
      <c r="AF728" s="1053"/>
      <c r="AG728" s="1054"/>
      <c r="AH728" s="1055"/>
      <c r="AI728" s="1056"/>
      <c r="AJ728" s="1056"/>
      <c r="AK728" s="1056"/>
      <c r="AL728" s="1057"/>
      <c r="AM728" s="1058" t="str">
        <f t="shared" si="47"/>
        <v/>
      </c>
      <c r="AN728" s="1059"/>
      <c r="AO728" s="1060"/>
      <c r="AV728" s="37" t="str">
        <f t="shared" si="37"/>
        <v>N/A</v>
      </c>
      <c r="AY728" s="892">
        <f t="shared" si="48"/>
        <v>0</v>
      </c>
      <c r="AZ728" s="890">
        <f t="shared" si="49"/>
        <v>0</v>
      </c>
      <c r="BA728" s="891">
        <f t="shared" si="50"/>
        <v>0</v>
      </c>
      <c r="BB728" s="37"/>
      <c r="BC728" s="37"/>
      <c r="BD728" s="37"/>
      <c r="BE728" s="743">
        <f t="shared" si="51"/>
        <v>0</v>
      </c>
      <c r="BF728" s="747" t="str">
        <f t="shared" si="52"/>
        <v/>
      </c>
      <c r="BG728" s="748" t="str">
        <f t="shared" si="53"/>
        <v/>
      </c>
      <c r="BJ728" s="37"/>
      <c r="BK728" s="37"/>
      <c r="BL728" s="37"/>
      <c r="BM728" s="37"/>
      <c r="BN728" s="37"/>
      <c r="BO728" s="37"/>
      <c r="BP728" s="483" t="s">
        <v>851</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40"/>
      <c r="C729" s="1041"/>
      <c r="D729" s="1041"/>
      <c r="E729" s="1041"/>
      <c r="F729" s="1042"/>
      <c r="G729" s="1043"/>
      <c r="H729" s="1044"/>
      <c r="I729" s="1044"/>
      <c r="J729" s="1045"/>
      <c r="K729" s="1046"/>
      <c r="L729" s="1047"/>
      <c r="M729" s="1047"/>
      <c r="N729" s="1048"/>
      <c r="O729" s="1049"/>
      <c r="P729" s="1050"/>
      <c r="Q729" s="1050"/>
      <c r="R729" s="1050"/>
      <c r="S729" s="1051"/>
      <c r="T729" s="1052">
        <f t="shared" si="45"/>
        <v>0</v>
      </c>
      <c r="U729" s="1053"/>
      <c r="V729" s="1053"/>
      <c r="W729" s="1053"/>
      <c r="X729" s="1054"/>
      <c r="Y729" s="1049"/>
      <c r="Z729" s="1050"/>
      <c r="AA729" s="1050"/>
      <c r="AB729" s="1051"/>
      <c r="AC729" s="1052">
        <f t="shared" si="46"/>
        <v>0</v>
      </c>
      <c r="AD729" s="1053"/>
      <c r="AE729" s="1053"/>
      <c r="AF729" s="1053"/>
      <c r="AG729" s="1054"/>
      <c r="AH729" s="1055"/>
      <c r="AI729" s="1056"/>
      <c r="AJ729" s="1056"/>
      <c r="AK729" s="1056"/>
      <c r="AL729" s="1057"/>
      <c r="AM729" s="1058" t="str">
        <f t="shared" si="47"/>
        <v/>
      </c>
      <c r="AN729" s="1059"/>
      <c r="AO729" s="1060"/>
      <c r="AV729" s="37" t="str">
        <f t="shared" si="37"/>
        <v>N/A</v>
      </c>
      <c r="AY729" s="892">
        <f t="shared" si="48"/>
        <v>0</v>
      </c>
      <c r="AZ729" s="890">
        <f t="shared" si="49"/>
        <v>0</v>
      </c>
      <c r="BA729" s="891">
        <f t="shared" si="50"/>
        <v>0</v>
      </c>
      <c r="BB729" s="37"/>
      <c r="BC729" s="37"/>
      <c r="BD729" s="37"/>
      <c r="BE729" s="743">
        <f t="shared" si="51"/>
        <v>0</v>
      </c>
      <c r="BF729" s="747" t="str">
        <f t="shared" si="52"/>
        <v/>
      </c>
      <c r="BG729" s="748" t="str">
        <f t="shared" si="53"/>
        <v/>
      </c>
      <c r="BJ729" s="37"/>
      <c r="BK729" s="37"/>
      <c r="BL729" s="37"/>
      <c r="BM729" s="37"/>
      <c r="BN729" s="37"/>
      <c r="BO729" s="37"/>
      <c r="BP729" s="483" t="s">
        <v>856</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40"/>
      <c r="C730" s="1041"/>
      <c r="D730" s="1041"/>
      <c r="E730" s="1041"/>
      <c r="F730" s="1042"/>
      <c r="G730" s="1043"/>
      <c r="H730" s="1044"/>
      <c r="I730" s="1044"/>
      <c r="J730" s="1045"/>
      <c r="K730" s="1046"/>
      <c r="L730" s="1047"/>
      <c r="M730" s="1047"/>
      <c r="N730" s="1048"/>
      <c r="O730" s="1049"/>
      <c r="P730" s="1050"/>
      <c r="Q730" s="1050"/>
      <c r="R730" s="1050"/>
      <c r="S730" s="1051"/>
      <c r="T730" s="1052">
        <f t="shared" si="45"/>
        <v>0</v>
      </c>
      <c r="U730" s="1053"/>
      <c r="V730" s="1053"/>
      <c r="W730" s="1053"/>
      <c r="X730" s="1054"/>
      <c r="Y730" s="1049"/>
      <c r="Z730" s="1050"/>
      <c r="AA730" s="1050"/>
      <c r="AB730" s="1051"/>
      <c r="AC730" s="1052">
        <f t="shared" si="46"/>
        <v>0</v>
      </c>
      <c r="AD730" s="1053"/>
      <c r="AE730" s="1053"/>
      <c r="AF730" s="1053"/>
      <c r="AG730" s="1054"/>
      <c r="AH730" s="1055"/>
      <c r="AI730" s="1056"/>
      <c r="AJ730" s="1056"/>
      <c r="AK730" s="1056"/>
      <c r="AL730" s="1057"/>
      <c r="AM730" s="1058" t="str">
        <f t="shared" si="47"/>
        <v/>
      </c>
      <c r="AN730" s="1059"/>
      <c r="AO730" s="1060"/>
      <c r="AV730" s="37" t="str">
        <f t="shared" si="37"/>
        <v>N/A</v>
      </c>
      <c r="AY730" s="892">
        <f t="shared" si="48"/>
        <v>0</v>
      </c>
      <c r="AZ730" s="890">
        <f t="shared" si="49"/>
        <v>0</v>
      </c>
      <c r="BA730" s="891">
        <f t="shared" si="50"/>
        <v>0</v>
      </c>
      <c r="BB730" s="37"/>
      <c r="BC730" s="37"/>
      <c r="BD730" s="37"/>
      <c r="BE730" s="743">
        <f t="shared" si="51"/>
        <v>0</v>
      </c>
      <c r="BF730" s="747" t="str">
        <f t="shared" si="52"/>
        <v/>
      </c>
      <c r="BG730" s="748" t="str">
        <f t="shared" si="53"/>
        <v/>
      </c>
      <c r="BJ730" s="37"/>
      <c r="BK730" s="37"/>
      <c r="BL730" s="37"/>
      <c r="BM730" s="37"/>
      <c r="BN730" s="37"/>
      <c r="BO730" s="37"/>
      <c r="BP730" s="483" t="s">
        <v>861</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40"/>
      <c r="C731" s="1041"/>
      <c r="D731" s="1041"/>
      <c r="E731" s="1041"/>
      <c r="F731" s="1042"/>
      <c r="G731" s="1043"/>
      <c r="H731" s="1044"/>
      <c r="I731" s="1044"/>
      <c r="J731" s="1045"/>
      <c r="K731" s="1046"/>
      <c r="L731" s="1047"/>
      <c r="M731" s="1047"/>
      <c r="N731" s="1048"/>
      <c r="O731" s="1049"/>
      <c r="P731" s="1050"/>
      <c r="Q731" s="1050"/>
      <c r="R731" s="1050"/>
      <c r="S731" s="1051"/>
      <c r="T731" s="1052">
        <f t="shared" si="45"/>
        <v>0</v>
      </c>
      <c r="U731" s="1053"/>
      <c r="V731" s="1053"/>
      <c r="W731" s="1053"/>
      <c r="X731" s="1054"/>
      <c r="Y731" s="1049"/>
      <c r="Z731" s="1050"/>
      <c r="AA731" s="1050"/>
      <c r="AB731" s="1051"/>
      <c r="AC731" s="1052">
        <f t="shared" si="46"/>
        <v>0</v>
      </c>
      <c r="AD731" s="1053"/>
      <c r="AE731" s="1053"/>
      <c r="AF731" s="1053"/>
      <c r="AG731" s="1054"/>
      <c r="AH731" s="1055"/>
      <c r="AI731" s="1056"/>
      <c r="AJ731" s="1056"/>
      <c r="AK731" s="1056"/>
      <c r="AL731" s="1057"/>
      <c r="AM731" s="1058" t="str">
        <f t="shared" si="47"/>
        <v/>
      </c>
      <c r="AN731" s="1059"/>
      <c r="AO731" s="1060"/>
      <c r="AV731" s="37" t="str">
        <f t="shared" si="37"/>
        <v>N/A</v>
      </c>
      <c r="AY731" s="892">
        <f t="shared" si="48"/>
        <v>0</v>
      </c>
      <c r="AZ731" s="890">
        <f t="shared" si="49"/>
        <v>0</v>
      </c>
      <c r="BA731" s="891">
        <f t="shared" si="50"/>
        <v>0</v>
      </c>
      <c r="BB731" s="37"/>
      <c r="BC731" s="37"/>
      <c r="BD731" s="37"/>
      <c r="BE731" s="743">
        <f t="shared" si="51"/>
        <v>0</v>
      </c>
      <c r="BF731" s="747" t="str">
        <f t="shared" si="52"/>
        <v/>
      </c>
      <c r="BG731" s="748" t="str">
        <f t="shared" si="53"/>
        <v/>
      </c>
      <c r="BJ731" s="37"/>
      <c r="BK731" s="37"/>
      <c r="BL731" s="37"/>
      <c r="BM731" s="37"/>
      <c r="BN731" s="37"/>
      <c r="BO731" s="37"/>
      <c r="BP731" s="483" t="s">
        <v>865</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40"/>
      <c r="C732" s="1041"/>
      <c r="D732" s="1041"/>
      <c r="E732" s="1041"/>
      <c r="F732" s="1042"/>
      <c r="G732" s="1043"/>
      <c r="H732" s="1044"/>
      <c r="I732" s="1044"/>
      <c r="J732" s="1045"/>
      <c r="K732" s="1046"/>
      <c r="L732" s="1047"/>
      <c r="M732" s="1047"/>
      <c r="N732" s="1048"/>
      <c r="O732" s="1049"/>
      <c r="P732" s="1050"/>
      <c r="Q732" s="1050"/>
      <c r="R732" s="1050"/>
      <c r="S732" s="1051"/>
      <c r="T732" s="1052">
        <f t="shared" si="45"/>
        <v>0</v>
      </c>
      <c r="U732" s="1053"/>
      <c r="V732" s="1053"/>
      <c r="W732" s="1053"/>
      <c r="X732" s="1054"/>
      <c r="Y732" s="1049"/>
      <c r="Z732" s="1050"/>
      <c r="AA732" s="1050"/>
      <c r="AB732" s="1051"/>
      <c r="AC732" s="1052">
        <f t="shared" si="46"/>
        <v>0</v>
      </c>
      <c r="AD732" s="1053"/>
      <c r="AE732" s="1053"/>
      <c r="AF732" s="1053"/>
      <c r="AG732" s="1054"/>
      <c r="AH732" s="1055"/>
      <c r="AI732" s="1056"/>
      <c r="AJ732" s="1056"/>
      <c r="AK732" s="1056"/>
      <c r="AL732" s="1057"/>
      <c r="AM732" s="1058" t="str">
        <f t="shared" si="47"/>
        <v/>
      </c>
      <c r="AN732" s="1059"/>
      <c r="AO732" s="1060"/>
      <c r="AV732" s="37" t="str">
        <f t="shared" si="37"/>
        <v>N/A</v>
      </c>
      <c r="AY732" s="892">
        <f t="shared" si="48"/>
        <v>0</v>
      </c>
      <c r="AZ732" s="890">
        <f t="shared" si="49"/>
        <v>0</v>
      </c>
      <c r="BA732" s="891">
        <f t="shared" si="50"/>
        <v>0</v>
      </c>
      <c r="BB732" s="37"/>
      <c r="BC732" s="37"/>
      <c r="BD732" s="37"/>
      <c r="BE732" s="743">
        <f t="shared" si="51"/>
        <v>0</v>
      </c>
      <c r="BF732" s="747" t="str">
        <f t="shared" si="52"/>
        <v/>
      </c>
      <c r="BG732" s="748" t="str">
        <f t="shared" si="53"/>
        <v/>
      </c>
      <c r="BJ732" s="37"/>
      <c r="BK732" s="37"/>
      <c r="BL732" s="37"/>
      <c r="BM732" s="37"/>
      <c r="BN732" s="37"/>
      <c r="BO732" s="37"/>
      <c r="BP732" s="483" t="s">
        <v>871</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40"/>
      <c r="C733" s="1041"/>
      <c r="D733" s="1041"/>
      <c r="E733" s="1041"/>
      <c r="F733" s="1042"/>
      <c r="G733" s="1043"/>
      <c r="H733" s="1044"/>
      <c r="I733" s="1044"/>
      <c r="J733" s="1045"/>
      <c r="K733" s="1046"/>
      <c r="L733" s="1047"/>
      <c r="M733" s="1047"/>
      <c r="N733" s="1048"/>
      <c r="O733" s="1049"/>
      <c r="P733" s="1050"/>
      <c r="Q733" s="1050"/>
      <c r="R733" s="1050"/>
      <c r="S733" s="1051"/>
      <c r="T733" s="1052">
        <f t="shared" si="45"/>
        <v>0</v>
      </c>
      <c r="U733" s="1053"/>
      <c r="V733" s="1053"/>
      <c r="W733" s="1053"/>
      <c r="X733" s="1054"/>
      <c r="Y733" s="1049"/>
      <c r="Z733" s="1050"/>
      <c r="AA733" s="1050"/>
      <c r="AB733" s="1051"/>
      <c r="AC733" s="1052">
        <f t="shared" si="46"/>
        <v>0</v>
      </c>
      <c r="AD733" s="1053"/>
      <c r="AE733" s="1053"/>
      <c r="AF733" s="1053"/>
      <c r="AG733" s="1054"/>
      <c r="AH733" s="1055"/>
      <c r="AI733" s="1056"/>
      <c r="AJ733" s="1056"/>
      <c r="AK733" s="1056"/>
      <c r="AL733" s="1057"/>
      <c r="AM733" s="1058" t="str">
        <f t="shared" si="47"/>
        <v/>
      </c>
      <c r="AN733" s="1059"/>
      <c r="AO733" s="1060"/>
      <c r="AV733" s="37" t="str">
        <f t="shared" si="37"/>
        <v>N/A</v>
      </c>
      <c r="AY733" s="892">
        <f t="shared" si="48"/>
        <v>0</v>
      </c>
      <c r="AZ733" s="890">
        <f t="shared" si="49"/>
        <v>0</v>
      </c>
      <c r="BA733" s="891">
        <f t="shared" si="50"/>
        <v>0</v>
      </c>
      <c r="BB733" s="37"/>
      <c r="BC733" s="37"/>
      <c r="BD733" s="37"/>
      <c r="BE733" s="743">
        <f t="shared" si="51"/>
        <v>0</v>
      </c>
      <c r="BF733" s="747" t="str">
        <f t="shared" si="52"/>
        <v/>
      </c>
      <c r="BG733" s="748" t="str">
        <f t="shared" si="53"/>
        <v/>
      </c>
      <c r="BJ733" s="37"/>
      <c r="BK733" s="37"/>
      <c r="BL733" s="37"/>
      <c r="BM733" s="37"/>
      <c r="BN733" s="37"/>
      <c r="BO733" s="37"/>
      <c r="BP733" s="483" t="s">
        <v>875</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40"/>
      <c r="C734" s="1041"/>
      <c r="D734" s="1041"/>
      <c r="E734" s="1041"/>
      <c r="F734" s="1042"/>
      <c r="G734" s="1043"/>
      <c r="H734" s="1044"/>
      <c r="I734" s="1044"/>
      <c r="J734" s="1045"/>
      <c r="K734" s="1046"/>
      <c r="L734" s="1047"/>
      <c r="M734" s="1047"/>
      <c r="N734" s="1048"/>
      <c r="O734" s="1049"/>
      <c r="P734" s="1050"/>
      <c r="Q734" s="1050"/>
      <c r="R734" s="1050"/>
      <c r="S734" s="1051"/>
      <c r="T734" s="1052">
        <f t="shared" si="45"/>
        <v>0</v>
      </c>
      <c r="U734" s="1053"/>
      <c r="V734" s="1053"/>
      <c r="W734" s="1053"/>
      <c r="X734" s="1054"/>
      <c r="Y734" s="1049"/>
      <c r="Z734" s="1050"/>
      <c r="AA734" s="1050"/>
      <c r="AB734" s="1051"/>
      <c r="AC734" s="1052">
        <f t="shared" si="46"/>
        <v>0</v>
      </c>
      <c r="AD734" s="1053"/>
      <c r="AE734" s="1053"/>
      <c r="AF734" s="1053"/>
      <c r="AG734" s="1054"/>
      <c r="AH734" s="1055"/>
      <c r="AI734" s="1056"/>
      <c r="AJ734" s="1056"/>
      <c r="AK734" s="1056"/>
      <c r="AL734" s="1057"/>
      <c r="AM734" s="1058" t="str">
        <f t="shared" si="47"/>
        <v/>
      </c>
      <c r="AN734" s="1059"/>
      <c r="AO734" s="1060"/>
      <c r="AV734" s="37" t="str">
        <f t="shared" si="37"/>
        <v>N/A</v>
      </c>
      <c r="AY734" s="892">
        <f t="shared" si="48"/>
        <v>0</v>
      </c>
      <c r="AZ734" s="890">
        <f t="shared" si="49"/>
        <v>0</v>
      </c>
      <c r="BA734" s="891">
        <f t="shared" si="50"/>
        <v>0</v>
      </c>
      <c r="BB734" s="37"/>
      <c r="BC734" s="37"/>
      <c r="BD734" s="37"/>
      <c r="BE734" s="743">
        <f t="shared" si="51"/>
        <v>0</v>
      </c>
      <c r="BF734" s="747" t="str">
        <f t="shared" si="52"/>
        <v/>
      </c>
      <c r="BG734" s="748" t="str">
        <f t="shared" si="53"/>
        <v/>
      </c>
      <c r="BJ734" s="37"/>
      <c r="BK734" s="37"/>
      <c r="BL734" s="37"/>
      <c r="BM734" s="37"/>
      <c r="BN734" s="37"/>
      <c r="BO734" s="37"/>
      <c r="BP734" s="483" t="s">
        <v>880</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40"/>
      <c r="C735" s="1041"/>
      <c r="D735" s="1041"/>
      <c r="E735" s="1041"/>
      <c r="F735" s="1042"/>
      <c r="G735" s="1043"/>
      <c r="H735" s="1044"/>
      <c r="I735" s="1044"/>
      <c r="J735" s="1045"/>
      <c r="K735" s="1046"/>
      <c r="L735" s="1047"/>
      <c r="M735" s="1047"/>
      <c r="N735" s="1048"/>
      <c r="O735" s="1049"/>
      <c r="P735" s="1050"/>
      <c r="Q735" s="1050"/>
      <c r="R735" s="1050"/>
      <c r="S735" s="1051"/>
      <c r="T735" s="1052">
        <f t="shared" si="45"/>
        <v>0</v>
      </c>
      <c r="U735" s="1053"/>
      <c r="V735" s="1053"/>
      <c r="W735" s="1053"/>
      <c r="X735" s="1054"/>
      <c r="Y735" s="1049"/>
      <c r="Z735" s="1050"/>
      <c r="AA735" s="1050"/>
      <c r="AB735" s="1051"/>
      <c r="AC735" s="1052">
        <f t="shared" si="46"/>
        <v>0</v>
      </c>
      <c r="AD735" s="1053"/>
      <c r="AE735" s="1053"/>
      <c r="AF735" s="1053"/>
      <c r="AG735" s="1054"/>
      <c r="AH735" s="1055"/>
      <c r="AI735" s="1056"/>
      <c r="AJ735" s="1056"/>
      <c r="AK735" s="1056"/>
      <c r="AL735" s="1057"/>
      <c r="AM735" s="1058" t="str">
        <f t="shared" si="47"/>
        <v/>
      </c>
      <c r="AN735" s="1059"/>
      <c r="AO735" s="1060"/>
      <c r="AV735" s="37" t="str">
        <f t="shared" si="37"/>
        <v>N/A</v>
      </c>
      <c r="AY735" s="892">
        <f t="shared" si="48"/>
        <v>0</v>
      </c>
      <c r="AZ735" s="890">
        <f t="shared" si="49"/>
        <v>0</v>
      </c>
      <c r="BA735" s="891">
        <f t="shared" si="50"/>
        <v>0</v>
      </c>
      <c r="BB735" s="37"/>
      <c r="BC735" s="37"/>
      <c r="BD735" s="37"/>
      <c r="BE735" s="743">
        <f t="shared" si="51"/>
        <v>0</v>
      </c>
      <c r="BF735" s="747" t="str">
        <f t="shared" si="52"/>
        <v/>
      </c>
      <c r="BG735" s="748" t="str">
        <f t="shared" si="53"/>
        <v/>
      </c>
      <c r="BJ735" s="37"/>
      <c r="BK735" s="37"/>
      <c r="BL735" s="37"/>
      <c r="BM735" s="37"/>
      <c r="BN735" s="37"/>
      <c r="BO735" s="37"/>
      <c r="BP735" s="483" t="s">
        <v>884</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40"/>
      <c r="C736" s="1041"/>
      <c r="D736" s="1041"/>
      <c r="E736" s="1041"/>
      <c r="F736" s="1042"/>
      <c r="G736" s="1043"/>
      <c r="H736" s="1044"/>
      <c r="I736" s="1044"/>
      <c r="J736" s="1045"/>
      <c r="K736" s="1046"/>
      <c r="L736" s="1047"/>
      <c r="M736" s="1047"/>
      <c r="N736" s="1048"/>
      <c r="O736" s="1049"/>
      <c r="P736" s="1050"/>
      <c r="Q736" s="1050"/>
      <c r="R736" s="1050"/>
      <c r="S736" s="1051"/>
      <c r="T736" s="1052">
        <f t="shared" si="45"/>
        <v>0</v>
      </c>
      <c r="U736" s="1053"/>
      <c r="V736" s="1053"/>
      <c r="W736" s="1053"/>
      <c r="X736" s="1054"/>
      <c r="Y736" s="1049"/>
      <c r="Z736" s="1050"/>
      <c r="AA736" s="1050"/>
      <c r="AB736" s="1051"/>
      <c r="AC736" s="1052">
        <f t="shared" si="46"/>
        <v>0</v>
      </c>
      <c r="AD736" s="1053"/>
      <c r="AE736" s="1053"/>
      <c r="AF736" s="1053"/>
      <c r="AG736" s="1054"/>
      <c r="AH736" s="1055"/>
      <c r="AI736" s="1056"/>
      <c r="AJ736" s="1056"/>
      <c r="AK736" s="1056"/>
      <c r="AL736" s="1057"/>
      <c r="AM736" s="1058" t="str">
        <f t="shared" si="47"/>
        <v/>
      </c>
      <c r="AN736" s="1059"/>
      <c r="AO736" s="1060"/>
      <c r="AV736" s="37" t="str">
        <f t="shared" si="37"/>
        <v>N/A</v>
      </c>
      <c r="AY736" s="892">
        <f t="shared" si="48"/>
        <v>0</v>
      </c>
      <c r="AZ736" s="890">
        <f>IF($AY$738=0,"",AY736/$AY$738)</f>
        <v>0</v>
      </c>
      <c r="BA736" s="891">
        <f t="shared" si="50"/>
        <v>0</v>
      </c>
      <c r="BB736" s="37"/>
      <c r="BC736" s="37"/>
      <c r="BD736" s="37"/>
      <c r="BE736" s="743">
        <f t="shared" si="51"/>
        <v>0</v>
      </c>
      <c r="BF736" s="747" t="str">
        <f t="shared" si="52"/>
        <v/>
      </c>
      <c r="BG736" s="748" t="str">
        <f t="shared" si="53"/>
        <v/>
      </c>
      <c r="BJ736" s="37"/>
      <c r="BK736" s="37"/>
      <c r="BL736" s="37"/>
      <c r="BM736" s="37"/>
      <c r="BN736" s="37"/>
      <c r="BO736" s="37"/>
      <c r="BP736" s="483" t="s">
        <v>888</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40"/>
      <c r="C737" s="1041"/>
      <c r="D737" s="1041"/>
      <c r="E737" s="1041"/>
      <c r="F737" s="1042"/>
      <c r="G737" s="1043"/>
      <c r="H737" s="1044"/>
      <c r="I737" s="1044"/>
      <c r="J737" s="1045"/>
      <c r="K737" s="1046"/>
      <c r="L737" s="1047"/>
      <c r="M737" s="1047"/>
      <c r="N737" s="1048"/>
      <c r="O737" s="1049"/>
      <c r="P737" s="1050"/>
      <c r="Q737" s="1050"/>
      <c r="R737" s="1050"/>
      <c r="S737" s="1051"/>
      <c r="T737" s="1052">
        <f t="shared" si="35"/>
        <v>0</v>
      </c>
      <c r="U737" s="1053"/>
      <c r="V737" s="1053"/>
      <c r="W737" s="1053"/>
      <c r="X737" s="1054"/>
      <c r="Y737" s="1049"/>
      <c r="Z737" s="1050"/>
      <c r="AA737" s="1050"/>
      <c r="AB737" s="1051"/>
      <c r="AC737" s="1052">
        <f t="shared" si="36"/>
        <v>0</v>
      </c>
      <c r="AD737" s="1053"/>
      <c r="AE737" s="1053"/>
      <c r="AF737" s="1053"/>
      <c r="AG737" s="1054"/>
      <c r="AH737" s="1055"/>
      <c r="AI737" s="1056"/>
      <c r="AJ737" s="1056"/>
      <c r="AK737" s="1056"/>
      <c r="AL737" s="1057"/>
      <c r="AM737" s="1058" t="str">
        <f>IF($AH737&gt;0,($AC737/$AV737), "")</f>
        <v/>
      </c>
      <c r="AN737" s="1059"/>
      <c r="AO737" s="1060"/>
      <c r="AV737" s="37" t="str">
        <f t="shared" si="37"/>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892</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7" t="s">
        <v>1397</v>
      </c>
      <c r="C738" s="1078"/>
      <c r="D738" s="1078"/>
      <c r="E738" s="1078"/>
      <c r="F738" s="1080"/>
      <c r="G738" s="1242">
        <f>SUM(G703:J737)</f>
        <v>57</v>
      </c>
      <c r="H738" s="1243"/>
      <c r="I738" s="1243"/>
      <c r="J738" s="1244"/>
      <c r="O738" s="352" t="s">
        <v>1398</v>
      </c>
      <c r="P738" s="144"/>
      <c r="Q738" s="144"/>
      <c r="R738" s="144"/>
      <c r="S738" s="734"/>
      <c r="T738" s="1052">
        <f>SUM(T703:X737)</f>
        <v>60135</v>
      </c>
      <c r="U738" s="1053"/>
      <c r="V738" s="1053"/>
      <c r="W738" s="1053"/>
      <c r="X738" s="1054"/>
      <c r="AC738" s="735" t="s">
        <v>1399</v>
      </c>
      <c r="AD738" s="736"/>
      <c r="AE738" s="736"/>
      <c r="AF738" s="736"/>
      <c r="AG738" s="737"/>
      <c r="AH738" s="1246">
        <f>BA738</f>
        <v>0.3</v>
      </c>
      <c r="AI738" s="1247"/>
      <c r="AJ738" s="1247"/>
      <c r="AK738" s="1247"/>
      <c r="AL738" s="1248"/>
      <c r="AM738" s="1246">
        <f>IFERROR(BG738,0)</f>
        <v>0.30005688282138793</v>
      </c>
      <c r="AN738" s="1247"/>
      <c r="AO738" s="1248"/>
      <c r="AX738" s="55" t="s">
        <v>1400</v>
      </c>
      <c r="AY738" s="371">
        <f>SUM(AY703:AY737)</f>
        <v>57</v>
      </c>
      <c r="AZ738" s="372">
        <f>SUM(AZ703:AZ737)</f>
        <v>1</v>
      </c>
      <c r="BA738" s="372">
        <f>SUM(BA703:BA737)</f>
        <v>0.3</v>
      </c>
      <c r="BB738" s="37"/>
      <c r="BC738" s="37"/>
      <c r="BD738" s="37"/>
      <c r="BE738" s="744">
        <f>SUM(BE703:BE737)</f>
        <v>57</v>
      </c>
      <c r="BF738" s="745">
        <f>SUM(BF703:BF737)</f>
        <v>1</v>
      </c>
      <c r="BG738" s="745">
        <f>SUM(BG703:BG737)</f>
        <v>0.30005688282138793</v>
      </c>
      <c r="BJ738" s="37"/>
      <c r="BK738" s="37"/>
      <c r="BL738" s="37"/>
      <c r="BM738" s="37"/>
      <c r="BN738" s="37"/>
      <c r="BO738" s="37"/>
      <c r="BP738" s="483" t="s">
        <v>849</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24" t="s">
        <v>1401</v>
      </c>
      <c r="D739" s="1224"/>
      <c r="E739" s="1224"/>
      <c r="F739" s="1224"/>
      <c r="G739" s="1224"/>
      <c r="H739" s="1224"/>
      <c r="I739" s="1224"/>
      <c r="J739" s="1224"/>
      <c r="K739" s="1224"/>
      <c r="L739" s="1224"/>
      <c r="M739" s="1224"/>
      <c r="N739" s="1224"/>
      <c r="O739" s="1224"/>
      <c r="P739" s="1224"/>
      <c r="Q739" s="1224"/>
      <c r="R739" s="1224"/>
      <c r="S739" s="1224"/>
      <c r="T739" s="1224"/>
      <c r="U739" s="1224"/>
      <c r="V739" s="1224"/>
      <c r="W739" s="1224"/>
      <c r="X739" s="1224"/>
      <c r="Y739" s="1224"/>
      <c r="Z739" s="1224"/>
      <c r="AA739" s="1224"/>
      <c r="AB739" s="1224"/>
      <c r="AC739" s="1224"/>
      <c r="AD739" s="1224"/>
      <c r="AE739" s="1224"/>
      <c r="AF739" s="1224"/>
      <c r="AG739" s="1224"/>
      <c r="AH739" s="1224"/>
      <c r="AL739" s="37"/>
      <c r="AM739" s="37"/>
      <c r="BA739" s="37"/>
      <c r="BB739" s="37"/>
      <c r="BC739" s="37"/>
      <c r="BD739" s="37"/>
      <c r="BE739" s="37"/>
      <c r="BF739" s="37"/>
      <c r="BJ739" s="37"/>
      <c r="BK739" s="37"/>
      <c r="BL739" s="37"/>
      <c r="BM739" s="37"/>
      <c r="BN739" s="37"/>
      <c r="BO739" s="37"/>
      <c r="BP739" s="483" t="s">
        <v>903</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24"/>
      <c r="D740" s="1224"/>
      <c r="E740" s="1224"/>
      <c r="F740" s="1224"/>
      <c r="G740" s="1224"/>
      <c r="H740" s="1224"/>
      <c r="I740" s="1224"/>
      <c r="J740" s="1224"/>
      <c r="K740" s="1224"/>
      <c r="L740" s="1224"/>
      <c r="M740" s="1224"/>
      <c r="N740" s="1224"/>
      <c r="O740" s="1224"/>
      <c r="P740" s="1224"/>
      <c r="Q740" s="1224"/>
      <c r="R740" s="1224"/>
      <c r="S740" s="1224"/>
      <c r="T740" s="1224"/>
      <c r="U740" s="1224"/>
      <c r="V740" s="1224"/>
      <c r="W740" s="1224"/>
      <c r="X740" s="1224"/>
      <c r="Y740" s="1224"/>
      <c r="Z740" s="1224"/>
      <c r="AA740" s="1224"/>
      <c r="AB740" s="1224"/>
      <c r="AC740" s="1224"/>
      <c r="AD740" s="1224"/>
      <c r="AE740" s="1224"/>
      <c r="AF740" s="1224"/>
      <c r="AG740" s="1224"/>
      <c r="AH740" s="1224"/>
      <c r="AL740" s="37"/>
      <c r="AM740" s="37"/>
      <c r="BA740" s="37"/>
      <c r="BB740" s="37"/>
      <c r="BC740" s="37"/>
      <c r="BD740" s="37"/>
      <c r="BE740" s="37"/>
      <c r="BF740" s="37"/>
      <c r="BJ740" s="37"/>
      <c r="BK740" s="37"/>
      <c r="BL740" s="37"/>
      <c r="BM740" s="37"/>
      <c r="BN740" s="37"/>
      <c r="BO740" s="37"/>
      <c r="BP740" s="483" t="s">
        <v>907</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1402</v>
      </c>
      <c r="D741" s="810"/>
      <c r="E741" s="810"/>
      <c r="F741" s="810"/>
      <c r="G741" s="811"/>
      <c r="H741" s="811"/>
      <c r="I741" s="811"/>
      <c r="J741" s="811"/>
      <c r="K741" s="810"/>
      <c r="L741" s="810"/>
      <c r="M741" s="810"/>
      <c r="N741" s="810"/>
      <c r="O741" s="1188">
        <f>CQ636</f>
        <v>57</v>
      </c>
      <c r="P741" s="1188"/>
      <c r="Q741" s="1188"/>
      <c r="R741" s="1188"/>
      <c r="S741" s="812"/>
      <c r="T741" s="812"/>
      <c r="U741" s="230" t="s">
        <v>1403</v>
      </c>
      <c r="V741" s="810"/>
      <c r="W741" s="810"/>
      <c r="X741" s="810"/>
      <c r="Y741" s="811"/>
      <c r="Z741" s="811"/>
      <c r="AA741" s="811"/>
      <c r="AB741" s="811"/>
      <c r="AC741" s="810"/>
      <c r="AD741" s="810"/>
      <c r="AE741" s="810"/>
      <c r="AF741" s="810"/>
      <c r="AG741" s="1253">
        <v>57</v>
      </c>
      <c r="AH741" s="1253"/>
      <c r="AI741" s="1253"/>
      <c r="AJ741" s="1253"/>
      <c r="AK741" s="37"/>
      <c r="AL741" s="37"/>
      <c r="AM741" s="37"/>
      <c r="BA741" s="37"/>
      <c r="BB741" s="37"/>
      <c r="BC741" s="37"/>
      <c r="BD741" s="37"/>
      <c r="BE741" s="37"/>
      <c r="BF741" s="37"/>
      <c r="BJ741" s="37"/>
      <c r="BK741" s="37"/>
      <c r="BL741" s="37"/>
      <c r="BM741" s="37"/>
      <c r="BN741" s="37"/>
      <c r="BO741" s="37"/>
      <c r="BP741" s="483" t="s">
        <v>913</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95" t="str">
        <f>IF(G738&lt;&gt;AG441,"! Total Low-Income Units in the Unit Mix Table above does not match the number of Total Low-Income Units on row #"&amp;TEXT(ROW(AG441),"#"),"")</f>
        <v/>
      </c>
      <c r="D742" s="1495"/>
      <c r="E742" s="1495"/>
      <c r="F742" s="1495"/>
      <c r="G742" s="1495"/>
      <c r="H742" s="1495"/>
      <c r="I742" s="1495"/>
      <c r="J742" s="1495"/>
      <c r="K742" s="1495"/>
      <c r="L742" s="1495"/>
      <c r="M742" s="1495"/>
      <c r="N742" s="1495"/>
      <c r="O742" s="1495"/>
      <c r="P742" s="1495"/>
      <c r="Q742" s="1495"/>
      <c r="R742" s="1495"/>
      <c r="S742" s="1495"/>
      <c r="T742" s="1495"/>
      <c r="U742" s="1495"/>
      <c r="V742" s="1495"/>
      <c r="W742" s="1495"/>
      <c r="X742" s="1495"/>
      <c r="Y742" s="1495"/>
      <c r="Z742" s="1495"/>
      <c r="AA742" s="1495"/>
      <c r="AB742" s="1495"/>
      <c r="AC742" s="1495"/>
      <c r="AD742" s="1495"/>
      <c r="AE742" s="1495"/>
      <c r="AF742" s="1495"/>
      <c r="AG742" s="1495"/>
      <c r="AH742" s="1495"/>
      <c r="AI742" s="1495"/>
      <c r="AJ742" s="1495"/>
      <c r="AK742" s="1495"/>
      <c r="AL742" s="1495"/>
      <c r="AM742" s="1495"/>
      <c r="AN742" s="1495"/>
      <c r="BA742" s="37"/>
      <c r="BB742" s="37"/>
      <c r="BC742" s="37"/>
      <c r="BD742" s="37"/>
      <c r="BE742" s="37"/>
      <c r="BF742" s="37"/>
      <c r="BJ742" s="37"/>
      <c r="BK742" s="37"/>
      <c r="BL742" s="37"/>
      <c r="BM742" s="37"/>
      <c r="BN742" s="37"/>
      <c r="BO742" s="37"/>
      <c r="BP742" s="483" t="s">
        <v>916</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95"/>
      <c r="D743" s="1495"/>
      <c r="E743" s="1495"/>
      <c r="F743" s="1495"/>
      <c r="G743" s="1495"/>
      <c r="H743" s="1495"/>
      <c r="I743" s="1495"/>
      <c r="J743" s="1495"/>
      <c r="K743" s="1495"/>
      <c r="L743" s="1495"/>
      <c r="M743" s="1495"/>
      <c r="N743" s="1495"/>
      <c r="O743" s="1495"/>
      <c r="P743" s="1495"/>
      <c r="Q743" s="1495"/>
      <c r="R743" s="1495"/>
      <c r="S743" s="1495"/>
      <c r="T743" s="1495"/>
      <c r="U743" s="1495"/>
      <c r="V743" s="1495"/>
      <c r="W743" s="1495"/>
      <c r="X743" s="1495"/>
      <c r="Y743" s="1495"/>
      <c r="Z743" s="1495"/>
      <c r="AA743" s="1495"/>
      <c r="AB743" s="1495"/>
      <c r="AC743" s="1495"/>
      <c r="AD743" s="1495"/>
      <c r="AE743" s="1495"/>
      <c r="AF743" s="1495"/>
      <c r="AG743" s="1495"/>
      <c r="AH743" s="1495"/>
      <c r="AI743" s="1495"/>
      <c r="AJ743" s="1495"/>
      <c r="AK743" s="1495"/>
      <c r="AL743" s="1495"/>
      <c r="AM743" s="1495"/>
      <c r="AN743" s="1495"/>
      <c r="BA743" s="37"/>
      <c r="BB743" s="37"/>
      <c r="BC743" s="37"/>
      <c r="BD743" s="37"/>
      <c r="BE743" s="37"/>
      <c r="BF743" s="37"/>
      <c r="BJ743" s="37"/>
      <c r="BK743" s="37"/>
      <c r="BL743" s="37"/>
      <c r="BM743" s="37"/>
      <c r="BN743" s="37"/>
      <c r="BO743" s="37"/>
      <c r="BP743" s="483" t="s">
        <v>921</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1404</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89" t="s">
        <v>326</v>
      </c>
      <c r="AA744" s="1889"/>
      <c r="AB744" s="1889"/>
      <c r="AF744" s="293"/>
      <c r="AG744" s="306"/>
      <c r="AH744" s="306"/>
      <c r="AL744" s="37"/>
      <c r="AM744" s="37"/>
      <c r="BA744" s="37"/>
      <c r="BB744" s="37"/>
      <c r="BC744" s="37"/>
      <c r="BD744" s="37"/>
      <c r="BE744" s="37"/>
      <c r="BF744" s="37"/>
      <c r="BJ744" s="37"/>
      <c r="BK744" s="37"/>
      <c r="BL744" s="37"/>
      <c r="BM744" s="37"/>
      <c r="BN744" s="37"/>
      <c r="BO744" s="37"/>
      <c r="BP744" s="483" t="s">
        <v>926</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1405</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929</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934</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828</v>
      </c>
      <c r="B747" s="55"/>
      <c r="C747" s="56" t="s">
        <v>1406</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938</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1407</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941</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946</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948</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950</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956</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960</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33" t="s">
        <v>1382</v>
      </c>
      <c r="K756" s="1234"/>
      <c r="L756" s="1234"/>
      <c r="M756" s="1234"/>
      <c r="N756" s="1235"/>
      <c r="O756" s="1220" t="s">
        <v>1383</v>
      </c>
      <c r="P756" s="1220"/>
      <c r="Q756" s="1220"/>
      <c r="R756" s="1220"/>
      <c r="S756" s="1220"/>
      <c r="T756" s="1399" t="s">
        <v>1384</v>
      </c>
      <c r="U756" s="1400"/>
      <c r="V756" s="1400"/>
      <c r="W756" s="1401"/>
      <c r="X756" s="1233" t="s">
        <v>1385</v>
      </c>
      <c r="Y756" s="1234"/>
      <c r="Z756" s="1234"/>
      <c r="AA756" s="1234"/>
      <c r="AB756" s="1235"/>
      <c r="AC756" s="1233" t="s">
        <v>1386</v>
      </c>
      <c r="AD756" s="1234"/>
      <c r="AE756" s="1234"/>
      <c r="AF756" s="1234"/>
      <c r="AG756" s="1235"/>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36"/>
      <c r="K757" s="1237"/>
      <c r="L757" s="1237"/>
      <c r="M757" s="1237"/>
      <c r="N757" s="1238"/>
      <c r="O757" s="1220"/>
      <c r="P757" s="1220"/>
      <c r="Q757" s="1220"/>
      <c r="R757" s="1220"/>
      <c r="S757" s="1220"/>
      <c r="T757" s="1402"/>
      <c r="U757" s="1403"/>
      <c r="V757" s="1403"/>
      <c r="W757" s="1404"/>
      <c r="X757" s="1236"/>
      <c r="Y757" s="1237"/>
      <c r="Z757" s="1237"/>
      <c r="AA757" s="1237"/>
      <c r="AB757" s="1238"/>
      <c r="AC757" s="1236"/>
      <c r="AD757" s="1237"/>
      <c r="AE757" s="1237"/>
      <c r="AF757" s="1237"/>
      <c r="AG757" s="1238"/>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36"/>
      <c r="K758" s="1237"/>
      <c r="L758" s="1237"/>
      <c r="M758" s="1237"/>
      <c r="N758" s="1238"/>
      <c r="O758" s="1220"/>
      <c r="P758" s="1220"/>
      <c r="Q758" s="1220"/>
      <c r="R758" s="1220"/>
      <c r="S758" s="1220"/>
      <c r="T758" s="1402"/>
      <c r="U758" s="1403"/>
      <c r="V758" s="1403"/>
      <c r="W758" s="1404"/>
      <c r="X758" s="1236"/>
      <c r="Y758" s="1237"/>
      <c r="Z758" s="1237"/>
      <c r="AA758" s="1237"/>
      <c r="AB758" s="1238"/>
      <c r="AC758" s="1236"/>
      <c r="AD758" s="1237"/>
      <c r="AE758" s="1237"/>
      <c r="AF758" s="1237"/>
      <c r="AG758" s="1238"/>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39"/>
      <c r="K759" s="1240"/>
      <c r="L759" s="1240"/>
      <c r="M759" s="1240"/>
      <c r="N759" s="1241"/>
      <c r="O759" s="1220"/>
      <c r="P759" s="1220"/>
      <c r="Q759" s="1220"/>
      <c r="R759" s="1220"/>
      <c r="S759" s="1220"/>
      <c r="T759" s="1446"/>
      <c r="U759" s="1447"/>
      <c r="V759" s="1447"/>
      <c r="W759" s="1448"/>
      <c r="X759" s="1239"/>
      <c r="Y759" s="1240"/>
      <c r="Z759" s="1240"/>
      <c r="AA759" s="1240"/>
      <c r="AB759" s="1241"/>
      <c r="AC759" s="1239"/>
      <c r="AD759" s="1240"/>
      <c r="AE759" s="1240"/>
      <c r="AF759" s="1240"/>
      <c r="AG759" s="1241"/>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40" t="s">
        <v>1343</v>
      </c>
      <c r="K760" s="1041"/>
      <c r="L760" s="1041"/>
      <c r="M760" s="1041"/>
      <c r="N760" s="1042"/>
      <c r="O760" s="1186">
        <v>1</v>
      </c>
      <c r="P760" s="1186"/>
      <c r="Q760" s="1186"/>
      <c r="R760" s="1186"/>
      <c r="S760" s="1186"/>
      <c r="T760" s="1046">
        <v>786</v>
      </c>
      <c r="U760" s="1047"/>
      <c r="V760" s="1047"/>
      <c r="W760" s="1048"/>
      <c r="X760" s="1049"/>
      <c r="Y760" s="1050"/>
      <c r="Z760" s="1050"/>
      <c r="AA760" s="1050"/>
      <c r="AB760" s="1051"/>
      <c r="AC760" s="1052">
        <f>X760*O760</f>
        <v>0</v>
      </c>
      <c r="AD760" s="1053"/>
      <c r="AE760" s="1053"/>
      <c r="AF760" s="1053"/>
      <c r="AG760" s="1054"/>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40"/>
      <c r="K761" s="1041"/>
      <c r="L761" s="1041"/>
      <c r="M761" s="1041"/>
      <c r="N761" s="1042"/>
      <c r="O761" s="1186"/>
      <c r="P761" s="1186"/>
      <c r="Q761" s="1186"/>
      <c r="R761" s="1186"/>
      <c r="S761" s="1186"/>
      <c r="T761" s="1046"/>
      <c r="U761" s="1047"/>
      <c r="V761" s="1047"/>
      <c r="W761" s="1048"/>
      <c r="X761" s="1049"/>
      <c r="Y761" s="1050"/>
      <c r="Z761" s="1050"/>
      <c r="AA761" s="1050"/>
      <c r="AB761" s="1051"/>
      <c r="AC761" s="1052">
        <f>X761*O761</f>
        <v>0</v>
      </c>
      <c r="AD761" s="1053"/>
      <c r="AE761" s="1053"/>
      <c r="AF761" s="1053"/>
      <c r="AG761" s="1054"/>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40"/>
      <c r="K762" s="1041"/>
      <c r="L762" s="1041"/>
      <c r="M762" s="1041"/>
      <c r="N762" s="1042"/>
      <c r="O762" s="1186"/>
      <c r="P762" s="1186"/>
      <c r="Q762" s="1186"/>
      <c r="R762" s="1186"/>
      <c r="S762" s="1186"/>
      <c r="T762" s="1046"/>
      <c r="U762" s="1047"/>
      <c r="V762" s="1047"/>
      <c r="W762" s="1048"/>
      <c r="X762" s="1049"/>
      <c r="Y762" s="1050"/>
      <c r="Z762" s="1050"/>
      <c r="AA762" s="1050"/>
      <c r="AB762" s="1051"/>
      <c r="AC762" s="1052">
        <f>X762*O762</f>
        <v>0</v>
      </c>
      <c r="AD762" s="1053"/>
      <c r="AE762" s="1053"/>
      <c r="AF762" s="1053"/>
      <c r="AG762" s="105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40"/>
      <c r="K763" s="1041"/>
      <c r="L763" s="1041"/>
      <c r="M763" s="1041"/>
      <c r="N763" s="1042"/>
      <c r="O763" s="1186"/>
      <c r="P763" s="1186"/>
      <c r="Q763" s="1186"/>
      <c r="R763" s="1186"/>
      <c r="S763" s="1186"/>
      <c r="T763" s="1046"/>
      <c r="U763" s="1047"/>
      <c r="V763" s="1047"/>
      <c r="W763" s="1048"/>
      <c r="X763" s="1049"/>
      <c r="Y763" s="1050"/>
      <c r="Z763" s="1050"/>
      <c r="AA763" s="1050"/>
      <c r="AB763" s="1051"/>
      <c r="AC763" s="1052">
        <f>X763*O763</f>
        <v>0</v>
      </c>
      <c r="AD763" s="1053"/>
      <c r="AE763" s="1053"/>
      <c r="AF763" s="1053"/>
      <c r="AG763" s="1054"/>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7" t="s">
        <v>1397</v>
      </c>
      <c r="K764" s="1078"/>
      <c r="L764" s="1078"/>
      <c r="M764" s="1078"/>
      <c r="N764" s="1080"/>
      <c r="O764" s="1034">
        <f>SUM(O760:S763)</f>
        <v>1</v>
      </c>
      <c r="P764" s="1035"/>
      <c r="Q764" s="1035"/>
      <c r="R764" s="1035"/>
      <c r="S764" s="1037"/>
      <c r="X764" s="1077" t="s">
        <v>1398</v>
      </c>
      <c r="Y764" s="1078"/>
      <c r="Z764" s="1078"/>
      <c r="AA764" s="1078"/>
      <c r="AB764" s="1080"/>
      <c r="AC764" s="1052">
        <f>SUM(AC760:AG763)</f>
        <v>0</v>
      </c>
      <c r="AD764" s="1053"/>
      <c r="AE764" s="1053"/>
      <c r="AF764" s="1053"/>
      <c r="AG764" s="1054"/>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3" t="s">
        <v>708</v>
      </c>
      <c r="K766" s="1063"/>
      <c r="L766" s="55"/>
      <c r="M766" s="342" t="s">
        <v>1408</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1409</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908</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33" t="s">
        <v>1382</v>
      </c>
      <c r="K770" s="1234"/>
      <c r="L770" s="1234"/>
      <c r="M770" s="1234"/>
      <c r="N770" s="1235"/>
      <c r="O770" s="1220" t="s">
        <v>1383</v>
      </c>
      <c r="P770" s="1220"/>
      <c r="Q770" s="1220"/>
      <c r="R770" s="1220"/>
      <c r="S770" s="1220"/>
      <c r="T770" s="1399" t="s">
        <v>1384</v>
      </c>
      <c r="U770" s="1400"/>
      <c r="V770" s="1400"/>
      <c r="W770" s="1401"/>
      <c r="X770" s="1233" t="s">
        <v>1385</v>
      </c>
      <c r="Y770" s="1234"/>
      <c r="Z770" s="1234"/>
      <c r="AA770" s="1234"/>
      <c r="AB770" s="1235"/>
      <c r="AC770" s="1233" t="s">
        <v>1386</v>
      </c>
      <c r="AD770" s="1234"/>
      <c r="AE770" s="1234"/>
      <c r="AF770" s="1234"/>
      <c r="AG770" s="1235"/>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36"/>
      <c r="K771" s="1237"/>
      <c r="L771" s="1237"/>
      <c r="M771" s="1237"/>
      <c r="N771" s="1238"/>
      <c r="O771" s="1220"/>
      <c r="P771" s="1220"/>
      <c r="Q771" s="1220"/>
      <c r="R771" s="1220"/>
      <c r="S771" s="1220"/>
      <c r="T771" s="1402"/>
      <c r="U771" s="1403"/>
      <c r="V771" s="1403"/>
      <c r="W771" s="1404"/>
      <c r="X771" s="1236"/>
      <c r="Y771" s="1237"/>
      <c r="Z771" s="1237"/>
      <c r="AA771" s="1237"/>
      <c r="AB771" s="1238"/>
      <c r="AC771" s="1236"/>
      <c r="AD771" s="1237"/>
      <c r="AE771" s="1237"/>
      <c r="AF771" s="1237"/>
      <c r="AG771" s="1238"/>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36"/>
      <c r="K772" s="1237"/>
      <c r="L772" s="1237"/>
      <c r="M772" s="1237"/>
      <c r="N772" s="1238"/>
      <c r="O772" s="1220"/>
      <c r="P772" s="1220"/>
      <c r="Q772" s="1220"/>
      <c r="R772" s="1220"/>
      <c r="S772" s="1220"/>
      <c r="T772" s="1402"/>
      <c r="U772" s="1403"/>
      <c r="V772" s="1403"/>
      <c r="W772" s="1404"/>
      <c r="X772" s="1236"/>
      <c r="Y772" s="1237"/>
      <c r="Z772" s="1237"/>
      <c r="AA772" s="1237"/>
      <c r="AB772" s="1238"/>
      <c r="AC772" s="1236"/>
      <c r="AD772" s="1237"/>
      <c r="AE772" s="1237"/>
      <c r="AF772" s="1237"/>
      <c r="AG772" s="123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39"/>
      <c r="K773" s="1240"/>
      <c r="L773" s="1240"/>
      <c r="M773" s="1240"/>
      <c r="N773" s="1241"/>
      <c r="O773" s="1220"/>
      <c r="P773" s="1220"/>
      <c r="Q773" s="1220"/>
      <c r="R773" s="1220"/>
      <c r="S773" s="1220"/>
      <c r="T773" s="1446"/>
      <c r="U773" s="1447"/>
      <c r="V773" s="1447"/>
      <c r="W773" s="1448"/>
      <c r="X773" s="1239"/>
      <c r="Y773" s="1240"/>
      <c r="Z773" s="1240"/>
      <c r="AA773" s="1240"/>
      <c r="AB773" s="1241"/>
      <c r="AC773" s="1239"/>
      <c r="AD773" s="1240"/>
      <c r="AE773" s="1240"/>
      <c r="AF773" s="1240"/>
      <c r="AG773" s="1241"/>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40"/>
      <c r="K774" s="1041"/>
      <c r="L774" s="1041"/>
      <c r="M774" s="1041"/>
      <c r="N774" s="1042"/>
      <c r="O774" s="1186"/>
      <c r="P774" s="1186"/>
      <c r="Q774" s="1186"/>
      <c r="R774" s="1186"/>
      <c r="S774" s="1186"/>
      <c r="T774" s="1046"/>
      <c r="U774" s="1047"/>
      <c r="V774" s="1047"/>
      <c r="W774" s="1048"/>
      <c r="X774" s="1049"/>
      <c r="Y774" s="1050"/>
      <c r="Z774" s="1050"/>
      <c r="AA774" s="1050"/>
      <c r="AB774" s="1051"/>
      <c r="AC774" s="1052">
        <f t="shared" ref="AC774:AC783" si="54">X774*O774</f>
        <v>0</v>
      </c>
      <c r="AD774" s="1053"/>
      <c r="AE774" s="1053"/>
      <c r="AF774" s="1053"/>
      <c r="AG774" s="1054"/>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40"/>
      <c r="K775" s="1041"/>
      <c r="L775" s="1041"/>
      <c r="M775" s="1041"/>
      <c r="N775" s="1042"/>
      <c r="O775" s="1186"/>
      <c r="P775" s="1186"/>
      <c r="Q775" s="1186"/>
      <c r="R775" s="1186"/>
      <c r="S775" s="1186"/>
      <c r="T775" s="1046"/>
      <c r="U775" s="1047"/>
      <c r="V775" s="1047"/>
      <c r="W775" s="1048"/>
      <c r="X775" s="1049"/>
      <c r="Y775" s="1050"/>
      <c r="Z775" s="1050"/>
      <c r="AA775" s="1050"/>
      <c r="AB775" s="1051"/>
      <c r="AC775" s="1052">
        <f t="shared" si="54"/>
        <v>0</v>
      </c>
      <c r="AD775" s="1053"/>
      <c r="AE775" s="1053"/>
      <c r="AF775" s="1053"/>
      <c r="AG775" s="1054"/>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40"/>
      <c r="K776" s="1041"/>
      <c r="L776" s="1041"/>
      <c r="M776" s="1041"/>
      <c r="N776" s="1042"/>
      <c r="O776" s="1186"/>
      <c r="P776" s="1186"/>
      <c r="Q776" s="1186"/>
      <c r="R776" s="1186"/>
      <c r="S776" s="1186"/>
      <c r="T776" s="1046"/>
      <c r="U776" s="1047"/>
      <c r="V776" s="1047"/>
      <c r="W776" s="1048"/>
      <c r="X776" s="1049"/>
      <c r="Y776" s="1050"/>
      <c r="Z776" s="1050"/>
      <c r="AA776" s="1050"/>
      <c r="AB776" s="1051"/>
      <c r="AC776" s="1052">
        <f t="shared" si="54"/>
        <v>0</v>
      </c>
      <c r="AD776" s="1053"/>
      <c r="AE776" s="1053"/>
      <c r="AF776" s="1053"/>
      <c r="AG776" s="1054"/>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40"/>
      <c r="K777" s="1041"/>
      <c r="L777" s="1041"/>
      <c r="M777" s="1041"/>
      <c r="N777" s="1042"/>
      <c r="O777" s="1186"/>
      <c r="P777" s="1186"/>
      <c r="Q777" s="1186"/>
      <c r="R777" s="1186"/>
      <c r="S777" s="1186"/>
      <c r="T777" s="1046"/>
      <c r="U777" s="1047"/>
      <c r="V777" s="1047"/>
      <c r="W777" s="1048"/>
      <c r="X777" s="1049"/>
      <c r="Y777" s="1050"/>
      <c r="Z777" s="1050"/>
      <c r="AA777" s="1050"/>
      <c r="AB777" s="1051"/>
      <c r="AC777" s="1052">
        <f t="shared" si="54"/>
        <v>0</v>
      </c>
      <c r="AD777" s="1053"/>
      <c r="AE777" s="1053"/>
      <c r="AF777" s="1053"/>
      <c r="AG777" s="1054"/>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40"/>
      <c r="K778" s="1041"/>
      <c r="L778" s="1041"/>
      <c r="M778" s="1041"/>
      <c r="N778" s="1042"/>
      <c r="O778" s="1186"/>
      <c r="P778" s="1186"/>
      <c r="Q778" s="1186"/>
      <c r="R778" s="1186"/>
      <c r="S778" s="1186"/>
      <c r="T778" s="1046"/>
      <c r="U778" s="1047"/>
      <c r="V778" s="1047"/>
      <c r="W778" s="1048"/>
      <c r="X778" s="1049"/>
      <c r="Y778" s="1050"/>
      <c r="Z778" s="1050"/>
      <c r="AA778" s="1050"/>
      <c r="AB778" s="1051"/>
      <c r="AC778" s="1052">
        <f t="shared" si="54"/>
        <v>0</v>
      </c>
      <c r="AD778" s="1053"/>
      <c r="AE778" s="1053"/>
      <c r="AF778" s="1053"/>
      <c r="AG778" s="1054"/>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40"/>
      <c r="K779" s="1041"/>
      <c r="L779" s="1041"/>
      <c r="M779" s="1041"/>
      <c r="N779" s="1042"/>
      <c r="O779" s="1186"/>
      <c r="P779" s="1186"/>
      <c r="Q779" s="1186"/>
      <c r="R779" s="1186"/>
      <c r="S779" s="1186"/>
      <c r="T779" s="1046"/>
      <c r="U779" s="1047"/>
      <c r="V779" s="1047"/>
      <c r="W779" s="1048"/>
      <c r="X779" s="1049"/>
      <c r="Y779" s="1050"/>
      <c r="Z779" s="1050"/>
      <c r="AA779" s="1050"/>
      <c r="AB779" s="1051"/>
      <c r="AC779" s="1052">
        <f t="shared" si="54"/>
        <v>0</v>
      </c>
      <c r="AD779" s="1053"/>
      <c r="AE779" s="1053"/>
      <c r="AF779" s="1053"/>
      <c r="AG779" s="105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40"/>
      <c r="K780" s="1041"/>
      <c r="L780" s="1041"/>
      <c r="M780" s="1041"/>
      <c r="N780" s="1042"/>
      <c r="O780" s="1186"/>
      <c r="P780" s="1186"/>
      <c r="Q780" s="1186"/>
      <c r="R780" s="1186"/>
      <c r="S780" s="1186"/>
      <c r="T780" s="1046"/>
      <c r="U780" s="1047"/>
      <c r="V780" s="1047"/>
      <c r="W780" s="1048"/>
      <c r="X780" s="1049"/>
      <c r="Y780" s="1050"/>
      <c r="Z780" s="1050"/>
      <c r="AA780" s="1050"/>
      <c r="AB780" s="1051"/>
      <c r="AC780" s="1052">
        <f t="shared" si="54"/>
        <v>0</v>
      </c>
      <c r="AD780" s="1053"/>
      <c r="AE780" s="1053"/>
      <c r="AF780" s="1053"/>
      <c r="AG780" s="105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40"/>
      <c r="K781" s="1041"/>
      <c r="L781" s="1041"/>
      <c r="M781" s="1041"/>
      <c r="N781" s="1042"/>
      <c r="O781" s="1186"/>
      <c r="P781" s="1186"/>
      <c r="Q781" s="1186"/>
      <c r="R781" s="1186"/>
      <c r="S781" s="1186"/>
      <c r="T781" s="1046"/>
      <c r="U781" s="1047"/>
      <c r="V781" s="1047"/>
      <c r="W781" s="1048"/>
      <c r="X781" s="1049"/>
      <c r="Y781" s="1050"/>
      <c r="Z781" s="1050"/>
      <c r="AA781" s="1050"/>
      <c r="AB781" s="1051"/>
      <c r="AC781" s="1052">
        <f t="shared" si="54"/>
        <v>0</v>
      </c>
      <c r="AD781" s="1053"/>
      <c r="AE781" s="1053"/>
      <c r="AF781" s="1053"/>
      <c r="AG781" s="1054"/>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40"/>
      <c r="K782" s="1041"/>
      <c r="L782" s="1041"/>
      <c r="M782" s="1041"/>
      <c r="N782" s="1042"/>
      <c r="O782" s="1186"/>
      <c r="P782" s="1186"/>
      <c r="Q782" s="1186"/>
      <c r="R782" s="1186"/>
      <c r="S782" s="1186"/>
      <c r="T782" s="1046"/>
      <c r="U782" s="1047"/>
      <c r="V782" s="1047"/>
      <c r="W782" s="1048"/>
      <c r="X782" s="1049"/>
      <c r="Y782" s="1050"/>
      <c r="Z782" s="1050"/>
      <c r="AA782" s="1050"/>
      <c r="AB782" s="1051"/>
      <c r="AC782" s="1052">
        <f t="shared" si="54"/>
        <v>0</v>
      </c>
      <c r="AD782" s="1053"/>
      <c r="AE782" s="1053"/>
      <c r="AF782" s="1053"/>
      <c r="AG782" s="1054"/>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40"/>
      <c r="K783" s="1041"/>
      <c r="L783" s="1041"/>
      <c r="M783" s="1041"/>
      <c r="N783" s="1042"/>
      <c r="O783" s="1186"/>
      <c r="P783" s="1186"/>
      <c r="Q783" s="1186"/>
      <c r="R783" s="1186"/>
      <c r="S783" s="1186"/>
      <c r="T783" s="1046"/>
      <c r="U783" s="1047"/>
      <c r="V783" s="1047"/>
      <c r="W783" s="1048"/>
      <c r="X783" s="1049"/>
      <c r="Y783" s="1050"/>
      <c r="Z783" s="1050"/>
      <c r="AA783" s="1050"/>
      <c r="AB783" s="1051"/>
      <c r="AC783" s="1052">
        <f t="shared" si="54"/>
        <v>0</v>
      </c>
      <c r="AD783" s="1053"/>
      <c r="AE783" s="1053"/>
      <c r="AF783" s="1053"/>
      <c r="AG783" s="1054"/>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7" t="s">
        <v>1397</v>
      </c>
      <c r="K784" s="1078"/>
      <c r="L784" s="1078"/>
      <c r="M784" s="1078"/>
      <c r="N784" s="1080"/>
      <c r="O784" s="1188">
        <f>SUM(O774:S783)</f>
        <v>0</v>
      </c>
      <c r="P784" s="1188"/>
      <c r="Q784" s="1188"/>
      <c r="R784" s="1188"/>
      <c r="S784" s="1188"/>
      <c r="X784" s="352" t="s">
        <v>1398</v>
      </c>
      <c r="Y784" s="144"/>
      <c r="Z784" s="144"/>
      <c r="AA784" s="144"/>
      <c r="AB784" s="734"/>
      <c r="AC784" s="1052">
        <f>SUM(AC774:AG783)</f>
        <v>0</v>
      </c>
      <c r="AD784" s="1053"/>
      <c r="AE784" s="1053"/>
      <c r="AF784" s="1053"/>
      <c r="AG784" s="1054"/>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95" t="str">
        <f>IF(O784&lt;&gt;AG439,"! Total market rate units in the Unit Mix Table above does not match the number of market rate units on row #"&amp;TEXT(ROW(AG439),"#"),"")</f>
        <v/>
      </c>
      <c r="D785" s="1495"/>
      <c r="E785" s="1495"/>
      <c r="F785" s="1495"/>
      <c r="G785" s="1495"/>
      <c r="H785" s="1495"/>
      <c r="I785" s="1495"/>
      <c r="J785" s="1495"/>
      <c r="K785" s="1495"/>
      <c r="L785" s="1495"/>
      <c r="M785" s="1495"/>
      <c r="N785" s="1495"/>
      <c r="O785" s="1495"/>
      <c r="P785" s="1495"/>
      <c r="Q785" s="1495"/>
      <c r="R785" s="1495"/>
      <c r="S785" s="1495"/>
      <c r="T785" s="1495"/>
      <c r="U785" s="1495"/>
      <c r="V785" s="1495"/>
      <c r="W785" s="1495"/>
      <c r="X785" s="1495"/>
      <c r="Y785" s="1495"/>
      <c r="Z785" s="1495"/>
      <c r="AA785" s="1495"/>
      <c r="AB785" s="1495"/>
      <c r="AC785" s="1495"/>
      <c r="AD785" s="1495"/>
      <c r="AE785" s="1495"/>
      <c r="AF785" s="1495"/>
      <c r="AG785" s="1495"/>
      <c r="AH785" s="1495"/>
      <c r="AI785" s="1495"/>
      <c r="AJ785" s="1495"/>
      <c r="AK785" s="1495"/>
      <c r="AL785" s="1495"/>
      <c r="AM785" s="1495"/>
      <c r="AN785" s="1495"/>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95"/>
      <c r="D786" s="1495"/>
      <c r="E786" s="1495"/>
      <c r="F786" s="1495"/>
      <c r="G786" s="1495"/>
      <c r="H786" s="1495"/>
      <c r="I786" s="1495"/>
      <c r="J786" s="1495"/>
      <c r="K786" s="1495"/>
      <c r="L786" s="1495"/>
      <c r="M786" s="1495"/>
      <c r="N786" s="1495"/>
      <c r="O786" s="1495"/>
      <c r="P786" s="1495"/>
      <c r="Q786" s="1495"/>
      <c r="R786" s="1495"/>
      <c r="S786" s="1495"/>
      <c r="T786" s="1495"/>
      <c r="U786" s="1495"/>
      <c r="V786" s="1495"/>
      <c r="W786" s="1495"/>
      <c r="X786" s="1495"/>
      <c r="Y786" s="1495"/>
      <c r="Z786" s="1495"/>
      <c r="AA786" s="1495"/>
      <c r="AB786" s="1495"/>
      <c r="AC786" s="1495"/>
      <c r="AD786" s="1495"/>
      <c r="AE786" s="1495"/>
      <c r="AF786" s="1495"/>
      <c r="AG786" s="1495"/>
      <c r="AH786" s="1495"/>
      <c r="AI786" s="1495"/>
      <c r="AJ786" s="1495"/>
      <c r="AK786" s="1495"/>
      <c r="AL786" s="1495"/>
      <c r="AM786" s="1495"/>
      <c r="AN786" s="1495"/>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1410</v>
      </c>
      <c r="Y787" s="1185">
        <f>T738+AC764+AC784</f>
        <v>60135</v>
      </c>
      <c r="Z787" s="1185"/>
      <c r="AA787" s="1185"/>
      <c r="AB787" s="1185"/>
      <c r="AC787" s="1185"/>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1411</v>
      </c>
      <c r="Y788" s="1185">
        <f>(T738+AC764+AC784)*12</f>
        <v>721620</v>
      </c>
      <c r="Z788" s="1185"/>
      <c r="AA788" s="1185"/>
      <c r="AB788" s="1185"/>
      <c r="AC788" s="1185"/>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930</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1412</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1413</v>
      </c>
      <c r="I793" s="9"/>
      <c r="J793" s="9"/>
      <c r="K793" s="9"/>
      <c r="L793" s="9"/>
      <c r="M793" s="9"/>
      <c r="N793" s="9"/>
      <c r="O793" s="9"/>
      <c r="P793" s="9"/>
      <c r="Q793" s="9"/>
      <c r="R793" s="9"/>
      <c r="S793" s="9"/>
      <c r="T793" s="9"/>
      <c r="U793" s="9"/>
      <c r="V793" s="9"/>
      <c r="W793" s="9"/>
      <c r="X793" s="9"/>
      <c r="Y793" s="9"/>
      <c r="Z793" s="1161">
        <v>57</v>
      </c>
      <c r="AA793" s="1162"/>
      <c r="AB793" s="1162"/>
      <c r="AC793" s="1162"/>
      <c r="AD793" s="1162"/>
      <c r="AE793" s="116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1414</v>
      </c>
      <c r="I794" s="9"/>
      <c r="J794" s="9"/>
      <c r="K794" s="9"/>
      <c r="L794" s="9"/>
      <c r="M794" s="9"/>
      <c r="N794" s="9"/>
      <c r="O794" s="9"/>
      <c r="P794" s="9"/>
      <c r="Q794" s="9"/>
      <c r="R794" s="9"/>
      <c r="S794" s="9"/>
      <c r="T794" s="9"/>
      <c r="U794" s="9"/>
      <c r="V794" s="9"/>
      <c r="W794" s="9"/>
      <c r="X794" s="9"/>
      <c r="Y794" s="9"/>
      <c r="Z794" s="1387">
        <v>20</v>
      </c>
      <c r="AA794" s="1162"/>
      <c r="AB794" s="1162"/>
      <c r="AC794" s="1162"/>
      <c r="AD794" s="1162"/>
      <c r="AE794" s="116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1415</v>
      </c>
      <c r="I795" s="9"/>
      <c r="J795" s="9"/>
      <c r="K795" s="9"/>
      <c r="L795" s="9"/>
      <c r="M795" s="9"/>
      <c r="N795" s="9"/>
      <c r="O795" s="9"/>
      <c r="P795" s="9"/>
      <c r="Q795" s="9"/>
      <c r="R795" s="9"/>
      <c r="S795" s="9"/>
      <c r="T795" s="9"/>
      <c r="U795" s="9"/>
      <c r="V795" s="9"/>
      <c r="W795" s="9"/>
      <c r="X795" s="9"/>
      <c r="Y795" s="9"/>
      <c r="Z795" s="1393">
        <v>54058</v>
      </c>
      <c r="AA795" s="1213"/>
      <c r="AB795" s="1213"/>
      <c r="AC795" s="1213"/>
      <c r="AD795" s="1213"/>
      <c r="AE795" s="121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1416</v>
      </c>
      <c r="Z796" s="1182">
        <f>'Subsidy Contract Calculation'!I40</f>
        <v>1071144</v>
      </c>
      <c r="AA796" s="1183"/>
      <c r="AB796" s="1183"/>
      <c r="AC796" s="1183"/>
      <c r="AD796" s="1183"/>
      <c r="AE796" s="118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942</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1417</v>
      </c>
      <c r="I800" s="9"/>
      <c r="J800" s="9"/>
      <c r="K800" s="9"/>
      <c r="L800" s="9"/>
      <c r="M800" s="9"/>
      <c r="N800" s="9"/>
      <c r="O800" s="9"/>
      <c r="P800" s="9"/>
      <c r="Q800" s="9"/>
      <c r="R800" s="9"/>
      <c r="S800" s="9"/>
      <c r="T800" s="9"/>
      <c r="U800" s="9"/>
      <c r="V800" s="9"/>
      <c r="W800" s="9"/>
      <c r="X800" s="9"/>
      <c r="Y800" s="9"/>
      <c r="Z800" s="1176">
        <v>14832</v>
      </c>
      <c r="AA800" s="1177"/>
      <c r="AB800" s="1177"/>
      <c r="AC800" s="1177"/>
      <c r="AD800" s="1177"/>
      <c r="AE800" s="1178"/>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1418</v>
      </c>
      <c r="I801" s="9"/>
      <c r="J801" s="9"/>
      <c r="K801" s="9"/>
      <c r="L801" s="9"/>
      <c r="M801" s="9"/>
      <c r="N801" s="9"/>
      <c r="O801" s="9"/>
      <c r="P801" s="9"/>
      <c r="Q801" s="9"/>
      <c r="R801" s="9"/>
      <c r="S801" s="9"/>
      <c r="T801" s="9"/>
      <c r="U801" s="9"/>
      <c r="V801" s="9"/>
      <c r="W801" s="9"/>
      <c r="X801" s="9"/>
      <c r="Y801" s="9"/>
      <c r="Z801" s="1176"/>
      <c r="AA801" s="1177"/>
      <c r="AB801" s="1177"/>
      <c r="AC801" s="1177"/>
      <c r="AD801" s="1177"/>
      <c r="AE801" s="117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1419</v>
      </c>
      <c r="I802" s="9"/>
      <c r="J802" s="9"/>
      <c r="K802" s="9"/>
      <c r="L802" s="9"/>
      <c r="M802" s="9"/>
      <c r="N802" s="9"/>
      <c r="O802" s="9"/>
      <c r="P802" s="9"/>
      <c r="Q802" s="9"/>
      <c r="R802" s="9"/>
      <c r="S802" s="9"/>
      <c r="T802" s="9"/>
      <c r="U802" s="9"/>
      <c r="V802" s="9"/>
      <c r="W802" s="9"/>
      <c r="X802" s="9"/>
      <c r="Y802" s="9"/>
      <c r="Z802" s="1176"/>
      <c r="AA802" s="1177"/>
      <c r="AB802" s="1177"/>
      <c r="AC802" s="1177"/>
      <c r="AD802" s="1177"/>
      <c r="AE802" s="117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1420</v>
      </c>
      <c r="I803" s="9"/>
      <c r="J803" s="9"/>
      <c r="K803" s="9"/>
      <c r="L803" s="9"/>
      <c r="M803" s="9"/>
      <c r="N803" s="9"/>
      <c r="O803" s="9"/>
      <c r="P803" s="1129" t="s">
        <v>1169</v>
      </c>
      <c r="Q803" s="1130"/>
      <c r="R803" s="1130"/>
      <c r="S803" s="1130"/>
      <c r="T803" s="1130"/>
      <c r="U803" s="1130"/>
      <c r="V803" s="1130"/>
      <c r="W803" s="1130"/>
      <c r="X803" s="1130"/>
      <c r="Y803" s="1131"/>
      <c r="Z803" s="1176"/>
      <c r="AA803" s="1177"/>
      <c r="AB803" s="1177"/>
      <c r="AC803" s="1177"/>
      <c r="AD803" s="1177"/>
      <c r="AE803" s="117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1421</v>
      </c>
      <c r="Z804" s="1172">
        <f>SUM(Z800:AE803)</f>
        <v>14832</v>
      </c>
      <c r="AA804" s="1173"/>
      <c r="AB804" s="1173"/>
      <c r="AC804" s="1173"/>
      <c r="AD804" s="1173"/>
      <c r="AE804" s="117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1422</v>
      </c>
      <c r="Z805" s="1172">
        <f>Z804+Y788+Z796</f>
        <v>1807596</v>
      </c>
      <c r="AA805" s="1173"/>
      <c r="AB805" s="1173"/>
      <c r="AC805" s="1173"/>
      <c r="AD805" s="1173"/>
      <c r="AE805" s="117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951</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1423</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39" t="s">
        <v>1424</v>
      </c>
      <c r="N810" s="1139"/>
      <c r="O810" s="1139"/>
      <c r="P810" s="1169"/>
      <c r="Q810" s="1171" t="s">
        <v>1425</v>
      </c>
      <c r="R810" s="1171"/>
      <c r="S810" s="1171"/>
      <c r="T810" s="1171"/>
      <c r="U810" s="1171" t="s">
        <v>1426</v>
      </c>
      <c r="V810" s="1171"/>
      <c r="W810" s="1171"/>
      <c r="X810" s="1171"/>
      <c r="Y810" s="1171" t="s">
        <v>1427</v>
      </c>
      <c r="Z810" s="1171"/>
      <c r="AA810" s="1171"/>
      <c r="AB810" s="1171"/>
      <c r="AC810" s="1171" t="s">
        <v>1428</v>
      </c>
      <c r="AD810" s="1171"/>
      <c r="AE810" s="1171"/>
      <c r="AF810" s="1171"/>
      <c r="AG810" s="1245" t="s">
        <v>1429</v>
      </c>
      <c r="AH810" s="1245"/>
      <c r="AI810" s="1245"/>
      <c r="AJ810" s="1245"/>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43"/>
      <c r="N811" s="1143"/>
      <c r="O811" s="1143"/>
      <c r="P811" s="1170"/>
      <c r="Q811" s="1171"/>
      <c r="R811" s="1171"/>
      <c r="S811" s="1171"/>
      <c r="T811" s="1171"/>
      <c r="U811" s="1171"/>
      <c r="V811" s="1171"/>
      <c r="W811" s="1171"/>
      <c r="X811" s="1171"/>
      <c r="Y811" s="1171"/>
      <c r="Z811" s="1171"/>
      <c r="AA811" s="1171"/>
      <c r="AB811" s="1171"/>
      <c r="AC811" s="1171"/>
      <c r="AD811" s="1171"/>
      <c r="AE811" s="1171"/>
      <c r="AF811" s="1171"/>
      <c r="AG811" s="1245"/>
      <c r="AH811" s="1245"/>
      <c r="AI811" s="1245"/>
      <c r="AJ811" s="1245"/>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79" t="s">
        <v>1430</v>
      </c>
      <c r="D812" s="1180"/>
      <c r="E812" s="1180"/>
      <c r="F812" s="1180"/>
      <c r="G812" s="1180"/>
      <c r="H812" s="1180"/>
      <c r="I812" s="47"/>
      <c r="J812" s="47"/>
      <c r="K812" s="47"/>
      <c r="L812" s="48"/>
      <c r="M812" s="1151">
        <v>0</v>
      </c>
      <c r="N812" s="1151"/>
      <c r="O812" s="1151"/>
      <c r="P812" s="1151"/>
      <c r="Q812" s="1151"/>
      <c r="R812" s="1151"/>
      <c r="S812" s="1151"/>
      <c r="T812" s="1151"/>
      <c r="U812" s="1151"/>
      <c r="V812" s="1151"/>
      <c r="W812" s="1151"/>
      <c r="X812" s="1151"/>
      <c r="Y812" s="1151"/>
      <c r="Z812" s="1151"/>
      <c r="AA812" s="1151"/>
      <c r="AB812" s="1151"/>
      <c r="AC812" s="1135"/>
      <c r="AD812" s="1136"/>
      <c r="AE812" s="1136"/>
      <c r="AF812" s="1137"/>
      <c r="AG812" s="1135"/>
      <c r="AH812" s="1136"/>
      <c r="AI812" s="1136"/>
      <c r="AJ812" s="11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52" t="s">
        <v>1431</v>
      </c>
      <c r="D813" s="1153"/>
      <c r="E813" s="1153"/>
      <c r="F813" s="1153"/>
      <c r="G813" s="1153"/>
      <c r="H813" s="1153"/>
      <c r="I813" s="9"/>
      <c r="J813" s="9"/>
      <c r="K813" s="9"/>
      <c r="L813" s="45"/>
      <c r="M813" s="1151">
        <v>0</v>
      </c>
      <c r="N813" s="1151"/>
      <c r="O813" s="1151"/>
      <c r="P813" s="1151"/>
      <c r="Q813" s="1151"/>
      <c r="R813" s="1151"/>
      <c r="S813" s="1151"/>
      <c r="T813" s="1151"/>
      <c r="U813" s="1151"/>
      <c r="V813" s="1151"/>
      <c r="W813" s="1151"/>
      <c r="X813" s="1151"/>
      <c r="Y813" s="1151"/>
      <c r="Z813" s="1151"/>
      <c r="AA813" s="1151"/>
      <c r="AB813" s="1151"/>
      <c r="AC813" s="1135"/>
      <c r="AD813" s="1136"/>
      <c r="AE813" s="1136"/>
      <c r="AF813" s="1137"/>
      <c r="AG813" s="1135"/>
      <c r="AH813" s="1136"/>
      <c r="AI813" s="1136"/>
      <c r="AJ813" s="11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52" t="s">
        <v>1432</v>
      </c>
      <c r="D814" s="1153"/>
      <c r="E814" s="1153"/>
      <c r="F814" s="1153"/>
      <c r="G814" s="1153"/>
      <c r="H814" s="1153"/>
      <c r="I814" s="59"/>
      <c r="J814" s="59"/>
      <c r="K814" s="59"/>
      <c r="L814" s="60"/>
      <c r="M814" s="1151">
        <v>0</v>
      </c>
      <c r="N814" s="1151"/>
      <c r="O814" s="1151"/>
      <c r="P814" s="1151"/>
      <c r="Q814" s="1151"/>
      <c r="R814" s="1151"/>
      <c r="S814" s="1151"/>
      <c r="T814" s="1151"/>
      <c r="U814" s="1151"/>
      <c r="V814" s="1151"/>
      <c r="W814" s="1151"/>
      <c r="X814" s="1151"/>
      <c r="Y814" s="1151"/>
      <c r="Z814" s="1151"/>
      <c r="AA814" s="1151"/>
      <c r="AB814" s="1151"/>
      <c r="AC814" s="1135"/>
      <c r="AD814" s="1136"/>
      <c r="AE814" s="1136"/>
      <c r="AF814" s="1137"/>
      <c r="AG814" s="1135"/>
      <c r="AH814" s="1136"/>
      <c r="AI814" s="1136"/>
      <c r="AJ814" s="11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52" t="s">
        <v>1433</v>
      </c>
      <c r="D815" s="1153"/>
      <c r="E815" s="1153"/>
      <c r="F815" s="1153"/>
      <c r="G815" s="1153"/>
      <c r="H815" s="1153"/>
      <c r="I815" s="59"/>
      <c r="J815" s="59"/>
      <c r="K815" s="59"/>
      <c r="L815" s="60"/>
      <c r="M815" s="1151">
        <v>0</v>
      </c>
      <c r="N815" s="1151"/>
      <c r="O815" s="1151"/>
      <c r="P815" s="1151"/>
      <c r="Q815" s="1151"/>
      <c r="R815" s="1151"/>
      <c r="S815" s="1151"/>
      <c r="T815" s="1151"/>
      <c r="U815" s="1151"/>
      <c r="V815" s="1151"/>
      <c r="W815" s="1151"/>
      <c r="X815" s="1151"/>
      <c r="Y815" s="1151"/>
      <c r="Z815" s="1151"/>
      <c r="AA815" s="1151"/>
      <c r="AB815" s="1151"/>
      <c r="AC815" s="1135"/>
      <c r="AD815" s="1136"/>
      <c r="AE815" s="1136"/>
      <c r="AF815" s="1137"/>
      <c r="AG815" s="1135"/>
      <c r="AH815" s="1136"/>
      <c r="AI815" s="1136"/>
      <c r="AJ815" s="11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52" t="s">
        <v>1434</v>
      </c>
      <c r="D816" s="1153"/>
      <c r="E816" s="1153"/>
      <c r="F816" s="1153"/>
      <c r="G816" s="1153"/>
      <c r="H816" s="1153"/>
      <c r="I816" s="59"/>
      <c r="J816" s="59"/>
      <c r="K816" s="59"/>
      <c r="L816" s="60"/>
      <c r="M816" s="1151">
        <v>0</v>
      </c>
      <c r="N816" s="1151"/>
      <c r="O816" s="1151"/>
      <c r="P816" s="1151"/>
      <c r="Q816" s="1151"/>
      <c r="R816" s="1151"/>
      <c r="S816" s="1151"/>
      <c r="T816" s="1151"/>
      <c r="U816" s="1151"/>
      <c r="V816" s="1151"/>
      <c r="W816" s="1151"/>
      <c r="X816" s="1151"/>
      <c r="Y816" s="1151"/>
      <c r="Z816" s="1151"/>
      <c r="AA816" s="1151"/>
      <c r="AB816" s="1151"/>
      <c r="AC816" s="1135"/>
      <c r="AD816" s="1136"/>
      <c r="AE816" s="1136"/>
      <c r="AF816" s="1137"/>
      <c r="AG816" s="1135"/>
      <c r="AH816" s="1136"/>
      <c r="AI816" s="1136"/>
      <c r="AJ816" s="11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54" t="s">
        <v>1435</v>
      </c>
      <c r="D817" s="1153"/>
      <c r="E817" s="1153"/>
      <c r="F817" s="1153"/>
      <c r="G817" s="1153"/>
      <c r="H817" s="1153"/>
      <c r="I817" s="59"/>
      <c r="J817" s="59"/>
      <c r="K817" s="59"/>
      <c r="L817" s="60"/>
      <c r="M817" s="1151">
        <v>0</v>
      </c>
      <c r="N817" s="1151"/>
      <c r="O817" s="1151"/>
      <c r="P817" s="1151"/>
      <c r="Q817" s="1151"/>
      <c r="R817" s="1151"/>
      <c r="S817" s="1151"/>
      <c r="T817" s="1151"/>
      <c r="U817" s="1151"/>
      <c r="V817" s="1151"/>
      <c r="W817" s="1151"/>
      <c r="X817" s="1151"/>
      <c r="Y817" s="1151"/>
      <c r="Z817" s="1151"/>
      <c r="AA817" s="1151"/>
      <c r="AB817" s="1151"/>
      <c r="AC817" s="1135"/>
      <c r="AD817" s="1136"/>
      <c r="AE817" s="1136"/>
      <c r="AF817" s="1137"/>
      <c r="AG817" s="1135"/>
      <c r="AH817" s="1136"/>
      <c r="AI817" s="1136"/>
      <c r="AJ817" s="11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1436</v>
      </c>
      <c r="D818" s="59"/>
      <c r="E818" s="59"/>
      <c r="F818" s="1129" t="s">
        <v>1169</v>
      </c>
      <c r="G818" s="1130"/>
      <c r="H818" s="1130"/>
      <c r="I818" s="1130"/>
      <c r="J818" s="1130"/>
      <c r="K818" s="1130"/>
      <c r="L818" s="1130"/>
      <c r="M818" s="1151"/>
      <c r="N818" s="1151"/>
      <c r="O818" s="1151"/>
      <c r="P818" s="1151"/>
      <c r="Q818" s="1151"/>
      <c r="R818" s="1151"/>
      <c r="S818" s="1151"/>
      <c r="T818" s="1151"/>
      <c r="U818" s="1151"/>
      <c r="V818" s="1151"/>
      <c r="W818" s="1151"/>
      <c r="X818" s="1151"/>
      <c r="Y818" s="1151"/>
      <c r="Z818" s="1151"/>
      <c r="AA818" s="1151"/>
      <c r="AB818" s="1151"/>
      <c r="AC818" s="1135"/>
      <c r="AD818" s="1136"/>
      <c r="AE818" s="1136"/>
      <c r="AF818" s="1137"/>
      <c r="AG818" s="1135"/>
      <c r="AH818" s="1136"/>
      <c r="AI818" s="1136"/>
      <c r="AJ818" s="113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7" t="s">
        <v>1398</v>
      </c>
      <c r="D819" s="1078"/>
      <c r="E819" s="1078"/>
      <c r="F819" s="1078"/>
      <c r="G819" s="1078"/>
      <c r="H819" s="1078"/>
      <c r="I819" s="1078"/>
      <c r="J819" s="1078"/>
      <c r="K819" s="1078"/>
      <c r="L819" s="1080"/>
      <c r="M819" s="1181">
        <f>SUM(M812:P818)</f>
        <v>0</v>
      </c>
      <c r="N819" s="1181"/>
      <c r="O819" s="1181"/>
      <c r="P819" s="1181"/>
      <c r="Q819" s="1181">
        <f>SUM(Q812:T818)</f>
        <v>0</v>
      </c>
      <c r="R819" s="1181"/>
      <c r="S819" s="1181"/>
      <c r="T819" s="1181"/>
      <c r="U819" s="1181">
        <f>SUM(U812:X818)</f>
        <v>0</v>
      </c>
      <c r="V819" s="1181"/>
      <c r="W819" s="1181"/>
      <c r="X819" s="1181"/>
      <c r="Y819" s="1181">
        <f>SUM(Y812:AB818)</f>
        <v>0</v>
      </c>
      <c r="Z819" s="1181"/>
      <c r="AA819" s="1181"/>
      <c r="AB819" s="1181"/>
      <c r="AC819" s="1181">
        <f>SUM(AC812:AF818)</f>
        <v>0</v>
      </c>
      <c r="AD819" s="1181"/>
      <c r="AE819" s="1181"/>
      <c r="AF819" s="1181"/>
      <c r="AG819" s="1181">
        <f>SUM(AG812:AJ818)</f>
        <v>0</v>
      </c>
      <c r="AH819" s="1181"/>
      <c r="AI819" s="1181"/>
      <c r="AJ819" s="1181"/>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1437</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1438</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1439</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90" t="s">
        <v>1024</v>
      </c>
      <c r="D824" s="1891"/>
      <c r="E824" s="1891"/>
      <c r="F824" s="1891"/>
      <c r="G824" s="1891"/>
      <c r="H824" s="1891"/>
      <c r="I824" s="1891"/>
      <c r="J824" s="1891"/>
      <c r="K824" s="1891"/>
      <c r="L824" s="1891"/>
      <c r="M824" s="1891"/>
      <c r="N824" s="1891"/>
      <c r="O824" s="1891"/>
      <c r="P824" s="1891"/>
      <c r="Q824" s="1891"/>
      <c r="R824" s="1891"/>
      <c r="S824" s="1891"/>
      <c r="T824" s="1891"/>
      <c r="U824" s="1891"/>
      <c r="V824" s="1891"/>
      <c r="W824" s="1891"/>
      <c r="X824" s="1891"/>
      <c r="Y824" s="1891"/>
      <c r="Z824" s="1891"/>
      <c r="AA824" s="1891"/>
      <c r="AB824" s="1891"/>
      <c r="AC824" s="1891"/>
      <c r="AD824" s="1891"/>
      <c r="AE824" s="1891"/>
      <c r="AF824" s="1891"/>
      <c r="AG824" s="1891"/>
      <c r="AH824" s="1891"/>
      <c r="AI824" s="1891"/>
      <c r="AJ824" s="1892"/>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1440</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972</v>
      </c>
      <c r="B827"/>
      <c r="C827" s="3" t="s">
        <v>1441</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1442</v>
      </c>
      <c r="AX827"/>
      <c r="BA827" s="1200" t="s">
        <v>1443</v>
      </c>
      <c r="BB827" s="120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1444</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1445</v>
      </c>
      <c r="D829"/>
      <c r="E829"/>
      <c r="F829"/>
      <c r="G829"/>
      <c r="H829"/>
      <c r="I829"/>
      <c r="J829" s="8" t="s">
        <v>1446</v>
      </c>
      <c r="K829" s="9"/>
      <c r="L829" s="9"/>
      <c r="M829" s="9"/>
      <c r="N829" s="9"/>
      <c r="O829" s="9"/>
      <c r="P829" s="9"/>
      <c r="Q829" s="9"/>
      <c r="R829" s="9"/>
      <c r="S829" s="9"/>
      <c r="T829" s="9"/>
      <c r="U829" s="9"/>
      <c r="V829" s="45"/>
      <c r="W829" s="1081">
        <v>1525</v>
      </c>
      <c r="X829" s="1081"/>
      <c r="Y829" s="1081"/>
      <c r="Z829" s="1081"/>
      <c r="AA829" s="1081"/>
      <c r="AB829" s="1081"/>
      <c r="AC829" s="1081"/>
      <c r="AD829"/>
      <c r="AE829"/>
      <c r="AF829"/>
      <c r="AG829"/>
      <c r="AH829"/>
      <c r="AI829"/>
      <c r="AJ829"/>
      <c r="AK829"/>
      <c r="AL829"/>
      <c r="AM829" s="37"/>
      <c r="AN829"/>
      <c r="AO829"/>
      <c r="AP829"/>
      <c r="AQ829"/>
      <c r="AR829"/>
      <c r="AS829"/>
      <c r="BA829" s="64" t="s">
        <v>1447</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1448</v>
      </c>
      <c r="K830" s="9"/>
      <c r="L830" s="9"/>
      <c r="M830" s="9"/>
      <c r="N830" s="9"/>
      <c r="O830" s="9"/>
      <c r="P830" s="9"/>
      <c r="Q830" s="9"/>
      <c r="R830" s="9"/>
      <c r="S830" s="9"/>
      <c r="T830" s="9"/>
      <c r="U830" s="9"/>
      <c r="V830" s="45"/>
      <c r="W830" s="1081">
        <v>6200</v>
      </c>
      <c r="X830" s="1081"/>
      <c r="Y830" s="1081"/>
      <c r="Z830" s="1081"/>
      <c r="AA830" s="1081"/>
      <c r="AB830" s="1081"/>
      <c r="AC830" s="1081"/>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1449</v>
      </c>
      <c r="K831" s="9"/>
      <c r="L831" s="9"/>
      <c r="M831" s="9"/>
      <c r="N831" s="9"/>
      <c r="O831" s="9"/>
      <c r="P831" s="9"/>
      <c r="Q831" s="9"/>
      <c r="R831" s="9"/>
      <c r="S831" s="9"/>
      <c r="T831" s="9"/>
      <c r="U831" s="9"/>
      <c r="V831" s="45"/>
      <c r="W831" s="1081">
        <v>21654</v>
      </c>
      <c r="X831" s="1081"/>
      <c r="Y831" s="1081"/>
      <c r="Z831" s="1081"/>
      <c r="AA831" s="1081"/>
      <c r="AB831" s="1081"/>
      <c r="AC831" s="1081"/>
      <c r="AD831"/>
      <c r="AE831"/>
      <c r="AF831"/>
      <c r="AG831"/>
      <c r="AH831"/>
      <c r="AI831"/>
      <c r="AJ831"/>
      <c r="AK831"/>
      <c r="AL831"/>
      <c r="AM831" s="34"/>
      <c r="AN831" s="34"/>
      <c r="BA831" s="64" t="s">
        <v>1443</v>
      </c>
      <c r="BC831" s="895"/>
      <c r="BD831" s="896"/>
      <c r="BE831" s="36"/>
      <c r="BF831" s="36"/>
      <c r="BG831" s="36"/>
    </row>
    <row r="832" spans="1:126" s="5" customFormat="1" ht="12.95" customHeight="1">
      <c r="A832"/>
      <c r="B832"/>
      <c r="C832"/>
      <c r="D832"/>
      <c r="E832"/>
      <c r="F832"/>
      <c r="G832"/>
      <c r="H832"/>
      <c r="I832"/>
      <c r="J832" s="8" t="s">
        <v>1450</v>
      </c>
      <c r="K832" s="9"/>
      <c r="L832" s="9"/>
      <c r="M832" s="9"/>
      <c r="N832" s="9"/>
      <c r="O832" s="9"/>
      <c r="P832" s="9"/>
      <c r="Q832" s="9"/>
      <c r="R832" s="9"/>
      <c r="S832" s="9"/>
      <c r="T832" s="9"/>
      <c r="U832" s="9"/>
      <c r="V832" s="45"/>
      <c r="W832" s="1081">
        <v>120000</v>
      </c>
      <c r="X832" s="1081"/>
      <c r="Y832" s="1081"/>
      <c r="Z832" s="1081"/>
      <c r="AA832" s="1081"/>
      <c r="AB832" s="1081"/>
      <c r="AC832" s="1081"/>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1168</v>
      </c>
      <c r="K833" s="9"/>
      <c r="L833" s="9"/>
      <c r="M833" s="1129" t="s">
        <v>1451</v>
      </c>
      <c r="N833" s="1130"/>
      <c r="O833" s="1130"/>
      <c r="P833" s="1130"/>
      <c r="Q833" s="1130"/>
      <c r="R833" s="1130"/>
      <c r="S833" s="1130"/>
      <c r="T833" s="1130"/>
      <c r="U833" s="1130"/>
      <c r="V833" s="1131"/>
      <c r="W833" s="1081">
        <f>54662</f>
        <v>54662</v>
      </c>
      <c r="X833" s="1081"/>
      <c r="Y833" s="1081"/>
      <c r="Z833" s="1081"/>
      <c r="AA833" s="1081"/>
      <c r="AB833" s="1081"/>
      <c r="AC833" s="1081"/>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1447</v>
      </c>
      <c r="BB833" s="35"/>
      <c r="BC833" s="37"/>
      <c r="BD833" s="37"/>
      <c r="BE833" s="36"/>
      <c r="BF833" s="36"/>
      <c r="BG833" s="36"/>
      <c r="BH833" s="21"/>
      <c r="BI833" s="21"/>
      <c r="BJ833" s="21"/>
      <c r="BK833" s="21"/>
      <c r="BL833" s="21"/>
      <c r="BM833" s="21"/>
      <c r="BN833" s="21"/>
      <c r="BO833" s="1197" t="str">
        <f>T189</f>
        <v>Santa Clara</v>
      </c>
      <c r="BP833" s="1198"/>
      <c r="BQ833" s="1198"/>
      <c r="BR833" s="1198"/>
      <c r="BS833" s="1198"/>
      <c r="BT833" s="1198"/>
      <c r="BU833" s="119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1452</v>
      </c>
      <c r="W834" s="1172">
        <f>SUM(W829:W833)</f>
        <v>204041</v>
      </c>
      <c r="X834" s="1173"/>
      <c r="Y834" s="1173"/>
      <c r="Z834" s="1173"/>
      <c r="AA834" s="1173"/>
      <c r="AB834" s="1173"/>
      <c r="AC834" s="1174"/>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1453</v>
      </c>
      <c r="D836"/>
      <c r="E836"/>
      <c r="F836"/>
      <c r="G836"/>
      <c r="H836"/>
      <c r="I836"/>
      <c r="J836" s="1077" t="s">
        <v>1454</v>
      </c>
      <c r="K836" s="1078"/>
      <c r="L836" s="1078"/>
      <c r="M836" s="1078"/>
      <c r="N836" s="1078"/>
      <c r="O836" s="1078"/>
      <c r="P836" s="1078"/>
      <c r="Q836" s="1078"/>
      <c r="R836" s="1078"/>
      <c r="S836" s="1078"/>
      <c r="T836" s="1078"/>
      <c r="U836" s="1078"/>
      <c r="V836" s="1080"/>
      <c r="W836" s="1176">
        <v>88486</v>
      </c>
      <c r="X836" s="1177"/>
      <c r="Y836" s="1177"/>
      <c r="Z836" s="1177"/>
      <c r="AA836" s="1177"/>
      <c r="AB836" s="1177"/>
      <c r="AC836" s="1178"/>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1455</v>
      </c>
      <c r="BC837" s="37"/>
      <c r="BD837" s="37"/>
      <c r="BE837" s="36"/>
      <c r="BF837" s="36"/>
      <c r="BG837" s="36"/>
      <c r="BH837" s="21"/>
      <c r="BI837" s="35" t="s">
        <v>1456</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1457</v>
      </c>
      <c r="K838" s="9"/>
      <c r="L838" s="9"/>
      <c r="M838" s="9"/>
      <c r="N838" s="9"/>
      <c r="O838" s="9"/>
      <c r="P838" s="9"/>
      <c r="Q838" s="9"/>
      <c r="R838" s="9"/>
      <c r="S838" s="9"/>
      <c r="T838" s="9"/>
      <c r="U838" s="9"/>
      <c r="V838" s="45"/>
      <c r="W838" s="1893"/>
      <c r="X838" s="1893"/>
      <c r="Y838" s="1893"/>
      <c r="Z838" s="1893"/>
      <c r="AA838" s="1893"/>
      <c r="AB838" s="1893"/>
      <c r="AC838" s="18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1458</v>
      </c>
      <c r="K839" s="9"/>
      <c r="L839" s="9"/>
      <c r="M839" s="9"/>
      <c r="N839" s="9"/>
      <c r="O839" s="9"/>
      <c r="P839" s="9"/>
      <c r="Q839" s="9"/>
      <c r="R839" s="9"/>
      <c r="S839" s="9"/>
      <c r="T839" s="9"/>
      <c r="U839" s="9"/>
      <c r="V839" s="45"/>
      <c r="W839" s="1893">
        <v>8925</v>
      </c>
      <c r="X839" s="1893"/>
      <c r="Y839" s="1893"/>
      <c r="Z839" s="1893"/>
      <c r="AA839" s="1893"/>
      <c r="AB839" s="1893"/>
      <c r="AC839" s="18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1434</v>
      </c>
      <c r="K840" s="9"/>
      <c r="L840" s="9"/>
      <c r="M840" s="9"/>
      <c r="N840" s="9"/>
      <c r="O840" s="9"/>
      <c r="P840" s="9"/>
      <c r="Q840" s="9"/>
      <c r="R840" s="9"/>
      <c r="S840" s="9"/>
      <c r="T840" s="9"/>
      <c r="U840" s="9"/>
      <c r="V840" s="45"/>
      <c r="W840" s="1893">
        <v>77000</v>
      </c>
      <c r="X840" s="1893"/>
      <c r="Y840" s="1893"/>
      <c r="Z840" s="1893"/>
      <c r="AA840" s="1893"/>
      <c r="AB840" s="1893"/>
      <c r="AC840" s="18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1341</v>
      </c>
      <c r="BD840" s="898" t="s">
        <v>1342</v>
      </c>
      <c r="BE840" s="898" t="s">
        <v>1343</v>
      </c>
      <c r="BF840" s="898" t="s">
        <v>1344</v>
      </c>
      <c r="BG840" s="898" t="s">
        <v>1351</v>
      </c>
      <c r="BH840" s="21"/>
      <c r="BI840" s="21"/>
      <c r="BJ840" s="897" t="s">
        <v>1341</v>
      </c>
      <c r="BK840" s="898" t="s">
        <v>1342</v>
      </c>
      <c r="BL840" s="898" t="s">
        <v>1343</v>
      </c>
      <c r="BM840" s="898" t="s">
        <v>1344</v>
      </c>
      <c r="BN840" s="898" t="s">
        <v>1351</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1459</v>
      </c>
      <c r="K841" s="9"/>
      <c r="L841" s="9"/>
      <c r="M841" s="9"/>
      <c r="N841" s="9"/>
      <c r="O841" s="9"/>
      <c r="P841" s="9"/>
      <c r="Q841" s="9"/>
      <c r="R841" s="9"/>
      <c r="S841" s="9"/>
      <c r="T841" s="9"/>
      <c r="U841" s="9"/>
      <c r="V841" s="45"/>
      <c r="W841" s="1893">
        <v>47850</v>
      </c>
      <c r="X841" s="1893"/>
      <c r="Y841" s="1893"/>
      <c r="Z841" s="1893"/>
      <c r="AA841" s="1893"/>
      <c r="AB841" s="1893"/>
      <c r="AC841" s="18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1460</v>
      </c>
      <c r="W842" s="1894">
        <f>SUM(W838:W841)</f>
        <v>133775</v>
      </c>
      <c r="X842" s="1894"/>
      <c r="Y842" s="1894"/>
      <c r="Z842" s="1894"/>
      <c r="AA842" s="1894"/>
      <c r="AB842" s="1894"/>
      <c r="AC842" s="1894"/>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491221</v>
      </c>
      <c r="BD842" s="456">
        <v>566373</v>
      </c>
      <c r="BE842" s="456">
        <v>683200</v>
      </c>
      <c r="BF842" s="456">
        <v>874496</v>
      </c>
      <c r="BG842" s="456">
        <v>974243</v>
      </c>
      <c r="BH842" s="21"/>
      <c r="BI842" s="226" t="s">
        <v>745</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402640</v>
      </c>
      <c r="BD843" s="455">
        <v>464240</v>
      </c>
      <c r="BE843" s="455">
        <v>560000</v>
      </c>
      <c r="BF843" s="455">
        <v>716800</v>
      </c>
      <c r="BG843" s="455">
        <v>798560</v>
      </c>
      <c r="BH843" s="21"/>
      <c r="BI843" s="226" t="s">
        <v>749</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1461</v>
      </c>
      <c r="D844"/>
      <c r="E844"/>
      <c r="F844"/>
      <c r="G844"/>
      <c r="H844"/>
      <c r="I844"/>
      <c r="J844" s="8" t="s">
        <v>1462</v>
      </c>
      <c r="K844" s="9"/>
      <c r="L844" s="9"/>
      <c r="M844" s="9"/>
      <c r="N844" s="9"/>
      <c r="O844" s="9"/>
      <c r="P844" s="9"/>
      <c r="Q844" s="9"/>
      <c r="R844" s="9"/>
      <c r="S844" s="9"/>
      <c r="T844" s="9"/>
      <c r="U844" s="9"/>
      <c r="V844" s="45"/>
      <c r="W844" s="1895">
        <v>155000</v>
      </c>
      <c r="X844" s="1896"/>
      <c r="Y844" s="1896"/>
      <c r="Z844" s="1896"/>
      <c r="AA844" s="1896"/>
      <c r="AB844" s="1896"/>
      <c r="AC844" s="1897"/>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402640</v>
      </c>
      <c r="BD844" s="456">
        <v>464240</v>
      </c>
      <c r="BE844" s="456">
        <v>560000</v>
      </c>
      <c r="BF844" s="456">
        <v>716800</v>
      </c>
      <c r="BG844" s="456">
        <v>798560</v>
      </c>
      <c r="BH844" s="21"/>
      <c r="BI844" s="226" t="s">
        <v>753</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1463</v>
      </c>
      <c r="D845"/>
      <c r="E845"/>
      <c r="F845"/>
      <c r="G845"/>
      <c r="H845"/>
      <c r="I845"/>
      <c r="J845" s="178" t="s">
        <v>1464</v>
      </c>
      <c r="K845" s="9"/>
      <c r="L845" s="9"/>
      <c r="M845" s="9"/>
      <c r="N845" s="9"/>
      <c r="O845" s="9"/>
      <c r="P845" s="9"/>
      <c r="Q845" s="9"/>
      <c r="R845" s="9"/>
      <c r="S845" s="9"/>
      <c r="T845" s="1449">
        <v>2</v>
      </c>
      <c r="U845" s="1450"/>
      <c r="V845" s="1451"/>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369278</v>
      </c>
      <c r="BD845" s="455">
        <v>425774</v>
      </c>
      <c r="BE845" s="455">
        <v>513600</v>
      </c>
      <c r="BF845" s="455">
        <v>657408</v>
      </c>
      <c r="BG845" s="455">
        <v>732394</v>
      </c>
      <c r="BH845" s="21"/>
      <c r="BI845" s="226" t="s">
        <v>756</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1465</v>
      </c>
      <c r="K846" s="9"/>
      <c r="L846" s="9"/>
      <c r="M846" s="9"/>
      <c r="N846" s="9"/>
      <c r="O846" s="9"/>
      <c r="P846" s="9"/>
      <c r="Q846" s="9"/>
      <c r="R846" s="9"/>
      <c r="S846" s="9"/>
      <c r="T846" s="9"/>
      <c r="U846" s="9"/>
      <c r="V846" s="45"/>
      <c r="W846" s="1895">
        <v>87000</v>
      </c>
      <c r="X846" s="1896"/>
      <c r="Y846" s="1896"/>
      <c r="Z846" s="1896"/>
      <c r="AA846" s="1896"/>
      <c r="AB846" s="1896"/>
      <c r="AC846" s="1897"/>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760</v>
      </c>
      <c r="BC846" s="456">
        <v>402640</v>
      </c>
      <c r="BD846" s="456">
        <v>464240</v>
      </c>
      <c r="BE846" s="456">
        <v>560000</v>
      </c>
      <c r="BF846" s="456">
        <v>716800</v>
      </c>
      <c r="BG846" s="456">
        <v>798560</v>
      </c>
      <c r="BH846" s="21"/>
      <c r="BI846" s="226" t="s">
        <v>760</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1466</v>
      </c>
      <c r="K847" s="9"/>
      <c r="L847" s="9"/>
      <c r="M847" s="9"/>
      <c r="N847" s="9"/>
      <c r="O847" s="9"/>
      <c r="P847" s="9"/>
      <c r="Q847" s="9"/>
      <c r="R847" s="9"/>
      <c r="S847" s="9"/>
      <c r="T847" s="1449">
        <v>1</v>
      </c>
      <c r="U847" s="1450"/>
      <c r="V847" s="1451"/>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766</v>
      </c>
      <c r="BC847" s="455">
        <v>402640</v>
      </c>
      <c r="BD847" s="455">
        <v>464240</v>
      </c>
      <c r="BE847" s="455">
        <v>560000</v>
      </c>
      <c r="BF847" s="455">
        <v>716800</v>
      </c>
      <c r="BG847" s="455">
        <v>798560</v>
      </c>
      <c r="BH847" s="21"/>
      <c r="BI847" s="226" t="s">
        <v>766</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1168</v>
      </c>
      <c r="K848" s="9"/>
      <c r="L848" s="9"/>
      <c r="M848" s="1129" t="s">
        <v>1467</v>
      </c>
      <c r="N848" s="1130"/>
      <c r="O848" s="1130"/>
      <c r="P848" s="1130"/>
      <c r="Q848" s="1130"/>
      <c r="R848" s="1130"/>
      <c r="S848" s="1130"/>
      <c r="T848" s="1130"/>
      <c r="U848" s="1130"/>
      <c r="V848" s="1131"/>
      <c r="W848" s="1895">
        <v>82448</v>
      </c>
      <c r="X848" s="1896"/>
      <c r="Y848" s="1896"/>
      <c r="Z848" s="1896"/>
      <c r="AA848" s="1896"/>
      <c r="AB848" s="1896"/>
      <c r="AC848" s="1897"/>
      <c r="AL848" s="23"/>
      <c r="AM848" s="37"/>
      <c r="AN848" s="37"/>
      <c r="AO848" s="37"/>
      <c r="AP848" s="37"/>
      <c r="AQ848" s="37"/>
      <c r="AR848" s="21"/>
      <c r="AS848" s="21"/>
      <c r="AT848" s="37"/>
      <c r="AU848" s="37"/>
      <c r="AV848" s="37"/>
      <c r="AW848" s="37"/>
      <c r="AX848" s="37"/>
      <c r="AY848" s="37"/>
      <c r="AZ848" s="37"/>
      <c r="BA848" s="37"/>
      <c r="BB848" s="226" t="s">
        <v>770</v>
      </c>
      <c r="BC848" s="456">
        <v>491221</v>
      </c>
      <c r="BD848" s="456">
        <v>566373</v>
      </c>
      <c r="BE848" s="456">
        <v>683200</v>
      </c>
      <c r="BF848" s="456">
        <v>874496</v>
      </c>
      <c r="BG848" s="456">
        <v>974243</v>
      </c>
      <c r="BH848" s="21"/>
      <c r="BI848" s="226" t="s">
        <v>770</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1468</v>
      </c>
      <c r="W849" s="1898">
        <f>SUM(W844:W848)</f>
        <v>324448</v>
      </c>
      <c r="X849" s="1899"/>
      <c r="Y849" s="1899"/>
      <c r="Z849" s="1899"/>
      <c r="AA849" s="1899"/>
      <c r="AB849" s="1899"/>
      <c r="AC849" s="1900"/>
      <c r="AL849" s="23"/>
      <c r="AM849" s="34"/>
      <c r="AN849" s="34"/>
      <c r="AO849" s="21"/>
      <c r="AP849" s="21"/>
      <c r="AQ849" s="21"/>
      <c r="AR849" s="21"/>
      <c r="AS849" s="21"/>
      <c r="AT849" s="37"/>
      <c r="AU849" s="37"/>
      <c r="AV849" s="37"/>
      <c r="AW849" s="37"/>
      <c r="AX849" s="37"/>
      <c r="AY849" s="37"/>
      <c r="AZ849" s="37"/>
      <c r="BA849" s="37"/>
      <c r="BB849" s="226" t="s">
        <v>774</v>
      </c>
      <c r="BC849" s="455">
        <v>402640</v>
      </c>
      <c r="BD849" s="455">
        <v>464240</v>
      </c>
      <c r="BE849" s="455">
        <v>560000</v>
      </c>
      <c r="BF849" s="455">
        <v>716800</v>
      </c>
      <c r="BG849" s="455">
        <v>798560</v>
      </c>
      <c r="BH849" s="21"/>
      <c r="BI849" s="226" t="s">
        <v>774</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776</v>
      </c>
      <c r="BC850" s="456">
        <v>360075</v>
      </c>
      <c r="BD850" s="456">
        <v>415163</v>
      </c>
      <c r="BE850" s="456">
        <v>500800</v>
      </c>
      <c r="BF850" s="456">
        <v>641024</v>
      </c>
      <c r="BG850" s="456">
        <v>714141</v>
      </c>
      <c r="BH850" s="21"/>
      <c r="BI850" s="226" t="s">
        <v>776</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1469</v>
      </c>
      <c r="J851" s="8"/>
      <c r="K851" s="9"/>
      <c r="L851" s="9"/>
      <c r="M851" s="9"/>
      <c r="N851" s="9"/>
      <c r="O851" s="9"/>
      <c r="P851" s="9"/>
      <c r="Q851" s="9"/>
      <c r="R851" s="9"/>
      <c r="S851" s="9"/>
      <c r="T851" s="9"/>
      <c r="U851" s="9"/>
      <c r="V851" s="53" t="s">
        <v>1470</v>
      </c>
      <c r="W851" s="1895">
        <v>58500</v>
      </c>
      <c r="X851" s="1896"/>
      <c r="Y851" s="1896"/>
      <c r="Z851" s="1896"/>
      <c r="AA851" s="1896"/>
      <c r="AB851" s="1896"/>
      <c r="AC851" s="1897"/>
      <c r="AL851" s="23"/>
      <c r="AM851" s="34"/>
      <c r="AN851" s="34"/>
      <c r="AO851" s="21"/>
      <c r="AP851" s="21"/>
      <c r="AQ851" s="21"/>
      <c r="AR851" s="21"/>
      <c r="AS851" s="21"/>
      <c r="AT851" s="37"/>
      <c r="AU851" s="37"/>
      <c r="AV851" s="37"/>
      <c r="AW851" s="37"/>
      <c r="AX851" s="37"/>
      <c r="AY851" s="37"/>
      <c r="AZ851" s="37"/>
      <c r="BA851" s="37"/>
      <c r="BB851" s="226" t="s">
        <v>779</v>
      </c>
      <c r="BC851" s="455">
        <v>323262</v>
      </c>
      <c r="BD851" s="455">
        <v>372718</v>
      </c>
      <c r="BE851" s="455">
        <v>449600</v>
      </c>
      <c r="BF851" s="455">
        <v>575488</v>
      </c>
      <c r="BG851" s="455">
        <v>641130</v>
      </c>
      <c r="BH851" s="21"/>
      <c r="BI851" s="226" t="s">
        <v>779</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782</v>
      </c>
      <c r="BC852" s="456">
        <v>402640</v>
      </c>
      <c r="BD852" s="456">
        <v>464240</v>
      </c>
      <c r="BE852" s="456">
        <v>560000</v>
      </c>
      <c r="BF852" s="456">
        <v>716800</v>
      </c>
      <c r="BG852" s="456">
        <v>798560</v>
      </c>
      <c r="BH852" s="21"/>
      <c r="BI852" s="226" t="s">
        <v>782</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1471</v>
      </c>
      <c r="K853" s="9"/>
      <c r="L853" s="9"/>
      <c r="M853" s="9"/>
      <c r="N853" s="9"/>
      <c r="O853" s="9"/>
      <c r="P853" s="9"/>
      <c r="Q853" s="9"/>
      <c r="R853" s="9"/>
      <c r="S853" s="9"/>
      <c r="T853" s="9"/>
      <c r="U853" s="9"/>
      <c r="V853" s="45"/>
      <c r="W853" s="1081">
        <v>4000</v>
      </c>
      <c r="X853" s="1081"/>
      <c r="Y853" s="1081"/>
      <c r="Z853" s="1081"/>
      <c r="AA853" s="1081"/>
      <c r="AB853" s="1081"/>
      <c r="AC853" s="1081"/>
      <c r="AM853" s="34"/>
      <c r="AN853" s="34"/>
      <c r="AO853" s="21"/>
      <c r="AP853" s="21"/>
      <c r="AQ853" s="21"/>
      <c r="AR853" s="21"/>
      <c r="AS853" s="21"/>
      <c r="AT853" s="37"/>
      <c r="AU853" s="37"/>
      <c r="AV853" s="37"/>
      <c r="AW853" s="37"/>
      <c r="AX853" s="37"/>
      <c r="AY853" s="37"/>
      <c r="AZ853" s="37"/>
      <c r="BA853" s="37"/>
      <c r="BB853" s="226" t="s">
        <v>784</v>
      </c>
      <c r="BC853" s="455">
        <v>402640</v>
      </c>
      <c r="BD853" s="455">
        <v>464240</v>
      </c>
      <c r="BE853" s="455">
        <v>560000</v>
      </c>
      <c r="BF853" s="455">
        <v>716800</v>
      </c>
      <c r="BG853" s="455">
        <v>798560</v>
      </c>
      <c r="BH853" s="21"/>
      <c r="BI853" s="226" t="s">
        <v>784</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1472</v>
      </c>
      <c r="K854" s="9"/>
      <c r="L854" s="9"/>
      <c r="M854" s="9"/>
      <c r="N854" s="9"/>
      <c r="O854" s="9"/>
      <c r="P854" s="9"/>
      <c r="Q854" s="9"/>
      <c r="R854" s="9"/>
      <c r="S854" s="9"/>
      <c r="T854" s="9"/>
      <c r="U854" s="9"/>
      <c r="V854" s="45"/>
      <c r="W854" s="1081">
        <v>76600</v>
      </c>
      <c r="X854" s="1081"/>
      <c r="Y854" s="1081"/>
      <c r="Z854" s="1081"/>
      <c r="AA854" s="1081"/>
      <c r="AB854" s="1081"/>
      <c r="AC854" s="1081"/>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787</v>
      </c>
      <c r="BC854" s="456">
        <v>381933</v>
      </c>
      <c r="BD854" s="456">
        <v>440365</v>
      </c>
      <c r="BE854" s="456">
        <v>531200</v>
      </c>
      <c r="BF854" s="456">
        <v>679936</v>
      </c>
      <c r="BG854" s="456">
        <v>757491</v>
      </c>
      <c r="BH854" s="21"/>
      <c r="BI854" s="226" t="s">
        <v>787</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1473</v>
      </c>
      <c r="K855" s="9"/>
      <c r="L855" s="9"/>
      <c r="M855" s="9"/>
      <c r="N855" s="9"/>
      <c r="O855" s="9"/>
      <c r="P855" s="9"/>
      <c r="Q855" s="9"/>
      <c r="R855" s="9"/>
      <c r="S855" s="9"/>
      <c r="T855" s="9"/>
      <c r="U855" s="9"/>
      <c r="V855" s="45"/>
      <c r="W855" s="1081">
        <v>12600</v>
      </c>
      <c r="X855" s="1081"/>
      <c r="Y855" s="1081"/>
      <c r="Z855" s="1081"/>
      <c r="AA855" s="1081"/>
      <c r="AB855" s="1081"/>
      <c r="AC855" s="108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789</v>
      </c>
      <c r="BC855" s="455">
        <v>402640</v>
      </c>
      <c r="BD855" s="455">
        <v>464240</v>
      </c>
      <c r="BE855" s="455">
        <v>560000</v>
      </c>
      <c r="BF855" s="455">
        <v>716800</v>
      </c>
      <c r="BG855" s="455">
        <v>798560</v>
      </c>
      <c r="BH855" s="21"/>
      <c r="BI855" s="226" t="s">
        <v>789</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1474</v>
      </c>
      <c r="K856" s="9"/>
      <c r="L856" s="9"/>
      <c r="M856" s="9"/>
      <c r="N856" s="9"/>
      <c r="O856" s="9"/>
      <c r="P856" s="9"/>
      <c r="Q856" s="9"/>
      <c r="R856" s="9"/>
      <c r="S856" s="9"/>
      <c r="T856" s="9"/>
      <c r="U856" s="9"/>
      <c r="V856" s="45"/>
      <c r="W856" s="1081">
        <v>12100</v>
      </c>
      <c r="X856" s="1081"/>
      <c r="Y856" s="1081"/>
      <c r="Z856" s="1081"/>
      <c r="AA856" s="1081"/>
      <c r="AB856" s="1081"/>
      <c r="AC856" s="108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791</v>
      </c>
      <c r="BC856" s="456">
        <v>323262</v>
      </c>
      <c r="BD856" s="456">
        <v>372718</v>
      </c>
      <c r="BE856" s="456">
        <v>449600</v>
      </c>
      <c r="BF856" s="456">
        <v>575488</v>
      </c>
      <c r="BG856" s="456">
        <v>641130</v>
      </c>
      <c r="BH856" s="21"/>
      <c r="BI856" s="226" t="s">
        <v>791</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1475</v>
      </c>
      <c r="K857" s="9"/>
      <c r="L857" s="9"/>
      <c r="M857" s="9"/>
      <c r="N857" s="9"/>
      <c r="O857" s="9"/>
      <c r="P857" s="9"/>
      <c r="Q857" s="9"/>
      <c r="R857" s="9"/>
      <c r="S857" s="9"/>
      <c r="T857" s="9"/>
      <c r="U857" s="9"/>
      <c r="V857" s="45"/>
      <c r="W857" s="1081">
        <v>4400</v>
      </c>
      <c r="X857" s="1081"/>
      <c r="Y857" s="1081"/>
      <c r="Z857" s="1081"/>
      <c r="AA857" s="1081"/>
      <c r="AB857" s="1081"/>
      <c r="AC857" s="1081"/>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794</v>
      </c>
      <c r="BC857" s="455">
        <v>323262</v>
      </c>
      <c r="BD857" s="455">
        <v>372718</v>
      </c>
      <c r="BE857" s="455">
        <v>449600</v>
      </c>
      <c r="BF857" s="455">
        <v>575488</v>
      </c>
      <c r="BG857" s="455">
        <v>641130</v>
      </c>
      <c r="BH857" s="21"/>
      <c r="BI857" s="226" t="s">
        <v>794</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1476</v>
      </c>
      <c r="K858" s="9"/>
      <c r="L858" s="9"/>
      <c r="M858" s="9"/>
      <c r="N858" s="9"/>
      <c r="O858" s="9"/>
      <c r="P858" s="9"/>
      <c r="Q858" s="9"/>
      <c r="R858" s="9"/>
      <c r="S858" s="9"/>
      <c r="T858" s="9"/>
      <c r="U858" s="9"/>
      <c r="V858" s="45"/>
      <c r="W858" s="1081">
        <v>10740</v>
      </c>
      <c r="X858" s="1081"/>
      <c r="Y858" s="1081"/>
      <c r="Z858" s="1081"/>
      <c r="AA858" s="1081"/>
      <c r="AB858" s="1081"/>
      <c r="AC858" s="1081"/>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798</v>
      </c>
      <c r="BC858" s="456">
        <v>402640</v>
      </c>
      <c r="BD858" s="456">
        <v>464240</v>
      </c>
      <c r="BE858" s="456">
        <v>560000</v>
      </c>
      <c r="BF858" s="456">
        <v>716800</v>
      </c>
      <c r="BG858" s="456">
        <v>798560</v>
      </c>
      <c r="BH858" s="21"/>
      <c r="BI858" s="226" t="s">
        <v>798</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1168</v>
      </c>
      <c r="K859" s="9"/>
      <c r="L859" s="9"/>
      <c r="M859" s="1129" t="s">
        <v>1477</v>
      </c>
      <c r="N859" s="1130"/>
      <c r="O859" s="1130"/>
      <c r="P859" s="1130"/>
      <c r="Q859" s="1130"/>
      <c r="R859" s="1130"/>
      <c r="S859" s="1130"/>
      <c r="T859" s="1130"/>
      <c r="U859" s="1130"/>
      <c r="V859" s="1131"/>
      <c r="W859" s="1081">
        <v>45538</v>
      </c>
      <c r="X859" s="1081"/>
      <c r="Y859" s="1081"/>
      <c r="Z859" s="1081"/>
      <c r="AA859" s="1081"/>
      <c r="AB859" s="1081"/>
      <c r="AC859" s="1081"/>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801</v>
      </c>
      <c r="BC859" s="455">
        <v>402640</v>
      </c>
      <c r="BD859" s="455">
        <v>464240</v>
      </c>
      <c r="BE859" s="455">
        <v>560000</v>
      </c>
      <c r="BF859" s="455">
        <v>716800</v>
      </c>
      <c r="BG859" s="455">
        <v>798560</v>
      </c>
      <c r="BH859" s="21"/>
      <c r="BI859" s="226" t="s">
        <v>801</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1478</v>
      </c>
      <c r="W860" s="1185">
        <f>SUM(W853:W859)</f>
        <v>165978</v>
      </c>
      <c r="X860" s="1185"/>
      <c r="Y860" s="1185"/>
      <c r="Z860" s="1185"/>
      <c r="AA860" s="1185"/>
      <c r="AB860" s="1185"/>
      <c r="AC860" s="1185"/>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807</v>
      </c>
      <c r="BC860" s="456">
        <v>437727</v>
      </c>
      <c r="BD860" s="456">
        <v>504695</v>
      </c>
      <c r="BE860" s="456">
        <v>608800</v>
      </c>
      <c r="BF860" s="456">
        <v>779264</v>
      </c>
      <c r="BG860" s="456">
        <v>868149</v>
      </c>
      <c r="BH860" s="21"/>
      <c r="BI860" s="226" t="s">
        <v>807</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810</v>
      </c>
      <c r="BC861" s="455">
        <v>323262</v>
      </c>
      <c r="BD861" s="455">
        <v>372718</v>
      </c>
      <c r="BE861" s="455">
        <v>449600</v>
      </c>
      <c r="BF861" s="455">
        <v>575488</v>
      </c>
      <c r="BG861" s="455">
        <v>641130</v>
      </c>
      <c r="BH861" s="21"/>
      <c r="BI861" s="226" t="s">
        <v>810</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1479</v>
      </c>
      <c r="D862"/>
      <c r="E862"/>
      <c r="F862"/>
      <c r="G862"/>
      <c r="H862"/>
      <c r="I862"/>
      <c r="J862" s="8" t="s">
        <v>1168</v>
      </c>
      <c r="K862" s="9"/>
      <c r="L862" s="9"/>
      <c r="M862" s="1129" t="s">
        <v>1480</v>
      </c>
      <c r="N862" s="1130"/>
      <c r="O862" s="1130"/>
      <c r="P862" s="1130"/>
      <c r="Q862" s="1130"/>
      <c r="R862" s="1130"/>
      <c r="S862" s="1130"/>
      <c r="T862" s="1130"/>
      <c r="U862" s="1130"/>
      <c r="V862" s="1131"/>
      <c r="W862" s="1176">
        <v>4800</v>
      </c>
      <c r="X862" s="1177"/>
      <c r="Y862" s="1177"/>
      <c r="Z862" s="1177"/>
      <c r="AA862" s="1177"/>
      <c r="AB862" s="1177"/>
      <c r="AC862" s="1178"/>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813</v>
      </c>
      <c r="BC862" s="456">
        <v>406666</v>
      </c>
      <c r="BD862" s="456">
        <v>468882</v>
      </c>
      <c r="BE862" s="456">
        <v>565600</v>
      </c>
      <c r="BF862" s="456">
        <v>723968</v>
      </c>
      <c r="BG862" s="456">
        <v>806546</v>
      </c>
      <c r="BH862" s="21"/>
      <c r="BI862" s="226" t="s">
        <v>813</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1481</v>
      </c>
      <c r="D863"/>
      <c r="E863"/>
      <c r="F863"/>
      <c r="G863"/>
      <c r="H863"/>
      <c r="I863"/>
      <c r="J863" s="8" t="s">
        <v>1168</v>
      </c>
      <c r="K863" s="9"/>
      <c r="L863" s="9"/>
      <c r="M863" s="1129"/>
      <c r="N863" s="1130"/>
      <c r="O863" s="1130"/>
      <c r="P863" s="1130"/>
      <c r="Q863" s="1130"/>
      <c r="R863" s="1130"/>
      <c r="S863" s="1130"/>
      <c r="T863" s="1130"/>
      <c r="U863" s="1130"/>
      <c r="V863" s="1131"/>
      <c r="W863" s="1176"/>
      <c r="X863" s="1177"/>
      <c r="Y863" s="1177"/>
      <c r="Z863" s="1177"/>
      <c r="AA863" s="1177"/>
      <c r="AB863" s="1177"/>
      <c r="AC863" s="1178"/>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816</v>
      </c>
      <c r="BC863" s="455">
        <v>402640</v>
      </c>
      <c r="BD863" s="455">
        <v>464240</v>
      </c>
      <c r="BE863" s="455">
        <v>560000</v>
      </c>
      <c r="BF863" s="455">
        <v>716800</v>
      </c>
      <c r="BG863" s="455">
        <v>798560</v>
      </c>
      <c r="BH863" s="21"/>
      <c r="BI863" s="226" t="s">
        <v>816</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1168</v>
      </c>
      <c r="K864" s="9"/>
      <c r="L864" s="9"/>
      <c r="M864" s="1129"/>
      <c r="N864" s="1130"/>
      <c r="O864" s="1130"/>
      <c r="P864" s="1130"/>
      <c r="Q864" s="1130"/>
      <c r="R864" s="1130"/>
      <c r="S864" s="1130"/>
      <c r="T864" s="1130"/>
      <c r="U864" s="1130"/>
      <c r="V864" s="1131"/>
      <c r="W864" s="1176"/>
      <c r="X864" s="1177"/>
      <c r="Y864" s="1177"/>
      <c r="Z864" s="1177"/>
      <c r="AA864" s="1177"/>
      <c r="AB864" s="1177"/>
      <c r="AC864" s="1178"/>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818</v>
      </c>
      <c r="BC864" s="456">
        <v>402640</v>
      </c>
      <c r="BD864" s="456">
        <v>464240</v>
      </c>
      <c r="BE864" s="456">
        <v>560000</v>
      </c>
      <c r="BF864" s="456">
        <v>716800</v>
      </c>
      <c r="BG864" s="456">
        <v>798560</v>
      </c>
      <c r="BH864" s="21"/>
      <c r="BI864" s="226" t="s">
        <v>818</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1168</v>
      </c>
      <c r="K865" s="9"/>
      <c r="L865" s="9"/>
      <c r="M865" s="1129"/>
      <c r="N865" s="1130"/>
      <c r="O865" s="1130"/>
      <c r="P865" s="1130"/>
      <c r="Q865" s="1130"/>
      <c r="R865" s="1130"/>
      <c r="S865" s="1130"/>
      <c r="T865" s="1130"/>
      <c r="U865" s="1130"/>
      <c r="V865" s="1131"/>
      <c r="W865" s="1176"/>
      <c r="X865" s="1177"/>
      <c r="Y865" s="1177"/>
      <c r="Z865" s="1177"/>
      <c r="AA865" s="1177"/>
      <c r="AB865" s="1177"/>
      <c r="AC865" s="1178"/>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821</v>
      </c>
      <c r="BC865" s="455">
        <v>323262</v>
      </c>
      <c r="BD865" s="455">
        <v>372718</v>
      </c>
      <c r="BE865" s="455">
        <v>449600</v>
      </c>
      <c r="BF865" s="455">
        <v>575488</v>
      </c>
      <c r="BG865" s="455">
        <v>641130</v>
      </c>
      <c r="BH865" s="21"/>
      <c r="BI865" s="226" t="s">
        <v>821</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1168</v>
      </c>
      <c r="K866" s="9"/>
      <c r="L866" s="9"/>
      <c r="M866" s="1129"/>
      <c r="N866" s="1130"/>
      <c r="O866" s="1130"/>
      <c r="P866" s="1130"/>
      <c r="Q866" s="1130"/>
      <c r="R866" s="1130"/>
      <c r="S866" s="1130"/>
      <c r="T866" s="1130"/>
      <c r="U866" s="1130"/>
      <c r="V866" s="1131"/>
      <c r="W866" s="1176"/>
      <c r="X866" s="1177"/>
      <c r="Y866" s="1177"/>
      <c r="Z866" s="1177"/>
      <c r="AA866" s="1177"/>
      <c r="AB866" s="1177"/>
      <c r="AC866" s="1178"/>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824</v>
      </c>
      <c r="BC866" s="456">
        <v>402640</v>
      </c>
      <c r="BD866" s="456">
        <v>464240</v>
      </c>
      <c r="BE866" s="456">
        <v>560000</v>
      </c>
      <c r="BF866" s="456">
        <v>716800</v>
      </c>
      <c r="BG866" s="456">
        <v>798560</v>
      </c>
      <c r="BH866" s="21"/>
      <c r="BI866" s="226" t="s">
        <v>824</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1482</v>
      </c>
      <c r="W867" s="1172">
        <f>SUM(W862:W866)</f>
        <v>4800</v>
      </c>
      <c r="X867" s="1173"/>
      <c r="Y867" s="1173"/>
      <c r="Z867" s="1173"/>
      <c r="AA867" s="1173"/>
      <c r="AB867" s="1173"/>
      <c r="AC867" s="1174"/>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826</v>
      </c>
      <c r="BC867" s="455">
        <v>402640</v>
      </c>
      <c r="BD867" s="455">
        <v>464240</v>
      </c>
      <c r="BE867" s="455">
        <v>560000</v>
      </c>
      <c r="BF867" s="455">
        <v>716800</v>
      </c>
      <c r="BG867" s="455">
        <v>798560</v>
      </c>
      <c r="BH867" s="21"/>
      <c r="BI867" s="226" t="s">
        <v>826</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829</v>
      </c>
      <c r="BC868" s="456">
        <v>442904</v>
      </c>
      <c r="BD868" s="456">
        <v>510664</v>
      </c>
      <c r="BE868" s="456">
        <v>616000</v>
      </c>
      <c r="BF868" s="456">
        <v>788480</v>
      </c>
      <c r="BG868" s="456">
        <v>878416</v>
      </c>
      <c r="BI868" s="226" t="s">
        <v>829</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1483</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833</v>
      </c>
      <c r="BC869" s="455">
        <v>406666</v>
      </c>
      <c r="BD869" s="455">
        <v>468882</v>
      </c>
      <c r="BE869" s="455">
        <v>565600</v>
      </c>
      <c r="BF869" s="455">
        <v>723968</v>
      </c>
      <c r="BG869" s="455">
        <v>806546</v>
      </c>
      <c r="BI869" s="226" t="s">
        <v>833</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838</v>
      </c>
      <c r="BC870" s="456">
        <v>402640</v>
      </c>
      <c r="BD870" s="456">
        <v>464240</v>
      </c>
      <c r="BE870" s="456">
        <v>560000</v>
      </c>
      <c r="BF870" s="456">
        <v>716800</v>
      </c>
      <c r="BG870" s="456">
        <v>798560</v>
      </c>
      <c r="BI870" s="226" t="s">
        <v>838</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1484</v>
      </c>
      <c r="AC871" s="1172">
        <f>W834+W842+W849+W851+W860+W867+W836</f>
        <v>980028</v>
      </c>
      <c r="AD871" s="1173"/>
      <c r="AE871" s="1173"/>
      <c r="AF871" s="1173"/>
      <c r="AG871" s="1173"/>
      <c r="AH871" s="1174"/>
      <c r="AI871"/>
      <c r="AJ871"/>
      <c r="AK871"/>
      <c r="AL871"/>
      <c r="AM871" s="34"/>
      <c r="AN871" s="34"/>
      <c r="BB871" s="226" t="s">
        <v>841</v>
      </c>
      <c r="BC871" s="455">
        <v>402065</v>
      </c>
      <c r="BD871" s="455">
        <v>463577</v>
      </c>
      <c r="BE871" s="455">
        <v>559200</v>
      </c>
      <c r="BF871" s="455">
        <v>715776</v>
      </c>
      <c r="BG871" s="455">
        <v>797419</v>
      </c>
      <c r="BI871" s="226" t="s">
        <v>841</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1485</v>
      </c>
      <c r="AC872" s="1467">
        <f>O784+O764+G738</f>
        <v>58</v>
      </c>
      <c r="AD872" s="1468"/>
      <c r="AE872" s="1468"/>
      <c r="AF872" s="1468"/>
      <c r="AG872" s="1468"/>
      <c r="AH872" s="1469"/>
      <c r="AI872"/>
      <c r="AJ872"/>
      <c r="AK872"/>
      <c r="AL872"/>
      <c r="AM872" s="34"/>
      <c r="AN872" s="34"/>
      <c r="BB872" s="226" t="s">
        <v>843</v>
      </c>
      <c r="BC872" s="456">
        <v>360075</v>
      </c>
      <c r="BD872" s="456">
        <v>415163</v>
      </c>
      <c r="BE872" s="456">
        <v>500800</v>
      </c>
      <c r="BF872" s="456">
        <v>641024</v>
      </c>
      <c r="BG872" s="456">
        <v>714141</v>
      </c>
      <c r="BI872" s="226" t="s">
        <v>843</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319" t="s">
        <v>1486</v>
      </c>
      <c r="F873" s="1320"/>
      <c r="G873" s="1320"/>
      <c r="H873" s="1320"/>
      <c r="I873" s="1320"/>
      <c r="J873" s="1320"/>
      <c r="K873" s="1320"/>
      <c r="L873" s="1320"/>
      <c r="M873" s="1320"/>
      <c r="N873" s="1320"/>
      <c r="O873" s="1320"/>
      <c r="P873" s="1320"/>
      <c r="Q873" s="1320"/>
      <c r="R873" s="1320"/>
      <c r="S873" s="1320"/>
      <c r="T873" s="1320"/>
      <c r="U873" s="1320"/>
      <c r="V873" s="1320"/>
      <c r="W873" s="1320"/>
      <c r="X873" s="1320"/>
      <c r="Y873" s="1320"/>
      <c r="Z873" s="1320"/>
      <c r="AA873" s="1320"/>
      <c r="AB873" s="1321"/>
      <c r="AC873" s="1471">
        <f>IF(ISERROR((ROUNDDOWN(AC871/AC872,0))),0,(ROUNDDOWN(AC871/AC872,0)))</f>
        <v>16897</v>
      </c>
      <c r="AD873" s="1472"/>
      <c r="AE873" s="1472"/>
      <c r="AF873" s="1472"/>
      <c r="AG873" s="1472"/>
      <c r="AH873" s="1472"/>
      <c r="AI873"/>
      <c r="AJ873"/>
      <c r="AK873"/>
      <c r="AL873" s="3"/>
      <c r="AM873" s="34"/>
      <c r="AN873" s="34"/>
      <c r="BB873" s="226" t="s">
        <v>845</v>
      </c>
      <c r="BC873" s="455">
        <v>402640</v>
      </c>
      <c r="BD873" s="455">
        <v>464240</v>
      </c>
      <c r="BE873" s="455">
        <v>560000</v>
      </c>
      <c r="BF873" s="455">
        <v>716800</v>
      </c>
      <c r="BG873" s="455">
        <v>798560</v>
      </c>
      <c r="BI873" s="226" t="s">
        <v>845</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1487</v>
      </c>
      <c r="AC874" s="1146">
        <f>ROUNDUP((AC871+AC876+AC877+AC879+AF629+AF630)/4,0)</f>
        <v>386070</v>
      </c>
      <c r="AD874" s="1456"/>
      <c r="AE874" s="1456"/>
      <c r="AF874" s="1456"/>
      <c r="AG874" s="1456"/>
      <c r="AH874" s="1456"/>
      <c r="AI874"/>
      <c r="AJ874"/>
      <c r="AK874"/>
      <c r="AL874"/>
      <c r="AM874" s="34"/>
      <c r="AN874" s="34"/>
      <c r="BB874" s="226" t="s">
        <v>850</v>
      </c>
      <c r="BC874" s="456">
        <v>381933</v>
      </c>
      <c r="BD874" s="456">
        <v>440365</v>
      </c>
      <c r="BE874" s="456">
        <v>531200</v>
      </c>
      <c r="BF874" s="456">
        <v>679936</v>
      </c>
      <c r="BG874" s="456">
        <v>757491</v>
      </c>
      <c r="BI874" s="226" t="s">
        <v>850</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1488</v>
      </c>
      <c r="AC875" s="1178"/>
      <c r="AD875" s="1081"/>
      <c r="AE875" s="1081"/>
      <c r="AF875" s="1081"/>
      <c r="AG875" s="1081"/>
      <c r="AH875" s="1081"/>
      <c r="AI875"/>
      <c r="AJ875"/>
      <c r="AK875"/>
      <c r="AL875"/>
      <c r="AM875" s="34"/>
      <c r="AN875" s="34"/>
      <c r="AV875" s="1219"/>
      <c r="AW875" s="1219"/>
      <c r="AX875" s="1219"/>
      <c r="AY875" s="1219"/>
      <c r="BB875" s="226" t="s">
        <v>855</v>
      </c>
      <c r="BC875" s="455">
        <v>360075</v>
      </c>
      <c r="BD875" s="455">
        <v>415163</v>
      </c>
      <c r="BE875" s="455">
        <v>500800</v>
      </c>
      <c r="BF875" s="455">
        <v>641024</v>
      </c>
      <c r="BG875" s="455">
        <v>714141</v>
      </c>
      <c r="BI875" s="226" t="s">
        <v>855</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1489</v>
      </c>
      <c r="AC876" s="1176">
        <f>129079+276621</f>
        <v>405700</v>
      </c>
      <c r="AD876" s="1177"/>
      <c r="AE876" s="1177"/>
      <c r="AF876" s="1177"/>
      <c r="AG876" s="1177"/>
      <c r="AH876" s="1178"/>
      <c r="AI876"/>
      <c r="AJ876"/>
      <c r="AK876"/>
      <c r="AL876"/>
      <c r="AM876" s="34"/>
      <c r="AN876" s="34"/>
      <c r="BB876" s="226" t="s">
        <v>860</v>
      </c>
      <c r="BC876" s="456">
        <v>402640</v>
      </c>
      <c r="BD876" s="456">
        <v>464240</v>
      </c>
      <c r="BE876" s="456">
        <v>560000</v>
      </c>
      <c r="BF876" s="456">
        <v>716800</v>
      </c>
      <c r="BG876" s="456">
        <v>798560</v>
      </c>
      <c r="BI876" s="226" t="s">
        <v>860</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1490</v>
      </c>
      <c r="AC877" s="1176">
        <v>37000</v>
      </c>
      <c r="AD877" s="1177"/>
      <c r="AE877" s="1177"/>
      <c r="AF877" s="1177"/>
      <c r="AG877" s="1177"/>
      <c r="AH877" s="1178"/>
      <c r="AI877"/>
      <c r="AJ877"/>
      <c r="AK877"/>
      <c r="AL877"/>
      <c r="AM877" s="34"/>
      <c r="AN877" s="34"/>
      <c r="BB877" s="226" t="s">
        <v>864</v>
      </c>
      <c r="BC877" s="455">
        <v>381933</v>
      </c>
      <c r="BD877" s="455">
        <v>440365</v>
      </c>
      <c r="BE877" s="455">
        <v>531200</v>
      </c>
      <c r="BF877" s="455">
        <v>679936</v>
      </c>
      <c r="BG877" s="455">
        <v>757491</v>
      </c>
      <c r="BI877" s="226" t="s">
        <v>864</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1491</v>
      </c>
      <c r="AC878" s="1176"/>
      <c r="AD878" s="1177"/>
      <c r="AE878" s="1177"/>
      <c r="AF878" s="1177"/>
      <c r="AG878" s="1177"/>
      <c r="AH878" s="1178"/>
      <c r="AI878"/>
      <c r="AJ878"/>
      <c r="AK878"/>
      <c r="AL878"/>
      <c r="AM878" s="34"/>
      <c r="AN878" s="34"/>
      <c r="BB878" s="226" t="s">
        <v>870</v>
      </c>
      <c r="BC878" s="456">
        <v>392286</v>
      </c>
      <c r="BD878" s="456">
        <v>452302</v>
      </c>
      <c r="BE878" s="456">
        <v>545600</v>
      </c>
      <c r="BF878" s="456">
        <v>698368</v>
      </c>
      <c r="BG878" s="456">
        <v>778026</v>
      </c>
      <c r="BI878" s="226" t="s">
        <v>870</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1492</v>
      </c>
      <c r="AC879" s="1176">
        <v>6500</v>
      </c>
      <c r="AD879" s="1177"/>
      <c r="AE879" s="1177"/>
      <c r="AF879" s="1177"/>
      <c r="AG879" s="1177"/>
      <c r="AH879" s="1178"/>
      <c r="AI879"/>
      <c r="AJ879"/>
      <c r="AK879"/>
      <c r="AL879"/>
      <c r="AM879" s="34"/>
      <c r="AN879" s="34"/>
      <c r="BB879" s="226" t="s">
        <v>874</v>
      </c>
      <c r="BC879" s="455">
        <v>694266</v>
      </c>
      <c r="BD879" s="455">
        <v>800482</v>
      </c>
      <c r="BE879" s="455">
        <v>965600</v>
      </c>
      <c r="BF879" s="455">
        <v>1235968</v>
      </c>
      <c r="BG879" s="455">
        <v>1376946</v>
      </c>
      <c r="BI879" s="226" t="s">
        <v>874</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1493</v>
      </c>
      <c r="AC880" s="1148"/>
      <c r="AD880" s="1081"/>
      <c r="AE880" s="1081"/>
      <c r="AF880" s="1081"/>
      <c r="AG880" s="1081"/>
      <c r="AH880" s="1081"/>
      <c r="AI880"/>
      <c r="AJ880"/>
      <c r="AK880"/>
      <c r="AL880"/>
      <c r="AM880" s="34"/>
      <c r="AN880" s="34"/>
      <c r="BB880" s="226" t="s">
        <v>879</v>
      </c>
      <c r="BC880" s="456">
        <v>323262</v>
      </c>
      <c r="BD880" s="456">
        <v>372718</v>
      </c>
      <c r="BE880" s="456">
        <v>449600</v>
      </c>
      <c r="BF880" s="456">
        <v>575488</v>
      </c>
      <c r="BG880" s="456">
        <v>641130</v>
      </c>
      <c r="BI880" s="226" t="s">
        <v>879</v>
      </c>
      <c r="BJ880" s="456">
        <v>323262</v>
      </c>
      <c r="BK880" s="456">
        <v>372718</v>
      </c>
      <c r="BL880" s="456">
        <v>449600</v>
      </c>
      <c r="BM880" s="456">
        <v>575488</v>
      </c>
      <c r="BN880" s="456">
        <v>641130</v>
      </c>
    </row>
    <row r="881" spans="1:126" s="21" customFormat="1" ht="12.95" customHeight="1">
      <c r="A881"/>
      <c r="B881"/>
      <c r="C881"/>
      <c r="D881"/>
      <c r="E881" s="1384" t="s">
        <v>1494</v>
      </c>
      <c r="F881" s="1385"/>
      <c r="G881" s="1385"/>
      <c r="H881" s="1385"/>
      <c r="I881" s="1385"/>
      <c r="J881" s="1385"/>
      <c r="K881" s="1385"/>
      <c r="L881" s="1385"/>
      <c r="M881" s="1385"/>
      <c r="N881" s="1385"/>
      <c r="O881" s="1385"/>
      <c r="P881" s="1385"/>
      <c r="Q881" s="1385"/>
      <c r="R881" s="1385"/>
      <c r="S881" s="1385"/>
      <c r="T881" s="1385"/>
      <c r="U881" s="1385"/>
      <c r="V881" s="1385"/>
      <c r="W881" s="1385"/>
      <c r="X881" s="1385"/>
      <c r="Y881" s="1385"/>
      <c r="Z881" s="1385"/>
      <c r="AA881" s="1385"/>
      <c r="AB881" s="1386"/>
      <c r="AC881" s="1081"/>
      <c r="AD881" s="1081"/>
      <c r="AE881" s="1081"/>
      <c r="AF881" s="1081"/>
      <c r="AG881" s="1081"/>
      <c r="AH881" s="1081"/>
      <c r="AI881"/>
      <c r="AJ881"/>
      <c r="AK881"/>
      <c r="AL881"/>
      <c r="AM881" s="34"/>
      <c r="AN881" s="34"/>
      <c r="BB881" s="226" t="s">
        <v>883</v>
      </c>
      <c r="BC881" s="455">
        <v>442904</v>
      </c>
      <c r="BD881" s="455">
        <v>510664</v>
      </c>
      <c r="BE881" s="455">
        <v>616000</v>
      </c>
      <c r="BF881" s="455">
        <v>788480</v>
      </c>
      <c r="BG881" s="455">
        <v>878416</v>
      </c>
      <c r="BI881" s="226" t="s">
        <v>883</v>
      </c>
      <c r="BJ881" s="455">
        <v>442904</v>
      </c>
      <c r="BK881" s="455">
        <v>510664</v>
      </c>
      <c r="BL881" s="455">
        <v>616000</v>
      </c>
      <c r="BM881" s="455">
        <v>788480</v>
      </c>
      <c r="BN881" s="455">
        <v>878416</v>
      </c>
    </row>
    <row r="882" spans="1:126" s="21" customFormat="1" ht="12.95" customHeight="1">
      <c r="A882"/>
      <c r="B882"/>
      <c r="C882"/>
      <c r="D882"/>
      <c r="E882" s="1384" t="s">
        <v>1494</v>
      </c>
      <c r="F882" s="1385"/>
      <c r="G882" s="1385"/>
      <c r="H882" s="1385"/>
      <c r="I882" s="1385"/>
      <c r="J882" s="1385"/>
      <c r="K882" s="1385"/>
      <c r="L882" s="1385"/>
      <c r="M882" s="1385"/>
      <c r="N882" s="1385"/>
      <c r="O882" s="1385"/>
      <c r="P882" s="1385"/>
      <c r="Q882" s="1385"/>
      <c r="R882" s="1385"/>
      <c r="S882" s="1385"/>
      <c r="T882" s="1385"/>
      <c r="U882" s="1385"/>
      <c r="V882" s="1385"/>
      <c r="W882" s="1385"/>
      <c r="X882" s="1385"/>
      <c r="Y882" s="1385"/>
      <c r="Z882" s="1385"/>
      <c r="AA882" s="1385"/>
      <c r="AB882" s="1386"/>
      <c r="AC882" s="1081"/>
      <c r="AD882" s="1081"/>
      <c r="AE882" s="1081"/>
      <c r="AF882" s="1081"/>
      <c r="AG882" s="1081"/>
      <c r="AH882" s="1081"/>
      <c r="AI882"/>
      <c r="AJ882"/>
      <c r="AK882"/>
      <c r="AL882"/>
      <c r="AM882" s="34"/>
      <c r="AN882" s="34"/>
      <c r="BB882" s="226" t="s">
        <v>887</v>
      </c>
      <c r="BC882" s="454">
        <v>532060</v>
      </c>
      <c r="BD882" s="454">
        <v>613460</v>
      </c>
      <c r="BE882" s="456">
        <v>740000</v>
      </c>
      <c r="BF882" s="454">
        <v>947200</v>
      </c>
      <c r="BG882" s="454">
        <v>1055240</v>
      </c>
      <c r="BI882" s="226" t="s">
        <v>887</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55"/>
      <c r="AD883" s="1455"/>
      <c r="AE883" s="1455"/>
      <c r="AF883" s="1455"/>
      <c r="AG883" s="1455"/>
      <c r="AH883" s="1455"/>
      <c r="AI883"/>
      <c r="AJ883"/>
      <c r="AK883"/>
      <c r="AL883"/>
      <c r="AM883" s="34"/>
      <c r="AN883" s="34"/>
      <c r="AT883" s="72"/>
      <c r="AU883" s="72"/>
      <c r="AV883" s="72"/>
      <c r="AW883" s="72"/>
      <c r="AX883" s="72"/>
      <c r="AY883" s="72"/>
      <c r="BB883" s="226" t="s">
        <v>891</v>
      </c>
      <c r="BC883" s="455">
        <v>442904</v>
      </c>
      <c r="BD883" s="455">
        <v>510664</v>
      </c>
      <c r="BE883" s="455">
        <v>616000</v>
      </c>
      <c r="BF883" s="455">
        <v>788480</v>
      </c>
      <c r="BG883" s="455">
        <v>878416</v>
      </c>
      <c r="BI883" s="226" t="s">
        <v>891</v>
      </c>
      <c r="BJ883" s="455">
        <v>442904</v>
      </c>
      <c r="BK883" s="455">
        <v>510664</v>
      </c>
      <c r="BL883" s="455">
        <v>616000</v>
      </c>
      <c r="BM883" s="455">
        <v>788480</v>
      </c>
      <c r="BN883" s="455">
        <v>878416</v>
      </c>
    </row>
    <row r="884" spans="1:126" s="21" customFormat="1" ht="12.95" customHeight="1">
      <c r="A884" s="3" t="s">
        <v>1207</v>
      </c>
      <c r="B884"/>
      <c r="C884" s="3" t="s">
        <v>1495</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249"/>
      <c r="AO884" s="1249"/>
      <c r="AP884" s="1219"/>
      <c r="AQ884" s="1219"/>
      <c r="AR884" s="1219"/>
      <c r="AS884" s="1219"/>
      <c r="AT884" s="72"/>
      <c r="AU884" s="72"/>
      <c r="AV884" s="72"/>
      <c r="AW884" s="72"/>
      <c r="AX884" s="72"/>
      <c r="AY884" s="72"/>
      <c r="BB884" s="226" t="s">
        <v>897</v>
      </c>
      <c r="BC884" s="454">
        <v>532060</v>
      </c>
      <c r="BD884" s="454">
        <v>613460</v>
      </c>
      <c r="BE884" s="454">
        <v>740000</v>
      </c>
      <c r="BF884" s="454">
        <v>947200</v>
      </c>
      <c r="BG884" s="454">
        <v>1055240</v>
      </c>
      <c r="BI884" s="226" t="s">
        <v>897</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219"/>
      <c r="AQ885" s="1219"/>
      <c r="AR885" s="1219"/>
      <c r="AS885" s="1219"/>
      <c r="BB885" s="226" t="s">
        <v>902</v>
      </c>
      <c r="BC885" s="455">
        <v>442904</v>
      </c>
      <c r="BD885" s="455">
        <v>510664</v>
      </c>
      <c r="BE885" s="455">
        <v>616000</v>
      </c>
      <c r="BF885" s="455">
        <v>788480</v>
      </c>
      <c r="BG885" s="455">
        <v>878416</v>
      </c>
      <c r="BI885" s="226" t="s">
        <v>902</v>
      </c>
      <c r="BJ885" s="455">
        <v>442904</v>
      </c>
      <c r="BK885" s="455">
        <v>510664</v>
      </c>
      <c r="BL885" s="455">
        <v>616000</v>
      </c>
      <c r="BM885" s="455">
        <v>788480</v>
      </c>
      <c r="BN885" s="455">
        <v>878416</v>
      </c>
    </row>
    <row r="886" spans="1:126" s="21" customFormat="1" ht="12.95" customHeight="1">
      <c r="A886"/>
      <c r="B886" s="3"/>
      <c r="C886"/>
      <c r="D886"/>
      <c r="E886"/>
      <c r="F886"/>
      <c r="G886"/>
      <c r="H886" s="178" t="s">
        <v>1496</v>
      </c>
      <c r="I886" s="9"/>
      <c r="J886" s="9"/>
      <c r="K886" s="9"/>
      <c r="L886" s="9"/>
      <c r="M886" s="9"/>
      <c r="N886" s="9"/>
      <c r="O886" s="9"/>
      <c r="P886" s="9"/>
      <c r="Q886" s="9"/>
      <c r="R886" s="9"/>
      <c r="S886" s="9"/>
      <c r="T886" s="9"/>
      <c r="U886" s="9"/>
      <c r="V886" s="9"/>
      <c r="W886" s="9"/>
      <c r="X886" s="9"/>
      <c r="Y886" s="45"/>
      <c r="Z886" s="1176">
        <v>0</v>
      </c>
      <c r="AA886" s="1177"/>
      <c r="AB886" s="1177"/>
      <c r="AC886" s="1177"/>
      <c r="AD886" s="1177"/>
      <c r="AE886" s="1178"/>
      <c r="AF886"/>
      <c r="AG886"/>
      <c r="AH886"/>
      <c r="AI886"/>
      <c r="AJ886"/>
      <c r="AK886"/>
      <c r="AL886"/>
      <c r="AM886" s="34"/>
      <c r="AN886" s="34"/>
      <c r="BB886" s="226" t="s">
        <v>906</v>
      </c>
      <c r="BC886" s="456">
        <v>369278</v>
      </c>
      <c r="BD886" s="456">
        <v>425774</v>
      </c>
      <c r="BE886" s="456">
        <v>513600</v>
      </c>
      <c r="BF886" s="456">
        <v>657408</v>
      </c>
      <c r="BG886" s="456">
        <v>732394</v>
      </c>
      <c r="BI886" s="226" t="s">
        <v>906</v>
      </c>
      <c r="BJ886" s="456">
        <v>369278</v>
      </c>
      <c r="BK886" s="456">
        <v>425774</v>
      </c>
      <c r="BL886" s="456">
        <v>513600</v>
      </c>
      <c r="BM886" s="456">
        <v>657408</v>
      </c>
      <c r="BN886" s="456">
        <v>732394</v>
      </c>
    </row>
    <row r="887" spans="1:126" s="21" customFormat="1" ht="12.95" customHeight="1">
      <c r="A887"/>
      <c r="B887"/>
      <c r="C887"/>
      <c r="D887"/>
      <c r="E887"/>
      <c r="F887"/>
      <c r="G887"/>
      <c r="H887" s="178" t="s">
        <v>1497</v>
      </c>
      <c r="I887" s="9"/>
      <c r="J887" s="9"/>
      <c r="K887" s="9"/>
      <c r="L887" s="9"/>
      <c r="M887" s="9"/>
      <c r="N887" s="9"/>
      <c r="O887" s="9"/>
      <c r="P887" s="9"/>
      <c r="Q887" s="9"/>
      <c r="R887" s="9"/>
      <c r="S887" s="9"/>
      <c r="T887" s="9"/>
      <c r="U887" s="9"/>
      <c r="V887" s="9"/>
      <c r="W887" s="9"/>
      <c r="X887" s="9"/>
      <c r="Y887" s="9"/>
      <c r="Z887" s="1176">
        <v>0</v>
      </c>
      <c r="AA887" s="1177"/>
      <c r="AB887" s="1177"/>
      <c r="AC887" s="1177"/>
      <c r="AD887" s="1177"/>
      <c r="AE887" s="1178"/>
      <c r="AF887"/>
      <c r="AG887"/>
      <c r="AH887"/>
      <c r="AI887"/>
      <c r="AJ887"/>
      <c r="AK887"/>
      <c r="AL887"/>
      <c r="AM887" s="34"/>
      <c r="AN887" s="34"/>
      <c r="BB887" s="226" t="s">
        <v>912</v>
      </c>
      <c r="BC887" s="455">
        <v>402640</v>
      </c>
      <c r="BD887" s="455">
        <v>464240</v>
      </c>
      <c r="BE887" s="455">
        <v>560000</v>
      </c>
      <c r="BF887" s="455">
        <v>716800</v>
      </c>
      <c r="BG887" s="455">
        <v>798560</v>
      </c>
      <c r="BI887" s="226" t="s">
        <v>912</v>
      </c>
      <c r="BJ887" s="455">
        <v>402640</v>
      </c>
      <c r="BK887" s="455">
        <v>464240</v>
      </c>
      <c r="BL887" s="455">
        <v>560000</v>
      </c>
      <c r="BM887" s="455">
        <v>716800</v>
      </c>
      <c r="BN887" s="455">
        <v>798560</v>
      </c>
    </row>
    <row r="888" spans="1:126" ht="12.95" customHeight="1">
      <c r="C888"/>
      <c r="H888" s="178" t="s">
        <v>1498</v>
      </c>
      <c r="I888" s="9"/>
      <c r="J888" s="9"/>
      <c r="K888" s="9"/>
      <c r="L888" s="9"/>
      <c r="M888" s="9"/>
      <c r="N888" s="9"/>
      <c r="O888" s="9"/>
      <c r="P888" s="9"/>
      <c r="Q888" s="9"/>
      <c r="R888" s="9"/>
      <c r="S888" s="9"/>
      <c r="T888" s="9"/>
      <c r="U888" s="9"/>
      <c r="V888" s="9"/>
      <c r="W888" s="9"/>
      <c r="X888" s="9"/>
      <c r="Y888" s="9"/>
      <c r="Z888" s="1176">
        <v>0</v>
      </c>
      <c r="AA888" s="1177"/>
      <c r="AB888" s="1177"/>
      <c r="AC888" s="1177"/>
      <c r="AD888" s="1177"/>
      <c r="AE888" s="1178"/>
      <c r="AM888" s="34"/>
      <c r="AN888" s="34"/>
      <c r="AO888" s="21"/>
      <c r="AP888" s="21"/>
      <c r="AQ888" s="21"/>
      <c r="AR888" s="21"/>
      <c r="AS888" s="21"/>
      <c r="AT888" s="37"/>
      <c r="AU888" s="37"/>
      <c r="AV888" s="37"/>
      <c r="AW888" s="37"/>
      <c r="AX888" s="37"/>
      <c r="AY888" s="37"/>
      <c r="AZ888" s="37"/>
      <c r="BA888" s="37"/>
      <c r="BB888" s="226" t="s">
        <v>915</v>
      </c>
      <c r="BC888" s="456">
        <v>402640</v>
      </c>
      <c r="BD888" s="456">
        <v>464240</v>
      </c>
      <c r="BE888" s="456">
        <v>560000</v>
      </c>
      <c r="BF888" s="456">
        <v>716800</v>
      </c>
      <c r="BG888" s="456">
        <v>798560</v>
      </c>
      <c r="BH888" s="21"/>
      <c r="BI888" s="226" t="s">
        <v>915</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1499</v>
      </c>
      <c r="Z889" s="1172">
        <f>Z886-(Z887+Z888)</f>
        <v>0</v>
      </c>
      <c r="AA889" s="1173"/>
      <c r="AB889" s="1173"/>
      <c r="AC889" s="1173"/>
      <c r="AD889" s="1173"/>
      <c r="AE889" s="1174"/>
      <c r="AM889" s="34"/>
      <c r="AN889" s="34"/>
      <c r="AO889" s="21"/>
      <c r="AP889" s="21"/>
      <c r="AQ889" s="21"/>
      <c r="AR889" s="21"/>
      <c r="AS889" s="21"/>
      <c r="AT889" s="37"/>
      <c r="AU889" s="37"/>
      <c r="AV889" s="37"/>
      <c r="AW889" s="37"/>
      <c r="AX889" s="37"/>
      <c r="AY889" s="37"/>
      <c r="AZ889" s="37"/>
      <c r="BA889" s="37"/>
      <c r="BB889" s="226" t="s">
        <v>920</v>
      </c>
      <c r="BC889" s="455">
        <v>406666</v>
      </c>
      <c r="BD889" s="455">
        <v>468882</v>
      </c>
      <c r="BE889" s="455">
        <v>565600</v>
      </c>
      <c r="BF889" s="455">
        <v>723968</v>
      </c>
      <c r="BG889" s="455">
        <v>806546</v>
      </c>
      <c r="BH889" s="21"/>
      <c r="BI889" s="226" t="s">
        <v>920</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925</v>
      </c>
      <c r="BC890" s="456">
        <v>406666</v>
      </c>
      <c r="BD890" s="456">
        <v>468882</v>
      </c>
      <c r="BE890" s="456">
        <v>565600</v>
      </c>
      <c r="BF890" s="456">
        <v>723968</v>
      </c>
      <c r="BG890" s="456">
        <v>806546</v>
      </c>
      <c r="BH890" s="21"/>
      <c r="BI890" s="226" t="s">
        <v>925</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1500</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928</v>
      </c>
      <c r="BC891" s="455">
        <v>323262</v>
      </c>
      <c r="BD891" s="455">
        <v>372718</v>
      </c>
      <c r="BE891" s="455">
        <v>449600</v>
      </c>
      <c r="BF891" s="455">
        <v>575488</v>
      </c>
      <c r="BG891" s="455">
        <v>641130</v>
      </c>
      <c r="BH891" s="21"/>
      <c r="BI891" s="226" t="s">
        <v>928</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1501</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933</v>
      </c>
      <c r="BC892" s="456">
        <v>360075</v>
      </c>
      <c r="BD892" s="456">
        <v>415163</v>
      </c>
      <c r="BE892" s="456">
        <v>500800</v>
      </c>
      <c r="BF892" s="456">
        <v>641024</v>
      </c>
      <c r="BG892" s="456">
        <v>714141</v>
      </c>
      <c r="BH892" s="21"/>
      <c r="BI892" s="226" t="s">
        <v>933</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1502</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937</v>
      </c>
      <c r="BC893" s="455">
        <v>402640</v>
      </c>
      <c r="BD893" s="455">
        <v>464240</v>
      </c>
      <c r="BE893" s="455">
        <v>560000</v>
      </c>
      <c r="BF893" s="455">
        <v>716800</v>
      </c>
      <c r="BG893" s="455">
        <v>798560</v>
      </c>
      <c r="BH893" s="21"/>
      <c r="BI893" s="226" t="s">
        <v>937</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1503</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940</v>
      </c>
      <c r="BC894" s="456">
        <v>402640</v>
      </c>
      <c r="BD894" s="456">
        <v>464240</v>
      </c>
      <c r="BE894" s="456">
        <v>560000</v>
      </c>
      <c r="BF894" s="456">
        <v>716800</v>
      </c>
      <c r="BG894" s="456">
        <v>798560</v>
      </c>
      <c r="BH894" s="21"/>
      <c r="BI894" s="226" t="s">
        <v>940</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945</v>
      </c>
      <c r="BC895" s="455">
        <v>323262</v>
      </c>
      <c r="BD895" s="455">
        <v>372718</v>
      </c>
      <c r="BE895" s="455">
        <v>449600</v>
      </c>
      <c r="BF895" s="455">
        <v>575488</v>
      </c>
      <c r="BG895" s="455">
        <v>641130</v>
      </c>
      <c r="BH895" s="21"/>
      <c r="BI895" s="226" t="s">
        <v>945</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9" t="s">
        <v>1504</v>
      </c>
      <c r="B896" s="1019"/>
      <c r="C896" s="1019"/>
      <c r="D896" s="1019"/>
      <c r="E896" s="1019"/>
      <c r="F896" s="1019"/>
      <c r="G896" s="1019"/>
      <c r="H896" s="1019"/>
      <c r="I896" s="1019"/>
      <c r="J896" s="1019"/>
      <c r="K896" s="1019"/>
      <c r="L896" s="1019"/>
      <c r="M896" s="1019"/>
      <c r="N896" s="1019"/>
      <c r="O896" s="1019"/>
      <c r="P896" s="1019"/>
      <c r="Q896" s="1019"/>
      <c r="R896" s="1019"/>
      <c r="S896" s="1019"/>
      <c r="T896" s="1019"/>
      <c r="U896" s="1019"/>
      <c r="V896" s="1019"/>
      <c r="W896" s="1019"/>
      <c r="X896" s="1019"/>
      <c r="Y896" s="1019"/>
      <c r="Z896" s="1019"/>
      <c r="AA896" s="1019"/>
      <c r="AB896" s="1019"/>
      <c r="AC896" s="1019"/>
      <c r="AD896" s="1019"/>
      <c r="AE896" s="1019"/>
      <c r="AF896" s="1019"/>
      <c r="AG896" s="1019"/>
      <c r="AH896" s="1019"/>
      <c r="AI896" s="1019"/>
      <c r="AJ896" s="1019"/>
      <c r="AK896" s="1019"/>
      <c r="AL896" s="1019"/>
      <c r="AM896" s="1019"/>
      <c r="AN896" s="1019"/>
      <c r="AO896" s="1019"/>
      <c r="AP896" s="1019"/>
      <c r="AQ896" s="1019"/>
      <c r="AR896" s="1019"/>
      <c r="AS896" s="1019"/>
      <c r="AT896" s="1019"/>
      <c r="AU896" s="37"/>
      <c r="AV896" s="37"/>
      <c r="AW896" s="37"/>
      <c r="AX896" s="37"/>
      <c r="AY896" s="37"/>
      <c r="AZ896" s="37"/>
      <c r="BA896" s="37"/>
      <c r="BB896" s="226" t="s">
        <v>947</v>
      </c>
      <c r="BC896" s="456">
        <v>402640</v>
      </c>
      <c r="BD896" s="456">
        <v>464240</v>
      </c>
      <c r="BE896" s="456">
        <v>560000</v>
      </c>
      <c r="BF896" s="456">
        <v>716800</v>
      </c>
      <c r="BG896" s="456">
        <v>798560</v>
      </c>
      <c r="BH896" s="21"/>
      <c r="BI896" s="226" t="s">
        <v>947</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19"/>
      <c r="B897" s="1019"/>
      <c r="C897" s="1019"/>
      <c r="D897" s="1019"/>
      <c r="E897" s="1019"/>
      <c r="F897" s="1019"/>
      <c r="G897" s="1019"/>
      <c r="H897" s="1019"/>
      <c r="I897" s="1019"/>
      <c r="J897" s="1019"/>
      <c r="K897" s="1019"/>
      <c r="L897" s="1019"/>
      <c r="M897" s="1019"/>
      <c r="N897" s="1019"/>
      <c r="O897" s="1019"/>
      <c r="P897" s="1019"/>
      <c r="Q897" s="1019"/>
      <c r="R897" s="1019"/>
      <c r="S897" s="1019"/>
      <c r="T897" s="1019"/>
      <c r="U897" s="1019"/>
      <c r="V897" s="1019"/>
      <c r="W897" s="1019"/>
      <c r="X897" s="1019"/>
      <c r="Y897" s="1019"/>
      <c r="Z897" s="1019"/>
      <c r="AA897" s="1019"/>
      <c r="AB897" s="1019"/>
      <c r="AC897" s="1019"/>
      <c r="AD897" s="1019"/>
      <c r="AE897" s="1019"/>
      <c r="AF897" s="1019"/>
      <c r="AG897" s="1019"/>
      <c r="AH897" s="1019"/>
      <c r="AI897" s="1019"/>
      <c r="AJ897" s="1019"/>
      <c r="AK897" s="1019"/>
      <c r="AL897" s="1019"/>
      <c r="AM897" s="1019"/>
      <c r="AN897" s="1019"/>
      <c r="AO897" s="1019"/>
      <c r="AP897" s="1019"/>
      <c r="AQ897" s="1019"/>
      <c r="AR897" s="1019"/>
      <c r="AS897" s="1019"/>
      <c r="AT897" s="1019"/>
      <c r="AU897" s="37"/>
      <c r="AV897" s="37"/>
      <c r="AW897" s="37"/>
      <c r="AX897" s="37"/>
      <c r="AY897" s="37"/>
      <c r="AZ897" s="37"/>
      <c r="BA897" s="37"/>
      <c r="BB897" s="226" t="s">
        <v>949</v>
      </c>
      <c r="BC897" s="455">
        <v>442904</v>
      </c>
      <c r="BD897" s="455">
        <v>510664</v>
      </c>
      <c r="BE897" s="455">
        <v>616000</v>
      </c>
      <c r="BF897" s="455">
        <v>788480</v>
      </c>
      <c r="BG897" s="455">
        <v>878416</v>
      </c>
      <c r="BH897" s="21"/>
      <c r="BI897" s="226" t="s">
        <v>949</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955</v>
      </c>
      <c r="BC898" s="456">
        <v>360075</v>
      </c>
      <c r="BD898" s="456">
        <v>415163</v>
      </c>
      <c r="BE898" s="456">
        <v>500800</v>
      </c>
      <c r="BF898" s="456">
        <v>641024</v>
      </c>
      <c r="BG898" s="456">
        <v>714141</v>
      </c>
      <c r="BH898" s="21"/>
      <c r="BI898" s="226" t="s">
        <v>955</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793</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959</v>
      </c>
      <c r="BC899" s="455">
        <v>360075</v>
      </c>
      <c r="BD899" s="455">
        <v>415163</v>
      </c>
      <c r="BE899" s="455">
        <v>500800</v>
      </c>
      <c r="BF899" s="455">
        <v>641024</v>
      </c>
      <c r="BG899" s="455">
        <v>714141</v>
      </c>
      <c r="BH899" s="21"/>
      <c r="BI899" s="226" t="s">
        <v>959</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250" t="s">
        <v>1505</v>
      </c>
      <c r="G901" s="1251"/>
      <c r="H901" s="1251"/>
      <c r="I901" s="1251"/>
      <c r="J901" s="1251"/>
      <c r="K901" s="1251"/>
      <c r="L901" s="1251"/>
      <c r="M901" s="1251"/>
      <c r="N901" s="1251"/>
      <c r="O901" s="1251"/>
      <c r="P901" s="1251"/>
      <c r="Q901" s="1251"/>
      <c r="R901" s="1251"/>
      <c r="S901" s="1251"/>
      <c r="T901" s="1252"/>
      <c r="U901" s="1138" t="s">
        <v>1506</v>
      </c>
      <c r="V901" s="1139"/>
      <c r="W901" s="1139"/>
      <c r="X901" s="1139"/>
      <c r="Y901" s="1139"/>
      <c r="Z901" s="1139"/>
      <c r="AA901" s="43"/>
      <c r="AB901" s="882"/>
      <c r="AC901" s="882"/>
      <c r="AD901" s="882"/>
      <c r="AE901" s="882"/>
      <c r="AF901" s="900"/>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140" t="s">
        <v>1507</v>
      </c>
      <c r="G902" s="1141"/>
      <c r="H902" s="1141"/>
      <c r="I902" s="1141"/>
      <c r="J902" s="1141"/>
      <c r="K902" s="1141"/>
      <c r="L902" s="1141"/>
      <c r="M902" s="1141"/>
      <c r="N902" s="1141"/>
      <c r="O902" s="1141"/>
      <c r="P902" s="1141"/>
      <c r="Q902" s="1141"/>
      <c r="R902" s="1141"/>
      <c r="S902" s="1141"/>
      <c r="T902" s="1196"/>
      <c r="U902" s="1140"/>
      <c r="V902" s="1141"/>
      <c r="W902" s="1141"/>
      <c r="X902" s="1141"/>
      <c r="Y902" s="1141"/>
      <c r="Z902" s="1141"/>
      <c r="AA902" s="44"/>
      <c r="AB902" s="37"/>
      <c r="AC902" s="37"/>
      <c r="AD902" s="37"/>
      <c r="AE902" s="37"/>
      <c r="AF902" s="90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142"/>
      <c r="G903" s="1143"/>
      <c r="H903" s="1143"/>
      <c r="I903" s="1143"/>
      <c r="J903" s="1143"/>
      <c r="K903" s="1143"/>
      <c r="L903" s="1143"/>
      <c r="M903" s="1143"/>
      <c r="N903" s="1143"/>
      <c r="O903" s="1143"/>
      <c r="P903" s="1143"/>
      <c r="Q903" s="1143"/>
      <c r="R903" s="1143"/>
      <c r="S903" s="1143"/>
      <c r="T903" s="1170"/>
      <c r="U903" s="1142"/>
      <c r="V903" s="1143"/>
      <c r="W903" s="1143"/>
      <c r="X903" s="1143"/>
      <c r="Y903" s="1143"/>
      <c r="Z903" s="1143"/>
      <c r="AA903" s="730"/>
      <c r="AB903" s="1470" t="s">
        <v>1508</v>
      </c>
      <c r="AC903" s="1470"/>
      <c r="AD903" s="1470"/>
      <c r="AE903" s="1470"/>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901" t="s">
        <v>1509</v>
      </c>
      <c r="G904" s="1902"/>
      <c r="H904" s="1902"/>
      <c r="I904" s="1902"/>
      <c r="J904" s="1902"/>
      <c r="K904" s="1902"/>
      <c r="L904" s="1902"/>
      <c r="M904" s="1902"/>
      <c r="N904" s="1902"/>
      <c r="O904" s="1902"/>
      <c r="P904" s="1902"/>
      <c r="Q904" s="1902"/>
      <c r="R904" s="1902"/>
      <c r="S904" s="1902"/>
      <c r="T904" s="1903"/>
      <c r="U904" s="1175" t="s">
        <v>326</v>
      </c>
      <c r="V904" s="1095"/>
      <c r="W904" s="1095"/>
      <c r="X904" s="1095"/>
      <c r="Y904" s="1095"/>
      <c r="Z904" s="1096"/>
      <c r="AA904" s="1144"/>
      <c r="AB904" s="1145"/>
      <c r="AC904" s="1145"/>
      <c r="AD904" s="1145"/>
      <c r="AE904" s="1145"/>
      <c r="AF904" s="1146"/>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901" t="s">
        <v>1510</v>
      </c>
      <c r="G905" s="1902"/>
      <c r="H905" s="1902"/>
      <c r="I905" s="1902"/>
      <c r="J905" s="1902"/>
      <c r="K905" s="1902"/>
      <c r="L905" s="1902"/>
      <c r="M905" s="1902"/>
      <c r="N905" s="1902"/>
      <c r="O905" s="1902"/>
      <c r="P905" s="1902"/>
      <c r="Q905" s="1902"/>
      <c r="R905" s="1902"/>
      <c r="S905" s="1902"/>
      <c r="T905" s="1903"/>
      <c r="U905" s="1175" t="s">
        <v>326</v>
      </c>
      <c r="V905" s="1095"/>
      <c r="W905" s="1095"/>
      <c r="X905" s="1095"/>
      <c r="Y905" s="1095"/>
      <c r="Z905" s="1096"/>
      <c r="AA905" s="1144"/>
      <c r="AB905" s="1145"/>
      <c r="AC905" s="1145"/>
      <c r="AD905" s="1145"/>
      <c r="AE905" s="1145"/>
      <c r="AF905" s="1146"/>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904" t="s">
        <v>1511</v>
      </c>
      <c r="G906" s="1905"/>
      <c r="H906" s="1905"/>
      <c r="I906" s="1905"/>
      <c r="J906" s="1905"/>
      <c r="K906" s="1905"/>
      <c r="L906" s="1905"/>
      <c r="M906" s="1905"/>
      <c r="N906" s="1905"/>
      <c r="O906" s="1905"/>
      <c r="P906" s="1905"/>
      <c r="Q906" s="1905"/>
      <c r="R906" s="1905"/>
      <c r="S906" s="1905"/>
      <c r="T906" s="1906"/>
      <c r="U906" s="1175" t="s">
        <v>326</v>
      </c>
      <c r="V906" s="1095"/>
      <c r="W906" s="1095"/>
      <c r="X906" s="1095"/>
      <c r="Y906" s="1095"/>
      <c r="Z906" s="1096"/>
      <c r="AA906" s="1144"/>
      <c r="AB906" s="1145"/>
      <c r="AC906" s="1145"/>
      <c r="AD906" s="1145"/>
      <c r="AE906" s="1145"/>
      <c r="AF906" s="1146"/>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904" t="s">
        <v>1512</v>
      </c>
      <c r="G907" s="1905"/>
      <c r="H907" s="1905"/>
      <c r="I907" s="1905"/>
      <c r="J907" s="1905"/>
      <c r="K907" s="1905"/>
      <c r="L907" s="1905"/>
      <c r="M907" s="1905"/>
      <c r="N907" s="1905"/>
      <c r="O907" s="1905"/>
      <c r="P907" s="1905"/>
      <c r="Q907" s="1905"/>
      <c r="R907" s="1905"/>
      <c r="S907" s="1905"/>
      <c r="T907" s="1906"/>
      <c r="U907" s="1175" t="s">
        <v>326</v>
      </c>
      <c r="V907" s="1095"/>
      <c r="W907" s="1095"/>
      <c r="X907" s="1095"/>
      <c r="Y907" s="1095"/>
      <c r="Z907" s="1096"/>
      <c r="AA907" s="1144"/>
      <c r="AB907" s="1145"/>
      <c r="AC907" s="1145"/>
      <c r="AD907" s="1145"/>
      <c r="AE907" s="1145"/>
      <c r="AF907" s="1146"/>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904" t="s">
        <v>1513</v>
      </c>
      <c r="G908" s="1905"/>
      <c r="H908" s="1905"/>
      <c r="I908" s="1905"/>
      <c r="J908" s="1905"/>
      <c r="K908" s="1905"/>
      <c r="L908" s="1905"/>
      <c r="M908" s="1905"/>
      <c r="N908" s="1905"/>
      <c r="O908" s="1905"/>
      <c r="P908" s="1905"/>
      <c r="Q908" s="1905"/>
      <c r="R908" s="1905"/>
      <c r="S908" s="1905"/>
      <c r="T908" s="1906"/>
      <c r="U908" s="1175" t="s">
        <v>326</v>
      </c>
      <c r="V908" s="1095"/>
      <c r="W908" s="1095"/>
      <c r="X908" s="1095"/>
      <c r="Y908" s="1095"/>
      <c r="Z908" s="1096"/>
      <c r="AA908" s="1144"/>
      <c r="AB908" s="1145"/>
      <c r="AC908" s="1145"/>
      <c r="AD908" s="1145"/>
      <c r="AE908" s="1145"/>
      <c r="AF908" s="1146"/>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901" t="s">
        <v>1514</v>
      </c>
      <c r="G909" s="1902"/>
      <c r="H909" s="1902"/>
      <c r="I909" s="1902"/>
      <c r="J909" s="1902"/>
      <c r="K909" s="1902"/>
      <c r="L909" s="1902"/>
      <c r="M909" s="1902"/>
      <c r="N909" s="1902"/>
      <c r="O909" s="1902"/>
      <c r="P909" s="1902"/>
      <c r="Q909" s="1902"/>
      <c r="R909" s="1902"/>
      <c r="S909" s="1902"/>
      <c r="T909" s="1903"/>
      <c r="U909" s="1175" t="s">
        <v>326</v>
      </c>
      <c r="V909" s="1095"/>
      <c r="W909" s="1095"/>
      <c r="X909" s="1095"/>
      <c r="Y909" s="1095"/>
      <c r="Z909" s="1096"/>
      <c r="AA909" s="1144"/>
      <c r="AB909" s="1145"/>
      <c r="AC909" s="1145"/>
      <c r="AD909" s="1145"/>
      <c r="AE909" s="1145"/>
      <c r="AF909" s="1146"/>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901" t="s">
        <v>1515</v>
      </c>
      <c r="G910" s="1902"/>
      <c r="H910" s="1902"/>
      <c r="I910" s="1902"/>
      <c r="J910" s="1902"/>
      <c r="K910" s="1902"/>
      <c r="L910" s="1902"/>
      <c r="M910" s="1902"/>
      <c r="N910" s="1902"/>
      <c r="O910" s="1902"/>
      <c r="P910" s="1902"/>
      <c r="Q910" s="1902"/>
      <c r="R910" s="1902"/>
      <c r="S910" s="1902"/>
      <c r="T910" s="1903"/>
      <c r="U910" s="1175" t="s">
        <v>326</v>
      </c>
      <c r="V910" s="1095"/>
      <c r="W910" s="1095"/>
      <c r="X910" s="1095"/>
      <c r="Y910" s="1095"/>
      <c r="Z910" s="1096"/>
      <c r="AA910" s="1144"/>
      <c r="AB910" s="1145"/>
      <c r="AC910" s="1145"/>
      <c r="AD910" s="1145"/>
      <c r="AE910" s="1145"/>
      <c r="AF910" s="1146"/>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901" t="s">
        <v>1516</v>
      </c>
      <c r="G911" s="1902"/>
      <c r="H911" s="1902"/>
      <c r="I911" s="1902"/>
      <c r="J911" s="1902"/>
      <c r="K911" s="1902"/>
      <c r="L911" s="1902"/>
      <c r="M911" s="1902"/>
      <c r="N911" s="1902"/>
      <c r="O911" s="1902"/>
      <c r="P911" s="1902"/>
      <c r="Q911" s="1902"/>
      <c r="R911" s="1902"/>
      <c r="S911" s="1902"/>
      <c r="T911" s="1903"/>
      <c r="U911" s="1175" t="s">
        <v>326</v>
      </c>
      <c r="V911" s="1095"/>
      <c r="W911" s="1095"/>
      <c r="X911" s="1095"/>
      <c r="Y911" s="1095"/>
      <c r="Z911" s="1096"/>
      <c r="AA911" s="1144"/>
      <c r="AB911" s="1145"/>
      <c r="AC911" s="1145"/>
      <c r="AD911" s="1145"/>
      <c r="AE911" s="1145"/>
      <c r="AF911" s="1146"/>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901" t="s">
        <v>1517</v>
      </c>
      <c r="G912" s="1902"/>
      <c r="H912" s="1902"/>
      <c r="I912" s="1902"/>
      <c r="J912" s="1902"/>
      <c r="K912" s="1902"/>
      <c r="L912" s="1902"/>
      <c r="M912" s="1902"/>
      <c r="N912" s="1902"/>
      <c r="O912" s="1902"/>
      <c r="P912" s="1902"/>
      <c r="Q912" s="1902"/>
      <c r="R912" s="1902"/>
      <c r="S912" s="1902"/>
      <c r="T912" s="1903"/>
      <c r="U912" s="1175" t="s">
        <v>326</v>
      </c>
      <c r="V912" s="1095"/>
      <c r="W912" s="1095"/>
      <c r="X912" s="1095"/>
      <c r="Y912" s="1095"/>
      <c r="Z912" s="1096"/>
      <c r="AA912" s="1144"/>
      <c r="AB912" s="1145"/>
      <c r="AC912" s="1145"/>
      <c r="AD912" s="1145"/>
      <c r="AE912" s="1145"/>
      <c r="AF912" s="1146"/>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901" t="s">
        <v>1518</v>
      </c>
      <c r="G913" s="1902"/>
      <c r="H913" s="1902"/>
      <c r="I913" s="1902"/>
      <c r="J913" s="1902"/>
      <c r="K913" s="1902"/>
      <c r="L913" s="1902"/>
      <c r="M913" s="1902"/>
      <c r="N913" s="1902"/>
      <c r="O913" s="1902"/>
      <c r="P913" s="1902"/>
      <c r="Q913" s="1902"/>
      <c r="R913" s="1902"/>
      <c r="S913" s="1902"/>
      <c r="T913" s="1903"/>
      <c r="U913" s="1175" t="s">
        <v>326</v>
      </c>
      <c r="V913" s="1095"/>
      <c r="W913" s="1095"/>
      <c r="X913" s="1095"/>
      <c r="Y913" s="1095"/>
      <c r="Z913" s="1096"/>
      <c r="AA913" s="1144"/>
      <c r="AB913" s="1145"/>
      <c r="AC913" s="1145"/>
      <c r="AD913" s="1145"/>
      <c r="AE913" s="1145"/>
      <c r="AF913" s="1146"/>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901" t="s">
        <v>1519</v>
      </c>
      <c r="G914" s="1902"/>
      <c r="H914" s="1902"/>
      <c r="I914" s="1902"/>
      <c r="J914" s="1902"/>
      <c r="K914" s="1902"/>
      <c r="L914" s="1902"/>
      <c r="M914" s="1902"/>
      <c r="N914" s="1902"/>
      <c r="O914" s="1902"/>
      <c r="P914" s="1902"/>
      <c r="Q914" s="1902"/>
      <c r="R914" s="1902"/>
      <c r="S914" s="1902"/>
      <c r="T914" s="1903"/>
      <c r="U914" s="1175" t="s">
        <v>326</v>
      </c>
      <c r="V914" s="1095"/>
      <c r="W914" s="1095"/>
      <c r="X914" s="1095"/>
      <c r="Y914" s="1095"/>
      <c r="Z914" s="1096"/>
      <c r="AA914" s="1144"/>
      <c r="AB914" s="1145"/>
      <c r="AC914" s="1145"/>
      <c r="AD914" s="1145"/>
      <c r="AE914" s="1145"/>
      <c r="AF914" s="1146"/>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901" t="s">
        <v>1520</v>
      </c>
      <c r="G915" s="1902"/>
      <c r="H915" s="1902"/>
      <c r="I915" s="1902"/>
      <c r="J915" s="1902"/>
      <c r="K915" s="1902"/>
      <c r="L915" s="1902"/>
      <c r="M915" s="1902"/>
      <c r="N915" s="1902"/>
      <c r="O915" s="1902"/>
      <c r="P915" s="1902"/>
      <c r="Q915" s="1902"/>
      <c r="R915" s="1902"/>
      <c r="S915" s="1902"/>
      <c r="T915" s="1903"/>
      <c r="U915" s="1175" t="s">
        <v>326</v>
      </c>
      <c r="V915" s="1095"/>
      <c r="W915" s="1095"/>
      <c r="X915" s="1095"/>
      <c r="Y915" s="1095"/>
      <c r="Z915" s="1096"/>
      <c r="AA915" s="1144"/>
      <c r="AB915" s="1145"/>
      <c r="AC915" s="1145"/>
      <c r="AD915" s="1145"/>
      <c r="AE915" s="1145"/>
      <c r="AF915" s="1146"/>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901" t="s">
        <v>1521</v>
      </c>
      <c r="G916" s="1902"/>
      <c r="H916" s="1902"/>
      <c r="I916" s="1902"/>
      <c r="J916" s="1902"/>
      <c r="K916" s="1902"/>
      <c r="L916" s="1902"/>
      <c r="M916" s="1902"/>
      <c r="N916" s="1902"/>
      <c r="O916" s="1902"/>
      <c r="P916" s="1902"/>
      <c r="Q916" s="1902"/>
      <c r="R916" s="1902"/>
      <c r="S916" s="1902"/>
      <c r="T916" s="1903"/>
      <c r="U916" s="1175" t="s">
        <v>326</v>
      </c>
      <c r="V916" s="1095"/>
      <c r="W916" s="1095"/>
      <c r="X916" s="1095"/>
      <c r="Y916" s="1095"/>
      <c r="Z916" s="1096"/>
      <c r="AA916" s="1144"/>
      <c r="AB916" s="1145"/>
      <c r="AC916" s="1145"/>
      <c r="AD916" s="1145"/>
      <c r="AE916" s="1145"/>
      <c r="AF916" s="1146"/>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907" t="s">
        <v>1522</v>
      </c>
      <c r="G917" s="1908"/>
      <c r="H917" s="1908"/>
      <c r="I917" s="1908"/>
      <c r="J917" s="1908"/>
      <c r="K917" s="1908"/>
      <c r="L917" s="1908"/>
      <c r="M917" s="1908"/>
      <c r="N917" s="1908"/>
      <c r="O917" s="1908"/>
      <c r="P917" s="1908"/>
      <c r="Q917" s="1908"/>
      <c r="R917" s="1908"/>
      <c r="S917" s="1908"/>
      <c r="T917" s="1909"/>
      <c r="U917" s="1175" t="s">
        <v>326</v>
      </c>
      <c r="V917" s="1095"/>
      <c r="W917" s="1095"/>
      <c r="X917" s="1095"/>
      <c r="Y917" s="1095"/>
      <c r="Z917" s="1096"/>
      <c r="AA917" s="1144"/>
      <c r="AB917" s="1145"/>
      <c r="AC917" s="1145"/>
      <c r="AD917" s="1145"/>
      <c r="AE917" s="1145"/>
      <c r="AF917" s="1146"/>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901" t="s">
        <v>1523</v>
      </c>
      <c r="G918" s="1902"/>
      <c r="H918" s="1902"/>
      <c r="I918" s="1902"/>
      <c r="J918" s="1902"/>
      <c r="K918" s="1902"/>
      <c r="L918" s="1902"/>
      <c r="M918" s="1902"/>
      <c r="N918" s="1902"/>
      <c r="O918" s="1902"/>
      <c r="P918" s="1902"/>
      <c r="Q918" s="1902"/>
      <c r="R918" s="1902"/>
      <c r="S918" s="1902"/>
      <c r="T918" s="1903"/>
      <c r="U918" s="1175" t="s">
        <v>326</v>
      </c>
      <c r="V918" s="1095"/>
      <c r="W918" s="1095"/>
      <c r="X918" s="1095"/>
      <c r="Y918" s="1095"/>
      <c r="Z918" s="1096"/>
      <c r="AA918" s="1144"/>
      <c r="AB918" s="1145"/>
      <c r="AC918" s="1145"/>
      <c r="AD918" s="1145"/>
      <c r="AE918" s="1145"/>
      <c r="AF918" s="1146"/>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904" t="s">
        <v>1524</v>
      </c>
      <c r="G919" s="1905"/>
      <c r="H919" s="1905"/>
      <c r="I919" s="1905"/>
      <c r="J919" s="1905"/>
      <c r="K919" s="1905"/>
      <c r="L919" s="1905"/>
      <c r="M919" s="1905"/>
      <c r="N919" s="1905"/>
      <c r="O919" s="1905"/>
      <c r="P919" s="1905"/>
      <c r="Q919" s="1905"/>
      <c r="R919" s="1905"/>
      <c r="S919" s="1905"/>
      <c r="T919" s="1906"/>
      <c r="U919" s="1175" t="s">
        <v>326</v>
      </c>
      <c r="V919" s="1095"/>
      <c r="W919" s="1095"/>
      <c r="X919" s="1095"/>
      <c r="Y919" s="1095"/>
      <c r="Z919" s="1096"/>
      <c r="AA919" s="1144"/>
      <c r="AB919" s="1145"/>
      <c r="AC919" s="1145"/>
      <c r="AD919" s="1145"/>
      <c r="AE919" s="1145"/>
      <c r="AF919" s="1146"/>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904" t="s">
        <v>1525</v>
      </c>
      <c r="G920" s="1905"/>
      <c r="H920" s="1905"/>
      <c r="I920" s="1905"/>
      <c r="J920" s="1905"/>
      <c r="K920" s="1905"/>
      <c r="L920" s="1905"/>
      <c r="M920" s="1905"/>
      <c r="N920" s="1905"/>
      <c r="O920" s="1905"/>
      <c r="P920" s="1905"/>
      <c r="Q920" s="1905"/>
      <c r="R920" s="1905"/>
      <c r="S920" s="1905"/>
      <c r="T920" s="1906"/>
      <c r="U920" s="1175" t="s">
        <v>326</v>
      </c>
      <c r="V920" s="1095"/>
      <c r="W920" s="1095"/>
      <c r="X920" s="1095"/>
      <c r="Y920" s="1095"/>
      <c r="Z920" s="1096"/>
      <c r="AA920" s="1144"/>
      <c r="AB920" s="1145"/>
      <c r="AC920" s="1145"/>
      <c r="AD920" s="1145"/>
      <c r="AE920" s="1145"/>
      <c r="AF920" s="1146"/>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904" t="s">
        <v>1526</v>
      </c>
      <c r="G921" s="1905"/>
      <c r="H921" s="1905"/>
      <c r="I921" s="1905"/>
      <c r="J921" s="1905"/>
      <c r="K921" s="1905"/>
      <c r="L921" s="1905"/>
      <c r="M921" s="1905"/>
      <c r="N921" s="1905"/>
      <c r="O921" s="1905"/>
      <c r="P921" s="1905"/>
      <c r="Q921" s="1905"/>
      <c r="R921" s="1905"/>
      <c r="S921" s="1905"/>
      <c r="T921" s="1906"/>
      <c r="U921" s="1175" t="s">
        <v>326</v>
      </c>
      <c r="V921" s="1095"/>
      <c r="W921" s="1095"/>
      <c r="X921" s="1095"/>
      <c r="Y921" s="1095"/>
      <c r="Z921" s="1096"/>
      <c r="AA921" s="1144"/>
      <c r="AB921" s="1145"/>
      <c r="AC921" s="1145"/>
      <c r="AD921" s="1145"/>
      <c r="AE921" s="1145"/>
      <c r="AF921" s="1146"/>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901" t="s">
        <v>1527</v>
      </c>
      <c r="G922" s="1902"/>
      <c r="H922" s="1902"/>
      <c r="I922" s="1902"/>
      <c r="J922" s="1902"/>
      <c r="K922" s="1902"/>
      <c r="L922" s="1902"/>
      <c r="M922" s="1902"/>
      <c r="N922" s="1902"/>
      <c r="O922" s="1902"/>
      <c r="P922" s="1902"/>
      <c r="Q922" s="1902"/>
      <c r="R922" s="1902"/>
      <c r="S922" s="1902"/>
      <c r="T922" s="1903"/>
      <c r="U922" s="1040" t="s">
        <v>326</v>
      </c>
      <c r="V922" s="1041"/>
      <c r="W922" s="1041"/>
      <c r="X922" s="1041"/>
      <c r="Y922" s="1041"/>
      <c r="Z922" s="1042"/>
      <c r="AA922" s="1217"/>
      <c r="AB922" s="1106"/>
      <c r="AC922" s="1106"/>
      <c r="AD922" s="1106"/>
      <c r="AE922" s="1106"/>
      <c r="AF922" s="1218"/>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901" t="s">
        <v>1528</v>
      </c>
      <c r="G923" s="1902"/>
      <c r="H923" s="1902"/>
      <c r="I923" s="1902"/>
      <c r="J923" s="1902"/>
      <c r="K923" s="1902"/>
      <c r="L923" s="1902"/>
      <c r="M923" s="1902"/>
      <c r="N923" s="1902"/>
      <c r="O923" s="1902"/>
      <c r="P923" s="1902"/>
      <c r="Q923" s="1902"/>
      <c r="R923" s="1902"/>
      <c r="S923" s="1902"/>
      <c r="T923" s="1903"/>
      <c r="U923" s="1040" t="s">
        <v>326</v>
      </c>
      <c r="V923" s="1041"/>
      <c r="W923" s="1041"/>
      <c r="X923" s="1041"/>
      <c r="Y923" s="1041"/>
      <c r="Z923" s="1042"/>
      <c r="AA923" s="1217"/>
      <c r="AB923" s="1106"/>
      <c r="AC923" s="1106"/>
      <c r="AD923" s="1106"/>
      <c r="AE923" s="1106"/>
      <c r="AF923" s="1218"/>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901" t="s">
        <v>1529</v>
      </c>
      <c r="G924" s="1902"/>
      <c r="H924" s="1902"/>
      <c r="I924" s="1902"/>
      <c r="J924" s="1902"/>
      <c r="K924" s="1902"/>
      <c r="L924" s="1902"/>
      <c r="M924" s="1902"/>
      <c r="N924" s="1902"/>
      <c r="O924" s="1902"/>
      <c r="P924" s="1902"/>
      <c r="Q924" s="1902"/>
      <c r="R924" s="1902"/>
      <c r="S924" s="1902"/>
      <c r="T924" s="1903"/>
      <c r="U924" s="1040" t="s">
        <v>326</v>
      </c>
      <c r="V924" s="1041"/>
      <c r="W924" s="1041"/>
      <c r="X924" s="1041"/>
      <c r="Y924" s="1041"/>
      <c r="Z924" s="1042"/>
      <c r="AA924" s="1217"/>
      <c r="AB924" s="1106"/>
      <c r="AC924" s="1106"/>
      <c r="AD924" s="1106"/>
      <c r="AE924" s="1106"/>
      <c r="AF924" s="1218"/>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904" t="s">
        <v>1530</v>
      </c>
      <c r="G925" s="1905"/>
      <c r="H925" s="1905"/>
      <c r="I925" s="1905"/>
      <c r="J925" s="1905"/>
      <c r="K925" s="1905"/>
      <c r="L925" s="1905"/>
      <c r="M925" s="1905"/>
      <c r="N925" s="1905"/>
      <c r="O925" s="1905"/>
      <c r="P925" s="1905"/>
      <c r="Q925" s="1905"/>
      <c r="R925" s="1905"/>
      <c r="S925" s="1905"/>
      <c r="T925" s="1906"/>
      <c r="U925" s="1175" t="s">
        <v>326</v>
      </c>
      <c r="V925" s="1095"/>
      <c r="W925" s="1095"/>
      <c r="X925" s="1095"/>
      <c r="Y925" s="1095"/>
      <c r="Z925" s="1096"/>
      <c r="AA925" s="1144"/>
      <c r="AB925" s="1145"/>
      <c r="AC925" s="1145"/>
      <c r="AD925" s="1145"/>
      <c r="AE925" s="1145"/>
      <c r="AF925" s="1146"/>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904" t="s">
        <v>1531</v>
      </c>
      <c r="G926" s="1905"/>
      <c r="H926" s="1905"/>
      <c r="I926" s="1905"/>
      <c r="J926" s="1905"/>
      <c r="K926" s="1905"/>
      <c r="L926" s="1905"/>
      <c r="M926" s="1905"/>
      <c r="N926" s="1905"/>
      <c r="O926" s="1905"/>
      <c r="P926" s="1905"/>
      <c r="Q926" s="1905"/>
      <c r="R926" s="1905"/>
      <c r="S926" s="1905"/>
      <c r="T926" s="1906"/>
      <c r="U926" s="1175" t="s">
        <v>326</v>
      </c>
      <c r="V926" s="1095"/>
      <c r="W926" s="1095"/>
      <c r="X926" s="1095"/>
      <c r="Y926" s="1095"/>
      <c r="Z926" s="1096"/>
      <c r="AA926" s="1144"/>
      <c r="AB926" s="1145"/>
      <c r="AC926" s="1145"/>
      <c r="AD926" s="1145"/>
      <c r="AE926" s="1145"/>
      <c r="AF926" s="1146"/>
      <c r="AL926" s="902"/>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904" t="s">
        <v>1532</v>
      </c>
      <c r="G927" s="1905"/>
      <c r="H927" s="1905"/>
      <c r="I927" s="1905"/>
      <c r="J927" s="1905"/>
      <c r="K927" s="1905"/>
      <c r="L927" s="1905"/>
      <c r="M927" s="1905"/>
      <c r="N927" s="1905"/>
      <c r="O927" s="1905"/>
      <c r="P927" s="1905"/>
      <c r="Q927" s="1905"/>
      <c r="R927" s="1905"/>
      <c r="S927" s="1905"/>
      <c r="T927" s="1906"/>
      <c r="U927" s="1175" t="s">
        <v>326</v>
      </c>
      <c r="V927" s="1095"/>
      <c r="W927" s="1095"/>
      <c r="X927" s="1095"/>
      <c r="Y927" s="1095"/>
      <c r="Z927" s="1096"/>
      <c r="AA927" s="1144"/>
      <c r="AB927" s="1145"/>
      <c r="AC927" s="1145"/>
      <c r="AD927" s="1145"/>
      <c r="AE927" s="1145"/>
      <c r="AF927" s="1146"/>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904" t="s">
        <v>1533</v>
      </c>
      <c r="G928" s="1905"/>
      <c r="H928" s="1905"/>
      <c r="I928" s="1905"/>
      <c r="J928" s="1905"/>
      <c r="K928" s="1905"/>
      <c r="L928" s="1905"/>
      <c r="M928" s="1905"/>
      <c r="N928" s="1905"/>
      <c r="O928" s="1905"/>
      <c r="P928" s="1905"/>
      <c r="Q928" s="1905"/>
      <c r="R928" s="1905"/>
      <c r="S928" s="1905"/>
      <c r="T928" s="1906"/>
      <c r="U928" s="1175" t="s">
        <v>326</v>
      </c>
      <c r="V928" s="1095"/>
      <c r="W928" s="1095"/>
      <c r="X928" s="1095"/>
      <c r="Y928" s="1095"/>
      <c r="Z928" s="1096"/>
      <c r="AA928" s="1144"/>
      <c r="AB928" s="1145"/>
      <c r="AC928" s="1145"/>
      <c r="AD928" s="1145"/>
      <c r="AE928" s="1145"/>
      <c r="AF928" s="1146"/>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904" t="s">
        <v>1534</v>
      </c>
      <c r="G929" s="1905"/>
      <c r="H929" s="1905"/>
      <c r="I929" s="1905"/>
      <c r="J929" s="1905"/>
      <c r="K929" s="1905"/>
      <c r="L929" s="1905"/>
      <c r="M929" s="1905"/>
      <c r="N929" s="1905"/>
      <c r="O929" s="1905"/>
      <c r="P929" s="1905"/>
      <c r="Q929" s="1905"/>
      <c r="R929" s="1905"/>
      <c r="S929" s="1905"/>
      <c r="T929" s="1906"/>
      <c r="U929" s="1175" t="s">
        <v>326</v>
      </c>
      <c r="V929" s="1095"/>
      <c r="W929" s="1095"/>
      <c r="X929" s="1095"/>
      <c r="Y929" s="1095"/>
      <c r="Z929" s="1096"/>
      <c r="AA929" s="1144"/>
      <c r="AB929" s="1145"/>
      <c r="AC929" s="1145"/>
      <c r="AD929" s="1145"/>
      <c r="AE929" s="1145"/>
      <c r="AF929" s="1146"/>
      <c r="AL929" s="902"/>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1535</v>
      </c>
      <c r="G930" s="9"/>
      <c r="H930" s="9"/>
      <c r="I930" s="9"/>
      <c r="J930" s="9"/>
      <c r="K930" s="9"/>
      <c r="L930" s="9"/>
      <c r="M930" s="9"/>
      <c r="N930" s="9"/>
      <c r="O930" s="9"/>
      <c r="P930" s="1040" t="s">
        <v>708</v>
      </c>
      <c r="Q930" s="1095"/>
      <c r="R930" s="1095"/>
      <c r="S930" s="1095"/>
      <c r="T930" s="1096"/>
      <c r="U930" s="1175" t="s">
        <v>326</v>
      </c>
      <c r="V930" s="1095"/>
      <c r="W930" s="1095"/>
      <c r="X930" s="1095"/>
      <c r="Y930" s="1095"/>
      <c r="Z930" s="1096"/>
      <c r="AA930" s="1144"/>
      <c r="AB930" s="1145"/>
      <c r="AC930" s="1145"/>
      <c r="AD930" s="1145"/>
      <c r="AE930" s="1145"/>
      <c r="AF930" s="1146"/>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901" t="s">
        <v>1536</v>
      </c>
      <c r="G931" s="1902"/>
      <c r="H931" s="1903"/>
      <c r="I931" s="1129" t="s">
        <v>1169</v>
      </c>
      <c r="J931" s="1130"/>
      <c r="K931" s="1130"/>
      <c r="L931" s="1130"/>
      <c r="M931" s="1130"/>
      <c r="N931" s="1130"/>
      <c r="O931" s="1130"/>
      <c r="P931" s="1130"/>
      <c r="Q931" s="1130"/>
      <c r="R931" s="1130"/>
      <c r="S931" s="1130"/>
      <c r="T931" s="1131"/>
      <c r="U931" s="1175" t="s">
        <v>326</v>
      </c>
      <c r="V931" s="1095"/>
      <c r="W931" s="1095"/>
      <c r="X931" s="1095"/>
      <c r="Y931" s="1095"/>
      <c r="Z931" s="1096"/>
      <c r="AA931" s="1144"/>
      <c r="AB931" s="1145"/>
      <c r="AC931" s="1145"/>
      <c r="AD931" s="1145"/>
      <c r="AE931" s="1145"/>
      <c r="AF931" s="1146"/>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901" t="s">
        <v>986</v>
      </c>
      <c r="G932" s="1902"/>
      <c r="H932" s="1903"/>
      <c r="I932" s="1129" t="s">
        <v>1169</v>
      </c>
      <c r="J932" s="1130"/>
      <c r="K932" s="1130"/>
      <c r="L932" s="1130"/>
      <c r="M932" s="1130"/>
      <c r="N932" s="1130"/>
      <c r="O932" s="1130"/>
      <c r="P932" s="1130"/>
      <c r="Q932" s="1130"/>
      <c r="R932" s="1130"/>
      <c r="S932" s="1130"/>
      <c r="T932" s="1131"/>
      <c r="U932" s="1175" t="s">
        <v>326</v>
      </c>
      <c r="V932" s="1095"/>
      <c r="W932" s="1095"/>
      <c r="X932" s="1095"/>
      <c r="Y932" s="1095"/>
      <c r="Z932" s="1096"/>
      <c r="AA932" s="1144"/>
      <c r="AB932" s="1145"/>
      <c r="AC932" s="1145"/>
      <c r="AD932" s="1145"/>
      <c r="AE932" s="1145"/>
      <c r="AF932" s="1146"/>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901" t="s">
        <v>1537</v>
      </c>
      <c r="G933" s="1902"/>
      <c r="H933" s="1903"/>
      <c r="I933" s="1129" t="str">
        <f>C631</f>
        <v>City of San Jose Loan</v>
      </c>
      <c r="J933" s="1130"/>
      <c r="K933" s="1130"/>
      <c r="L933" s="1130"/>
      <c r="M933" s="1130"/>
      <c r="N933" s="1130"/>
      <c r="O933" s="1130"/>
      <c r="P933" s="1130"/>
      <c r="Q933" s="1130"/>
      <c r="R933" s="1130"/>
      <c r="S933" s="1130"/>
      <c r="T933" s="1131"/>
      <c r="U933" s="1175" t="s">
        <v>765</v>
      </c>
      <c r="V933" s="1095"/>
      <c r="W933" s="1095"/>
      <c r="X933" s="1095"/>
      <c r="Y933" s="1095"/>
      <c r="Z933" s="1096"/>
      <c r="AA933" s="1144">
        <f>AO631</f>
        <v>5700000</v>
      </c>
      <c r="AB933" s="1145"/>
      <c r="AC933" s="1145"/>
      <c r="AD933" s="1145"/>
      <c r="AE933" s="1145"/>
      <c r="AF933" s="1146"/>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901" t="s">
        <v>1168</v>
      </c>
      <c r="G934" s="1902"/>
      <c r="H934" s="1903"/>
      <c r="I934" s="1129" t="str">
        <f>C632</f>
        <v>SCCHA MTW Loan</v>
      </c>
      <c r="J934" s="1130"/>
      <c r="K934" s="1130"/>
      <c r="L934" s="1130"/>
      <c r="M934" s="1130"/>
      <c r="N934" s="1130"/>
      <c r="O934" s="1130"/>
      <c r="P934" s="1130"/>
      <c r="Q934" s="1130"/>
      <c r="R934" s="1130"/>
      <c r="S934" s="1130"/>
      <c r="T934" s="1131"/>
      <c r="U934" s="1175" t="s">
        <v>765</v>
      </c>
      <c r="V934" s="1095"/>
      <c r="W934" s="1095"/>
      <c r="X934" s="1095"/>
      <c r="Y934" s="1095"/>
      <c r="Z934" s="1096"/>
      <c r="AA934" s="1144">
        <f>AO632</f>
        <v>9517984</v>
      </c>
      <c r="AB934" s="1145"/>
      <c r="AC934" s="1145"/>
      <c r="AD934" s="1145"/>
      <c r="AE934" s="1145"/>
      <c r="AF934" s="1146"/>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901" t="s">
        <v>1168</v>
      </c>
      <c r="G935" s="1902"/>
      <c r="H935" s="1903"/>
      <c r="I935" s="1129" t="s">
        <v>1538</v>
      </c>
      <c r="J935" s="1130"/>
      <c r="K935" s="1130"/>
      <c r="L935" s="1130"/>
      <c r="M935" s="1130"/>
      <c r="N935" s="1130"/>
      <c r="O935" s="1130"/>
      <c r="P935" s="1130"/>
      <c r="Q935" s="1130"/>
      <c r="R935" s="1130"/>
      <c r="S935" s="1130"/>
      <c r="T935" s="1131"/>
      <c r="U935" s="1175" t="s">
        <v>765</v>
      </c>
      <c r="V935" s="1095"/>
      <c r="W935" s="1095"/>
      <c r="X935" s="1095"/>
      <c r="Y935" s="1095"/>
      <c r="Z935" s="1096"/>
      <c r="AA935" s="1254">
        <f>AO629+AO630</f>
        <v>1122000</v>
      </c>
      <c r="AB935" s="1145"/>
      <c r="AC935" s="1145"/>
      <c r="AD935" s="1145"/>
      <c r="AE935" s="1145"/>
      <c r="AF935" s="1146"/>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828</v>
      </c>
      <c r="C937" s="3" t="s">
        <v>243</v>
      </c>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1539</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2"/>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1540</v>
      </c>
      <c r="D940" s="9"/>
      <c r="E940" s="9"/>
      <c r="F940" s="9"/>
      <c r="G940" s="9"/>
      <c r="H940" s="9"/>
      <c r="I940" s="9"/>
      <c r="J940" s="9"/>
      <c r="K940" s="9"/>
      <c r="L940" s="1212">
        <v>46113</v>
      </c>
      <c r="M940" s="1267"/>
      <c r="N940" s="1267"/>
      <c r="O940" s="1267"/>
      <c r="P940" s="1267"/>
      <c r="Q940" s="1267"/>
      <c r="R940" s="1267"/>
      <c r="S940" s="1318"/>
      <c r="U940" s="178" t="s">
        <v>1540</v>
      </c>
      <c r="V940" s="9"/>
      <c r="W940" s="9"/>
      <c r="X940" s="9"/>
      <c r="Y940" s="9"/>
      <c r="Z940" s="9"/>
      <c r="AA940" s="9"/>
      <c r="AB940" s="9"/>
      <c r="AC940" s="9"/>
      <c r="AD940" s="45"/>
      <c r="AE940" s="1212"/>
      <c r="AF940" s="1213"/>
      <c r="AG940" s="1213"/>
      <c r="AH940" s="1213"/>
      <c r="AI940" s="1213"/>
      <c r="AJ940" s="1213"/>
      <c r="AK940" s="1214"/>
      <c r="AL940" s="902"/>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1541</v>
      </c>
      <c r="D941" s="9"/>
      <c r="E941" s="9"/>
      <c r="F941" s="9"/>
      <c r="G941" s="9"/>
      <c r="H941" s="9"/>
      <c r="I941" s="9"/>
      <c r="J941" s="9"/>
      <c r="K941" s="9"/>
      <c r="L941" s="1317" t="s">
        <v>1024</v>
      </c>
      <c r="M941" s="1267"/>
      <c r="N941" s="1267"/>
      <c r="O941" s="1267"/>
      <c r="P941" s="1267"/>
      <c r="Q941" s="1267"/>
      <c r="R941" s="1267"/>
      <c r="S941" s="1318"/>
      <c r="U941" s="178" t="s">
        <v>1541</v>
      </c>
      <c r="V941" s="9"/>
      <c r="W941" s="9"/>
      <c r="X941" s="9"/>
      <c r="Y941" s="9"/>
      <c r="Z941" s="9"/>
      <c r="AA941" s="9"/>
      <c r="AB941" s="9"/>
      <c r="AC941" s="9"/>
      <c r="AD941" s="45"/>
      <c r="AE941" s="1215"/>
      <c r="AF941" s="1118"/>
      <c r="AG941" s="1118"/>
      <c r="AH941" s="1118"/>
      <c r="AI941" s="1118"/>
      <c r="AJ941" s="1118"/>
      <c r="AK941" s="1216"/>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1542</v>
      </c>
      <c r="D942" s="9"/>
      <c r="E942" s="9"/>
      <c r="L942" s="1132" t="s">
        <v>1543</v>
      </c>
      <c r="M942" s="1133"/>
      <c r="N942" s="1133"/>
      <c r="O942" s="1133"/>
      <c r="P942" s="1133"/>
      <c r="Q942" s="1133"/>
      <c r="R942" s="1133"/>
      <c r="S942" s="1134"/>
      <c r="U942" s="178" t="s">
        <v>1542</v>
      </c>
      <c r="V942" s="9"/>
      <c r="W942" s="9"/>
      <c r="AE942" s="1132" t="s">
        <v>321</v>
      </c>
      <c r="AF942" s="1133"/>
      <c r="AG942" s="1133"/>
      <c r="AH942" s="1133"/>
      <c r="AI942" s="1133"/>
      <c r="AJ942" s="1133"/>
      <c r="AK942" s="1134"/>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1544</v>
      </c>
      <c r="D943" s="9"/>
      <c r="E943" s="9"/>
      <c r="F943" s="9"/>
      <c r="G943" s="9"/>
      <c r="H943" s="9"/>
      <c r="I943" s="9"/>
      <c r="J943" s="9"/>
      <c r="K943" s="9"/>
      <c r="L943" s="1164">
        <f>57/57</f>
        <v>1</v>
      </c>
      <c r="M943" s="1165"/>
      <c r="N943" s="1165"/>
      <c r="O943" s="1165"/>
      <c r="P943" s="1165"/>
      <c r="Q943" s="1165"/>
      <c r="R943" s="1165"/>
      <c r="S943" s="1166"/>
      <c r="U943" s="178" t="s">
        <v>1544</v>
      </c>
      <c r="V943" s="9"/>
      <c r="W943" s="9"/>
      <c r="X943" s="9"/>
      <c r="Y943" s="9"/>
      <c r="Z943" s="9"/>
      <c r="AA943" s="9"/>
      <c r="AB943" s="9"/>
      <c r="AC943" s="9"/>
      <c r="AD943" s="45"/>
      <c r="AE943" s="1164"/>
      <c r="AF943" s="1165"/>
      <c r="AG943" s="1165"/>
      <c r="AH943" s="1165"/>
      <c r="AI943" s="1165"/>
      <c r="AJ943" s="1165"/>
      <c r="AK943" s="1166"/>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1545</v>
      </c>
      <c r="D944" s="9"/>
      <c r="E944" s="9"/>
      <c r="F944" s="9"/>
      <c r="G944" s="9"/>
      <c r="H944" s="9"/>
      <c r="I944" s="9"/>
      <c r="J944" s="9"/>
      <c r="K944" s="9"/>
      <c r="L944" s="1158">
        <v>57</v>
      </c>
      <c r="M944" s="1159"/>
      <c r="N944" s="1159"/>
      <c r="O944" s="1159"/>
      <c r="P944" s="1159"/>
      <c r="Q944" s="1159"/>
      <c r="R944" s="1159"/>
      <c r="S944" s="1160"/>
      <c r="U944" s="178" t="s">
        <v>1545</v>
      </c>
      <c r="V944" s="9"/>
      <c r="W944" s="9"/>
      <c r="X944" s="9"/>
      <c r="Y944" s="9"/>
      <c r="Z944" s="9"/>
      <c r="AA944" s="9"/>
      <c r="AB944" s="9"/>
      <c r="AC944" s="9"/>
      <c r="AD944" s="45"/>
      <c r="AE944" s="1161"/>
      <c r="AF944" s="1162"/>
      <c r="AG944" s="1162"/>
      <c r="AH944" s="1162"/>
      <c r="AI944" s="1162"/>
      <c r="AJ944" s="1162"/>
      <c r="AK944" s="1163"/>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1546</v>
      </c>
      <c r="D945" s="9"/>
      <c r="E945" s="9"/>
      <c r="F945" s="9"/>
      <c r="G945" s="9"/>
      <c r="H945" s="9"/>
      <c r="I945" s="9"/>
      <c r="J945" s="9"/>
      <c r="K945" s="9"/>
      <c r="L945" s="1176">
        <f>Z796</f>
        <v>1071144</v>
      </c>
      <c r="M945" s="1177"/>
      <c r="N945" s="1177"/>
      <c r="O945" s="1177"/>
      <c r="P945" s="1177"/>
      <c r="Q945" s="1177"/>
      <c r="R945" s="1177"/>
      <c r="S945" s="1178"/>
      <c r="U945" s="178" t="s">
        <v>1546</v>
      </c>
      <c r="V945" s="9"/>
      <c r="W945" s="9"/>
      <c r="X945" s="9"/>
      <c r="Y945" s="9"/>
      <c r="Z945" s="9"/>
      <c r="AA945" s="9"/>
      <c r="AB945" s="9"/>
      <c r="AC945" s="9"/>
      <c r="AD945" s="45"/>
      <c r="AE945" s="1144"/>
      <c r="AF945" s="1145"/>
      <c r="AG945" s="1145"/>
      <c r="AH945" s="1145"/>
      <c r="AI945" s="1145"/>
      <c r="AJ945" s="1145"/>
      <c r="AK945" s="1146"/>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1547</v>
      </c>
      <c r="D946" s="9"/>
      <c r="E946" s="9"/>
      <c r="F946" s="9"/>
      <c r="G946" s="9"/>
      <c r="H946" s="9"/>
      <c r="I946" s="9"/>
      <c r="J946" s="9"/>
      <c r="K946" s="9"/>
      <c r="L946" s="1176">
        <f>L945*L947</f>
        <v>21422880</v>
      </c>
      <c r="M946" s="1177"/>
      <c r="N946" s="1177"/>
      <c r="O946" s="1177"/>
      <c r="P946" s="1177"/>
      <c r="Q946" s="1177"/>
      <c r="R946" s="1177"/>
      <c r="S946" s="1178"/>
      <c r="U946" s="178" t="s">
        <v>1547</v>
      </c>
      <c r="V946" s="9"/>
      <c r="W946" s="9"/>
      <c r="X946" s="9"/>
      <c r="Y946" s="9"/>
      <c r="Z946" s="9"/>
      <c r="AA946" s="9"/>
      <c r="AB946" s="9"/>
      <c r="AC946" s="9"/>
      <c r="AD946" s="45"/>
      <c r="AE946" s="1144"/>
      <c r="AF946" s="1145"/>
      <c r="AG946" s="1145"/>
      <c r="AH946" s="1145"/>
      <c r="AI946" s="1145"/>
      <c r="AJ946" s="1145"/>
      <c r="AK946" s="1146"/>
      <c r="AL946" s="902"/>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1154</v>
      </c>
      <c r="D947" s="9"/>
      <c r="E947" s="9"/>
      <c r="F947" s="9"/>
      <c r="G947" s="9"/>
      <c r="H947" s="9"/>
      <c r="I947" s="9"/>
      <c r="J947" s="9"/>
      <c r="K947" s="9"/>
      <c r="L947" s="1158">
        <v>20</v>
      </c>
      <c r="M947" s="1159"/>
      <c r="N947" s="1159"/>
      <c r="O947" s="1159"/>
      <c r="P947" s="1159"/>
      <c r="Q947" s="1159"/>
      <c r="R947" s="1159"/>
      <c r="S947" s="1160"/>
      <c r="U947" s="178" t="s">
        <v>1154</v>
      </c>
      <c r="V947" s="9"/>
      <c r="W947" s="9"/>
      <c r="X947" s="9"/>
      <c r="Y947" s="9"/>
      <c r="Z947" s="9"/>
      <c r="AA947" s="9"/>
      <c r="AB947" s="9"/>
      <c r="AC947" s="9"/>
      <c r="AD947" s="45"/>
      <c r="AE947" s="1158"/>
      <c r="AF947" s="1159"/>
      <c r="AG947" s="1159"/>
      <c r="AH947" s="1159"/>
      <c r="AI947" s="1159"/>
      <c r="AJ947" s="1159"/>
      <c r="AK947" s="1160"/>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908</v>
      </c>
      <c r="C949" s="3" t="s">
        <v>1548</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1549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1550</v>
      </c>
      <c r="G952" s="9"/>
      <c r="H952" s="9"/>
      <c r="I952" s="9"/>
      <c r="J952" s="9"/>
      <c r="K952" s="9"/>
      <c r="L952" s="45"/>
      <c r="M952" s="1147"/>
      <c r="N952" s="1108"/>
      <c r="O952" s="1108"/>
      <c r="P952" s="1108"/>
      <c r="Q952" s="1108"/>
      <c r="R952" s="1108"/>
      <c r="S952" s="1148"/>
      <c r="T952" s="178" t="s">
        <v>1551</v>
      </c>
      <c r="U952" s="9"/>
      <c r="V952" s="9"/>
      <c r="W952" s="9"/>
      <c r="X952" s="9"/>
      <c r="Y952" s="9"/>
      <c r="Z952" s="45"/>
      <c r="AA952" s="1147"/>
      <c r="AB952" s="1108"/>
      <c r="AC952" s="1108"/>
      <c r="AD952" s="1108"/>
      <c r="AE952" s="1108"/>
      <c r="AF952" s="1108"/>
      <c r="AG952" s="1148"/>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1552</v>
      </c>
      <c r="G953" s="9"/>
      <c r="H953" s="9"/>
      <c r="I953" s="9"/>
      <c r="J953" s="9"/>
      <c r="K953" s="9"/>
      <c r="L953" s="45"/>
      <c r="M953" s="1147"/>
      <c r="N953" s="1108"/>
      <c r="O953" s="1108"/>
      <c r="P953" s="1108"/>
      <c r="Q953" s="1108"/>
      <c r="R953" s="1108"/>
      <c r="S953" s="1148"/>
      <c r="T953" s="178" t="s">
        <v>1553</v>
      </c>
      <c r="U953" s="9"/>
      <c r="V953" s="9"/>
      <c r="W953" s="9"/>
      <c r="X953" s="9"/>
      <c r="Y953" s="9"/>
      <c r="Z953" s="45"/>
      <c r="AA953" s="1147"/>
      <c r="AB953" s="1108"/>
      <c r="AC953" s="1108"/>
      <c r="AD953" s="1108"/>
      <c r="AE953" s="1108"/>
      <c r="AF953" s="1108"/>
      <c r="AG953" s="1148"/>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1554</v>
      </c>
      <c r="G954" s="9"/>
      <c r="H954" s="9"/>
      <c r="I954" s="9"/>
      <c r="J954" s="9"/>
      <c r="K954" s="9"/>
      <c r="L954" s="45"/>
      <c r="M954" s="1149" t="s">
        <v>326</v>
      </c>
      <c r="N954" s="1018"/>
      <c r="O954" s="1018"/>
      <c r="P954" s="1018"/>
      <c r="Q954" s="1018"/>
      <c r="R954" s="1018"/>
      <c r="S954" s="1150"/>
      <c r="T954" s="8" t="s">
        <v>1555</v>
      </c>
      <c r="U954" s="9"/>
      <c r="V954" s="9"/>
      <c r="W954" s="9"/>
      <c r="X954" s="9"/>
      <c r="Y954" s="9"/>
      <c r="Z954" s="45"/>
      <c r="AA954" s="1147"/>
      <c r="AB954" s="1108"/>
      <c r="AC954" s="1108"/>
      <c r="AD954" s="1108"/>
      <c r="AE954" s="1108"/>
      <c r="AF954" s="1108"/>
      <c r="AG954" s="1148"/>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1556</v>
      </c>
      <c r="G955" s="9"/>
      <c r="H955" s="9"/>
      <c r="I955" s="9"/>
      <c r="J955" s="9"/>
      <c r="K955" s="9"/>
      <c r="L955" s="45"/>
      <c r="M955" s="1147"/>
      <c r="N955" s="1108"/>
      <c r="O955" s="1108"/>
      <c r="P955" s="1108"/>
      <c r="Q955" s="1108"/>
      <c r="R955" s="1108"/>
      <c r="S955" s="1148"/>
      <c r="T955" s="8" t="s">
        <v>1557</v>
      </c>
      <c r="U955" s="9"/>
      <c r="V955" s="9"/>
      <c r="W955" s="9"/>
      <c r="X955" s="9"/>
      <c r="Y955" s="9"/>
      <c r="Z955" s="45"/>
      <c r="AA955" s="1147"/>
      <c r="AB955" s="1108"/>
      <c r="AC955" s="1108"/>
      <c r="AD955" s="1108"/>
      <c r="AE955" s="1108"/>
      <c r="AF955" s="1108"/>
      <c r="AG955" s="1148"/>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1558</v>
      </c>
      <c r="G956" s="9"/>
      <c r="H956" s="9"/>
      <c r="I956" s="9"/>
      <c r="J956" s="9"/>
      <c r="K956" s="9"/>
      <c r="L956" s="45"/>
      <c r="M956" s="1147"/>
      <c r="N956" s="1108"/>
      <c r="O956" s="1108"/>
      <c r="P956" s="1108"/>
      <c r="Q956" s="1108"/>
      <c r="R956" s="1108"/>
      <c r="S956" s="1148"/>
      <c r="T956" s="8" t="s">
        <v>1559</v>
      </c>
      <c r="U956" s="9"/>
      <c r="V956" s="9"/>
      <c r="W956" s="9"/>
      <c r="X956" s="9"/>
      <c r="Y956" s="9"/>
      <c r="Z956" s="45"/>
      <c r="AA956" s="1147"/>
      <c r="AB956" s="1108"/>
      <c r="AC956" s="1108"/>
      <c r="AD956" s="1108"/>
      <c r="AE956" s="1108"/>
      <c r="AF956" s="1108"/>
      <c r="AG956" s="1148"/>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3" t="s">
        <v>1542</v>
      </c>
      <c r="G957" s="7"/>
      <c r="H957" s="7"/>
      <c r="I957" s="7"/>
      <c r="J957" s="7"/>
      <c r="K957" s="7"/>
      <c r="L957" s="57"/>
      <c r="M957" s="1132" t="s">
        <v>321</v>
      </c>
      <c r="N957" s="1133"/>
      <c r="O957" s="1133"/>
      <c r="P957" s="1133"/>
      <c r="Q957" s="1133"/>
      <c r="R957" s="1133"/>
      <c r="S957" s="1134"/>
      <c r="T957" s="1460"/>
      <c r="U957" s="1461"/>
      <c r="V957" s="1461"/>
      <c r="W957" s="1461"/>
      <c r="X957" s="1461"/>
      <c r="Y957" s="1461"/>
      <c r="Z957" s="1462"/>
      <c r="AA957" s="1147"/>
      <c r="AB957" s="1108"/>
      <c r="AC957" s="1108"/>
      <c r="AD957" s="1108"/>
      <c r="AE957" s="1108"/>
      <c r="AF957" s="1108"/>
      <c r="AG957" s="1148"/>
      <c r="AL957" s="902"/>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1560</v>
      </c>
      <c r="G958" s="7"/>
      <c r="H958" s="7"/>
      <c r="I958" s="7"/>
      <c r="J958" s="7"/>
      <c r="K958" s="7"/>
      <c r="L958" s="57"/>
      <c r="M958" s="1147"/>
      <c r="N958" s="1108"/>
      <c r="O958" s="1108"/>
      <c r="P958" s="1108"/>
      <c r="Q958" s="1108"/>
      <c r="R958" s="1108"/>
      <c r="S958" s="1148"/>
      <c r="T958" s="1460"/>
      <c r="U958" s="1461"/>
      <c r="V958" s="1461"/>
      <c r="W958" s="1461"/>
      <c r="X958" s="1461"/>
      <c r="Y958" s="1461"/>
      <c r="Z958" s="1462"/>
      <c r="AA958" s="1147"/>
      <c r="AB958" s="1108"/>
      <c r="AC958" s="1108"/>
      <c r="AD958" s="1108"/>
      <c r="AE958" s="1108"/>
      <c r="AF958" s="1108"/>
      <c r="AG958" s="1148"/>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1561</v>
      </c>
      <c r="G959" s="7"/>
      <c r="H959" s="7"/>
      <c r="I959" s="7"/>
      <c r="J959" s="7"/>
      <c r="K959" s="7"/>
      <c r="L959" s="7"/>
      <c r="M959" s="7"/>
      <c r="N959" s="7"/>
      <c r="O959" s="1149" t="s">
        <v>708</v>
      </c>
      <c r="P959" s="1150"/>
      <c r="Q959" s="122"/>
      <c r="R959" s="122"/>
      <c r="S959" s="123"/>
      <c r="T959" s="6" t="s">
        <v>1168</v>
      </c>
      <c r="U959" s="7"/>
      <c r="V959" s="7"/>
      <c r="W959" s="1329" t="s">
        <v>1169</v>
      </c>
      <c r="X959" s="1330"/>
      <c r="Y959" s="1330"/>
      <c r="Z959" s="1330"/>
      <c r="AA959" s="1330"/>
      <c r="AB959" s="1330"/>
      <c r="AC959" s="1330"/>
      <c r="AD959" s="1330"/>
      <c r="AE959" s="1330"/>
      <c r="AF959" s="1330"/>
      <c r="AG959" s="1331"/>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179" t="s">
        <v>1562</v>
      </c>
      <c r="G960" s="1180"/>
      <c r="H960" s="1180"/>
      <c r="I960" s="1180"/>
      <c r="J960" s="1180"/>
      <c r="K960" s="1180"/>
      <c r="L960" s="1180"/>
      <c r="M960" s="1147"/>
      <c r="N960" s="1108"/>
      <c r="O960" s="1108"/>
      <c r="P960" s="1108"/>
      <c r="Q960" s="1108"/>
      <c r="R960" s="1108"/>
      <c r="S960" s="1148"/>
      <c r="T960" s="46"/>
      <c r="U960" s="47"/>
      <c r="V960" s="47"/>
      <c r="W960" s="47"/>
      <c r="X960" s="47"/>
      <c r="Y960" s="47"/>
      <c r="Z960" s="190" t="s">
        <v>1563</v>
      </c>
      <c r="AA960" s="1217"/>
      <c r="AB960" s="1874"/>
      <c r="AC960" s="1874"/>
      <c r="AD960" s="1874"/>
      <c r="AE960" s="1874"/>
      <c r="AF960" s="1874"/>
      <c r="AG960" s="191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2"/>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7"/>
      <c r="BC963" s="847"/>
      <c r="BD963" s="847"/>
      <c r="BE963" s="847"/>
      <c r="BF963" s="847"/>
      <c r="BG963" s="847"/>
      <c r="BH963" s="847"/>
      <c r="BI963" s="847"/>
      <c r="BJ963" s="847"/>
      <c r="BK963" s="847"/>
      <c r="BL963" s="847"/>
      <c r="BM963" s="847"/>
      <c r="BN963" s="84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7" customFormat="1" ht="12.95" customHeight="1">
      <c r="A964" s="1019" t="s">
        <v>1564</v>
      </c>
      <c r="B964" s="1019"/>
      <c r="C964" s="1019"/>
      <c r="D964" s="1019"/>
      <c r="E964" s="1019"/>
      <c r="F964" s="1019"/>
      <c r="G964" s="1019"/>
      <c r="H964" s="1019"/>
      <c r="I964" s="1019"/>
      <c r="J964" s="1019"/>
      <c r="K964" s="1019"/>
      <c r="L964" s="1019"/>
      <c r="M964" s="1019"/>
      <c r="N964" s="1019"/>
      <c r="O964" s="1019"/>
      <c r="P964" s="1019"/>
      <c r="Q964" s="1019"/>
      <c r="R964" s="1019"/>
      <c r="S964" s="1019"/>
      <c r="T964" s="1019"/>
      <c r="U964" s="1019"/>
      <c r="V964" s="1019"/>
      <c r="W964" s="1019"/>
      <c r="X964" s="1019"/>
      <c r="Y964" s="1019"/>
      <c r="Z964" s="1019"/>
      <c r="AA964" s="1019"/>
      <c r="AB964" s="1019"/>
      <c r="AC964" s="1019"/>
      <c r="AD964" s="1019"/>
      <c r="AE964" s="1019"/>
      <c r="AF964" s="1019"/>
      <c r="AG964" s="1019"/>
      <c r="AH964" s="1019"/>
      <c r="AI964" s="1019"/>
      <c r="AJ964" s="1019"/>
      <c r="AK964" s="1019"/>
      <c r="AL964" s="1019"/>
      <c r="AM964" s="1019"/>
      <c r="AN964" s="1019"/>
      <c r="AO964" s="1019"/>
      <c r="AP964" s="1019"/>
      <c r="AQ964" s="1019"/>
      <c r="AR964" s="1019"/>
      <c r="AS964" s="1019"/>
      <c r="AT964" s="1019"/>
    </row>
    <row r="965" spans="1:97" s="847" customFormat="1" ht="12.95" customHeight="1">
      <c r="A965" s="1019"/>
      <c r="B965" s="1019"/>
      <c r="C965" s="1019"/>
      <c r="D965" s="1019"/>
      <c r="E965" s="1019"/>
      <c r="F965" s="1019"/>
      <c r="G965" s="1019"/>
      <c r="H965" s="1019"/>
      <c r="I965" s="1019"/>
      <c r="J965" s="1019"/>
      <c r="K965" s="1019"/>
      <c r="L965" s="1019"/>
      <c r="M965" s="1019"/>
      <c r="N965" s="1019"/>
      <c r="O965" s="1019"/>
      <c r="P965" s="1019"/>
      <c r="Q965" s="1019"/>
      <c r="R965" s="1019"/>
      <c r="S965" s="1019"/>
      <c r="T965" s="1019"/>
      <c r="U965" s="1019"/>
      <c r="V965" s="1019"/>
      <c r="W965" s="1019"/>
      <c r="X965" s="1019"/>
      <c r="Y965" s="1019"/>
      <c r="Z965" s="1019"/>
      <c r="AA965" s="1019"/>
      <c r="AB965" s="1019"/>
      <c r="AC965" s="1019"/>
      <c r="AD965" s="1019"/>
      <c r="AE965" s="1019"/>
      <c r="AF965" s="1019"/>
      <c r="AG965" s="1019"/>
      <c r="AH965" s="1019"/>
      <c r="AI965" s="1019"/>
      <c r="AJ965" s="1019"/>
      <c r="AK965" s="1019"/>
      <c r="AL965" s="1019"/>
      <c r="AM965" s="1019"/>
      <c r="AN965" s="1019"/>
      <c r="AO965" s="1019"/>
      <c r="AP965" s="1019"/>
      <c r="AQ965" s="1019"/>
      <c r="AR965" s="1019"/>
      <c r="AS965" s="1019"/>
      <c r="AT965" s="1019"/>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793</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2"/>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2"/>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9"/>
      <c r="D969" s="1155" t="s">
        <v>1565</v>
      </c>
      <c r="E969" s="1156"/>
      <c r="F969" s="1156"/>
      <c r="G969" s="1156"/>
      <c r="H969" s="1156"/>
      <c r="I969" s="1156"/>
      <c r="J969" s="1156"/>
      <c r="K969" s="1156"/>
      <c r="L969" s="1156"/>
      <c r="M969" s="1156"/>
      <c r="N969" s="1156"/>
      <c r="O969" s="1156"/>
      <c r="P969" s="1156"/>
      <c r="Q969" s="1157"/>
      <c r="R969" s="1155" t="s">
        <v>1566</v>
      </c>
      <c r="S969" s="1156"/>
      <c r="T969" s="1156"/>
      <c r="U969" s="1156"/>
      <c r="V969" s="1156"/>
      <c r="W969" s="1156"/>
      <c r="X969" s="1156"/>
      <c r="Y969" s="1156"/>
      <c r="Z969" s="1156"/>
      <c r="AA969" s="1157"/>
      <c r="AB969" s="1155" t="s">
        <v>1567</v>
      </c>
      <c r="AC969" s="1156"/>
      <c r="AD969" s="1156"/>
      <c r="AE969" s="1156"/>
      <c r="AF969" s="1156"/>
      <c r="AG969" s="1156"/>
      <c r="AH969" s="1156"/>
      <c r="AI969" s="1157"/>
      <c r="AJ969" s="1155" t="s">
        <v>1568</v>
      </c>
      <c r="AK969" s="1156"/>
      <c r="AL969" s="1156"/>
      <c r="AM969" s="1156"/>
      <c r="AN969" s="1156"/>
      <c r="AO969" s="1156"/>
      <c r="AP969" s="1156"/>
      <c r="AQ969" s="115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50"/>
      <c r="D970" s="1208" t="s">
        <v>1341</v>
      </c>
      <c r="E970" s="1209"/>
      <c r="F970" s="1209"/>
      <c r="G970" s="1209"/>
      <c r="H970" s="1209"/>
      <c r="I970" s="1209"/>
      <c r="J970" s="1209"/>
      <c r="K970" s="1209"/>
      <c r="L970" s="1209"/>
      <c r="M970" s="1209"/>
      <c r="N970" s="1209"/>
      <c r="O970" s="1209"/>
      <c r="P970" s="1209"/>
      <c r="Q970" s="1210"/>
      <c r="R970" s="1211">
        <f>IF(ISNA(IF($BA$827="4%",(INDEX($BC$833:$BG$889,MATCH($BO$833,$BB$842:$BB$899,0),MATCH(D970,$BC$830:$BG$830,0))),(INDEX($BJ$842:$BN$899,MATCH($BO$833,$BI$842:$BI$899,0),MATCH(D970,$BJ$840:$BN$840,0))))),0,IF($BA$827="4%",(INDEX($BC$833:$BG$889,MATCH($BO$833,$BB$842:$BB$899,0),MATCH(D970,$BC$830:$BG$830,0))),(INDEX($BJ$842:$BN$899,MATCH($BO$833,$BI$842:$BI$899,0),MATCH(D970,$BJ$840:$BN$840,0)))))</f>
        <v>532060</v>
      </c>
      <c r="S970" s="1211"/>
      <c r="T970" s="1211"/>
      <c r="U970" s="1211"/>
      <c r="V970" s="1211"/>
      <c r="W970" s="1211"/>
      <c r="X970" s="1211"/>
      <c r="Y970" s="1211"/>
      <c r="Z970" s="1211"/>
      <c r="AA970" s="1211"/>
      <c r="AB970" s="1302">
        <f>BN659</f>
        <v>57</v>
      </c>
      <c r="AC970" s="1303"/>
      <c r="AD970" s="1303"/>
      <c r="AE970" s="1303"/>
      <c r="AF970" s="1303"/>
      <c r="AG970" s="1303"/>
      <c r="AH970" s="1303"/>
      <c r="AI970" s="1304"/>
      <c r="AJ970" s="1123">
        <f>IF(ISERROR((R970*AB970)),0,(R970*AB970))</f>
        <v>30327420</v>
      </c>
      <c r="AK970" s="1124"/>
      <c r="AL970" s="1124"/>
      <c r="AM970" s="1124"/>
      <c r="AN970" s="1124"/>
      <c r="AO970" s="1124"/>
      <c r="AP970" s="1124"/>
      <c r="AQ970" s="112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08" t="s">
        <v>1342</v>
      </c>
      <c r="E971" s="1209"/>
      <c r="F971" s="1209"/>
      <c r="G971" s="1209"/>
      <c r="H971" s="1209"/>
      <c r="I971" s="1209"/>
      <c r="J971" s="1209"/>
      <c r="K971" s="1209"/>
      <c r="L971" s="1209"/>
      <c r="M971" s="1209"/>
      <c r="N971" s="1209"/>
      <c r="O971" s="1209"/>
      <c r="P971" s="1209"/>
      <c r="Q971" s="1210"/>
      <c r="R971" s="1211">
        <f>IF(ISNA(IF($BA$827="4%",(INDEX($BC$833:$BG$889,MATCH($BO$833,$BB$842:$BB$899,0),MATCH(D971,$BC$830:$BG$830,0))),(INDEX($BJ$842:$BN$899,MATCH($BO$833,$BI$842:$BI$899,0),MATCH(D971,$BJ$840:$BN$840,0))))),0,IF($BA$827="4%",(INDEX($BC$833:$BG$889,MATCH($BO$833,$BB$842:$BB$899,0),MATCH(D971,$BC$830:$BG$830,0))),(INDEX($BJ$842:$BN$899,MATCH($BO$833,$BI$842:$BI$899,0),MATCH(D971,$BJ$840:$BN$840,0)))))</f>
        <v>613460</v>
      </c>
      <c r="S971" s="1211"/>
      <c r="T971" s="1211"/>
      <c r="U971" s="1211"/>
      <c r="V971" s="1211"/>
      <c r="W971" s="1211"/>
      <c r="X971" s="1211"/>
      <c r="Y971" s="1211"/>
      <c r="Z971" s="1211"/>
      <c r="AA971" s="1211"/>
      <c r="AB971" s="1302">
        <f>BS659</f>
        <v>0</v>
      </c>
      <c r="AC971" s="1303"/>
      <c r="AD971" s="1303"/>
      <c r="AE971" s="1303"/>
      <c r="AF971" s="1303"/>
      <c r="AG971" s="1303"/>
      <c r="AH971" s="1303"/>
      <c r="AI971" s="1304"/>
      <c r="AJ971" s="1123">
        <f>IF(ISERROR((R971*AB971)),0,(R971*AB971))</f>
        <v>0</v>
      </c>
      <c r="AK971" s="1124"/>
      <c r="AL971" s="1124"/>
      <c r="AM971" s="1124"/>
      <c r="AN971" s="1124"/>
      <c r="AO971" s="1124"/>
      <c r="AP971" s="1124"/>
      <c r="AQ971" s="112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08" t="s">
        <v>1343</v>
      </c>
      <c r="E972" s="1209"/>
      <c r="F972" s="1209"/>
      <c r="G972" s="1209"/>
      <c r="H972" s="1209"/>
      <c r="I972" s="1209"/>
      <c r="J972" s="1209"/>
      <c r="K972" s="1209"/>
      <c r="L972" s="1209"/>
      <c r="M972" s="1209"/>
      <c r="N972" s="1209"/>
      <c r="O972" s="1209"/>
      <c r="P972" s="1209"/>
      <c r="Q972" s="1210"/>
      <c r="R972" s="1211">
        <f>IF(ISNA(IF($BA$827="4%",(INDEX($BC$833:$BG$889,MATCH($BO$833,$BB$842:$BB$899,0),MATCH(D972,$BC$830:$BG$830,0))),(INDEX($BJ$842:$BN$899,MATCH($BO$833,$BI$842:$BI$899,0),MATCH(D972,$BJ$840:$BN$840,0))))),0,IF($BA$827="4%",(INDEX($BC$833:$BG$889,MATCH($BO$833,$BB$842:$BB$899,0),MATCH(D972,$BC$830:$BG$830,0))),(INDEX($BJ$842:$BN$899,MATCH($BO$833,$BI$842:$BI$899,0),MATCH(D972,$BJ$840:$BN$840,0)))))</f>
        <v>740000</v>
      </c>
      <c r="S972" s="1211"/>
      <c r="T972" s="1211"/>
      <c r="U972" s="1211"/>
      <c r="V972" s="1211"/>
      <c r="W972" s="1211"/>
      <c r="X972" s="1211"/>
      <c r="Y972" s="1211"/>
      <c r="Z972" s="1211"/>
      <c r="AA972" s="1211"/>
      <c r="AB972" s="1302">
        <f>BX659</f>
        <v>1</v>
      </c>
      <c r="AC972" s="1303"/>
      <c r="AD972" s="1303"/>
      <c r="AE972" s="1303"/>
      <c r="AF972" s="1303"/>
      <c r="AG972" s="1303"/>
      <c r="AH972" s="1303"/>
      <c r="AI972" s="1304"/>
      <c r="AJ972" s="1123">
        <f>IF(ISERROR((R972*AB972)),0,(R972*AB972))</f>
        <v>740000</v>
      </c>
      <c r="AK972" s="1124"/>
      <c r="AL972" s="1124"/>
      <c r="AM972" s="1124"/>
      <c r="AN972" s="1124"/>
      <c r="AO972" s="1124"/>
      <c r="AP972" s="1124"/>
      <c r="AQ972" s="112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208" t="s">
        <v>1344</v>
      </c>
      <c r="E973" s="1209"/>
      <c r="F973" s="1209"/>
      <c r="G973" s="1209"/>
      <c r="H973" s="1209"/>
      <c r="I973" s="1209"/>
      <c r="J973" s="1209"/>
      <c r="K973" s="1209"/>
      <c r="L973" s="1209"/>
      <c r="M973" s="1209"/>
      <c r="N973" s="1209"/>
      <c r="O973" s="1209"/>
      <c r="P973" s="1209"/>
      <c r="Q973" s="1210"/>
      <c r="R973" s="1211">
        <f>IF(ISNA(IF($BA$827="4%",(INDEX($BC$833:$BG$889,MATCH($BO$833,$BB$842:$BB$899,0),MATCH(D973,$BC$830:$BG$830,0))),(INDEX($BJ$842:$BN$899,MATCH($BO$833,$BI$842:$BI$899,0),MATCH(D973,$BJ$840:$BN$840,0))))),0,IF($BA$827="4%",(INDEX($BC$833:$BG$889,MATCH($BO$833,$BB$842:$BB$899,0),MATCH(D973,$BC$830:$BG$830,0))),(INDEX($BJ$842:$BN$899,MATCH($BO$833,$BI$842:$BI$899,0),MATCH(D973,$BJ$840:$BN$840,0)))))</f>
        <v>947200</v>
      </c>
      <c r="S973" s="1211"/>
      <c r="T973" s="1211"/>
      <c r="U973" s="1211"/>
      <c r="V973" s="1211"/>
      <c r="W973" s="1211"/>
      <c r="X973" s="1211"/>
      <c r="Y973" s="1211"/>
      <c r="Z973" s="1211"/>
      <c r="AA973" s="1211"/>
      <c r="AB973" s="1302">
        <f>CC659</f>
        <v>0</v>
      </c>
      <c r="AC973" s="1303"/>
      <c r="AD973" s="1303"/>
      <c r="AE973" s="1303"/>
      <c r="AF973" s="1303"/>
      <c r="AG973" s="1303"/>
      <c r="AH973" s="1303"/>
      <c r="AI973" s="1304"/>
      <c r="AJ973" s="1123">
        <f>IF(ISERROR((R973*AB973)),0,(R973*AB973))</f>
        <v>0</v>
      </c>
      <c r="AK973" s="1124"/>
      <c r="AL973" s="1124"/>
      <c r="AM973" s="1124"/>
      <c r="AN973" s="1124"/>
      <c r="AO973" s="1124"/>
      <c r="AP973" s="1124"/>
      <c r="AQ973" s="112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208" t="s">
        <v>1351</v>
      </c>
      <c r="E974" s="1209"/>
      <c r="F974" s="1209"/>
      <c r="G974" s="1209"/>
      <c r="H974" s="1209"/>
      <c r="I974" s="1209"/>
      <c r="J974" s="1209"/>
      <c r="K974" s="1209"/>
      <c r="L974" s="1209"/>
      <c r="M974" s="1209"/>
      <c r="N974" s="1209"/>
      <c r="O974" s="1209"/>
      <c r="P974" s="1209"/>
      <c r="Q974" s="1210"/>
      <c r="R974" s="1211">
        <f>IF(ISNA(IF($BA$827="4%",(INDEX($BC$833:$BG$889,MATCH($BO$833,$BB$842:$BB$899,0),MATCH(D974,$BC$830:$BG$830,0))),(INDEX($BJ$842:$BN$899,MATCH($BO$833,$BI$842:$BI$899,0),MATCH(D974,$BJ$840:$BN$840,0))))),0,IF($BA$827="4%",(INDEX($BC$833:$BG$889,MATCH($BO$833,$BB$842:$BB$899,0),MATCH(D974,$BC$830:$BG$830,0))),(INDEX($BJ$842:$BN$899,MATCH($BO$833,$BI$842:$BI$899,0),MATCH(D974,$BJ$840:$BN$840,0)))))</f>
        <v>1055240</v>
      </c>
      <c r="S974" s="1211"/>
      <c r="T974" s="1211"/>
      <c r="U974" s="1211"/>
      <c r="V974" s="1211"/>
      <c r="W974" s="1211"/>
      <c r="X974" s="1211"/>
      <c r="Y974" s="1211"/>
      <c r="Z974" s="1211"/>
      <c r="AA974" s="1211"/>
      <c r="AB974" s="1302">
        <f>CM659+CH659</f>
        <v>0</v>
      </c>
      <c r="AC974" s="1303"/>
      <c r="AD974" s="1303"/>
      <c r="AE974" s="1303"/>
      <c r="AF974" s="1303"/>
      <c r="AG974" s="1303"/>
      <c r="AH974" s="1303"/>
      <c r="AI974" s="1304"/>
      <c r="AJ974" s="1123">
        <f>IF(ISERROR((R974*AB974)),0,(R974*AB974))</f>
        <v>0</v>
      </c>
      <c r="AK974" s="1124"/>
      <c r="AL974" s="1124"/>
      <c r="AM974" s="1124"/>
      <c r="AN974" s="1124"/>
      <c r="AO974" s="1124"/>
      <c r="AP974" s="1124"/>
      <c r="AQ974" s="112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490" t="s">
        <v>1569</v>
      </c>
      <c r="C975" s="1491"/>
      <c r="D975" s="1491"/>
      <c r="E975" s="1491"/>
      <c r="F975" s="1491"/>
      <c r="G975" s="1491"/>
      <c r="H975" s="1491"/>
      <c r="I975" s="1491"/>
      <c r="J975" s="1491"/>
      <c r="K975" s="1491"/>
      <c r="L975" s="1491"/>
      <c r="M975" s="1491"/>
      <c r="N975" s="1491"/>
      <c r="O975" s="1491"/>
      <c r="P975" s="1491"/>
      <c r="Q975" s="1491"/>
      <c r="R975" s="1491"/>
      <c r="S975" s="1491"/>
      <c r="T975" s="1491"/>
      <c r="U975" s="1491"/>
      <c r="V975" s="1491"/>
      <c r="W975" s="1491"/>
      <c r="X975" s="1491"/>
      <c r="Y975" s="1491"/>
      <c r="Z975" s="1491"/>
      <c r="AA975" s="1492"/>
      <c r="AB975" s="1302">
        <f>SUM(AB970:AI974)</f>
        <v>58</v>
      </c>
      <c r="AC975" s="1303"/>
      <c r="AD975" s="1303"/>
      <c r="AE975" s="1303"/>
      <c r="AF975" s="1303"/>
      <c r="AG975" s="1303"/>
      <c r="AH975" s="1303"/>
      <c r="AI975" s="1304"/>
      <c r="AJ975" s="1123"/>
      <c r="AK975" s="1124"/>
      <c r="AL975" s="1124"/>
      <c r="AM975" s="1124"/>
      <c r="AN975" s="1124"/>
      <c r="AO975" s="1124"/>
      <c r="AP975" s="1124"/>
      <c r="AQ975" s="112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305" t="s">
        <v>1570</v>
      </c>
      <c r="C976" s="1306"/>
      <c r="D976" s="1306"/>
      <c r="E976" s="1306"/>
      <c r="F976" s="1306"/>
      <c r="G976" s="1306"/>
      <c r="H976" s="1306"/>
      <c r="I976" s="1306"/>
      <c r="J976" s="1306"/>
      <c r="K976" s="1306"/>
      <c r="L976" s="1306"/>
      <c r="M976" s="1306"/>
      <c r="N976" s="1306"/>
      <c r="O976" s="1306"/>
      <c r="P976" s="1306"/>
      <c r="Q976" s="1306"/>
      <c r="R976" s="1306"/>
      <c r="S976" s="1306"/>
      <c r="T976" s="1306"/>
      <c r="U976" s="1306"/>
      <c r="V976" s="1306"/>
      <c r="W976" s="1306"/>
      <c r="X976" s="1306"/>
      <c r="Y976" s="1306"/>
      <c r="Z976" s="1306"/>
      <c r="AA976" s="1306"/>
      <c r="AB976" s="1306"/>
      <c r="AC976" s="1306"/>
      <c r="AD976" s="1306"/>
      <c r="AE976" s="1306"/>
      <c r="AF976" s="1306"/>
      <c r="AG976" s="1306"/>
      <c r="AH976" s="1306"/>
      <c r="AI976" s="1307"/>
      <c r="AJ976" s="1123">
        <f>SUM(AJ970:AQ974)</f>
        <v>31067420</v>
      </c>
      <c r="AK976" s="1124"/>
      <c r="AL976" s="1124"/>
      <c r="AM976" s="1124"/>
      <c r="AN976" s="1124"/>
      <c r="AO976" s="1124"/>
      <c r="AP976" s="1124"/>
      <c r="AQ976" s="112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126"/>
      <c r="C977" s="1127"/>
      <c r="D977" s="1127"/>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8"/>
      <c r="AF977" s="1457" t="s">
        <v>1571</v>
      </c>
      <c r="AG977" s="1458"/>
      <c r="AH977" s="1458"/>
      <c r="AI977" s="1459"/>
      <c r="AJ977" s="1126"/>
      <c r="AK977" s="1127"/>
      <c r="AL977" s="1127"/>
      <c r="AM977" s="1127"/>
      <c r="AN977" s="1127"/>
      <c r="AO977" s="1127"/>
      <c r="AP977" s="1127"/>
      <c r="AQ977" s="112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1" t="s">
        <v>1572</v>
      </c>
      <c r="D978" s="1113" t="s">
        <v>1573</v>
      </c>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68"/>
      <c r="AG978" s="1488" t="s">
        <v>765</v>
      </c>
      <c r="AH978" s="1489"/>
      <c r="AI978" s="71"/>
      <c r="AJ978" s="1308">
        <f>ROUND(IF(AND(AG978="yes",D984&lt;&gt;""),AJ976*0.2,0),0)</f>
        <v>6213484</v>
      </c>
      <c r="AK978" s="1309"/>
      <c r="AL978" s="1309"/>
      <c r="AM978" s="1309"/>
      <c r="AN978" s="1309"/>
      <c r="AO978" s="1309"/>
      <c r="AP978" s="1309"/>
      <c r="AQ978" s="131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202" t="s">
        <v>1574</v>
      </c>
      <c r="E979" s="1203"/>
      <c r="F979" s="1203"/>
      <c r="G979" s="1203"/>
      <c r="H979" s="1203"/>
      <c r="I979" s="1203"/>
      <c r="J979" s="1203"/>
      <c r="K979" s="1203"/>
      <c r="L979" s="1203"/>
      <c r="M979" s="1203"/>
      <c r="N979" s="1203"/>
      <c r="O979" s="1203"/>
      <c r="P979" s="1203"/>
      <c r="Q979" s="1203"/>
      <c r="R979" s="1203"/>
      <c r="S979" s="1203"/>
      <c r="T979" s="1203"/>
      <c r="U979" s="1203"/>
      <c r="V979" s="1203"/>
      <c r="W979" s="1203"/>
      <c r="X979" s="1203"/>
      <c r="Y979" s="1203"/>
      <c r="Z979" s="1203"/>
      <c r="AA979" s="1203"/>
      <c r="AB979" s="1203"/>
      <c r="AC979" s="1203"/>
      <c r="AD979" s="1203"/>
      <c r="AE979" s="1204"/>
      <c r="AF979" s="65"/>
      <c r="AG979" s="21"/>
      <c r="AH979" s="21"/>
      <c r="AI979" s="69"/>
      <c r="AJ979" s="1311"/>
      <c r="AK979" s="1312"/>
      <c r="AL979" s="1312"/>
      <c r="AM979" s="1312"/>
      <c r="AN979" s="1312"/>
      <c r="AO979" s="1312"/>
      <c r="AP979" s="1312"/>
      <c r="AQ979" s="131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202"/>
      <c r="E980" s="1203"/>
      <c r="F980" s="1203"/>
      <c r="G980" s="1203"/>
      <c r="H980" s="1203"/>
      <c r="I980" s="1203"/>
      <c r="J980" s="1203"/>
      <c r="K980" s="1203"/>
      <c r="L980" s="1203"/>
      <c r="M980" s="1203"/>
      <c r="N980" s="1203"/>
      <c r="O980" s="1203"/>
      <c r="P980" s="1203"/>
      <c r="Q980" s="1203"/>
      <c r="R980" s="1203"/>
      <c r="S980" s="1203"/>
      <c r="T980" s="1203"/>
      <c r="U980" s="1203"/>
      <c r="V980" s="1203"/>
      <c r="W980" s="1203"/>
      <c r="X980" s="1203"/>
      <c r="Y980" s="1203"/>
      <c r="Z980" s="1203"/>
      <c r="AA980" s="1203"/>
      <c r="AB980" s="1203"/>
      <c r="AC980" s="1203"/>
      <c r="AD980" s="1203"/>
      <c r="AE980" s="1204"/>
      <c r="AF980" s="65"/>
      <c r="AG980" s="21"/>
      <c r="AH980" s="21"/>
      <c r="AI980" s="69"/>
      <c r="AJ980" s="1311"/>
      <c r="AK980" s="1312"/>
      <c r="AL980" s="1312"/>
      <c r="AM980" s="1312"/>
      <c r="AN980" s="1312"/>
      <c r="AO980" s="1312"/>
      <c r="AP980" s="1312"/>
      <c r="AQ980" s="131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202"/>
      <c r="E981" s="1203"/>
      <c r="F981" s="1203"/>
      <c r="G981" s="1203"/>
      <c r="H981" s="1203"/>
      <c r="I981" s="1203"/>
      <c r="J981" s="1203"/>
      <c r="K981" s="1203"/>
      <c r="L981" s="1203"/>
      <c r="M981" s="1203"/>
      <c r="N981" s="1203"/>
      <c r="O981" s="1203"/>
      <c r="P981" s="1203"/>
      <c r="Q981" s="1203"/>
      <c r="R981" s="1203"/>
      <c r="S981" s="1203"/>
      <c r="T981" s="1203"/>
      <c r="U981" s="1203"/>
      <c r="V981" s="1203"/>
      <c r="W981" s="1203"/>
      <c r="X981" s="1203"/>
      <c r="Y981" s="1203"/>
      <c r="Z981" s="1203"/>
      <c r="AA981" s="1203"/>
      <c r="AB981" s="1203"/>
      <c r="AC981" s="1203"/>
      <c r="AD981" s="1203"/>
      <c r="AE981" s="1204"/>
      <c r="AF981" s="65"/>
      <c r="AG981" s="21"/>
      <c r="AH981" s="21"/>
      <c r="AI981" s="69"/>
      <c r="AJ981" s="1311"/>
      <c r="AK981" s="1312"/>
      <c r="AL981" s="1312"/>
      <c r="AM981" s="1312"/>
      <c r="AN981" s="1312"/>
      <c r="AO981" s="1312"/>
      <c r="AP981" s="1312"/>
      <c r="AQ981" s="131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202"/>
      <c r="E982" s="1203"/>
      <c r="F982" s="1203"/>
      <c r="G982" s="1203"/>
      <c r="H982" s="1203"/>
      <c r="I982" s="1203"/>
      <c r="J982" s="1203"/>
      <c r="K982" s="1203"/>
      <c r="L982" s="1203"/>
      <c r="M982" s="1203"/>
      <c r="N982" s="1203"/>
      <c r="O982" s="1203"/>
      <c r="P982" s="1203"/>
      <c r="Q982" s="1203"/>
      <c r="R982" s="1203"/>
      <c r="S982" s="1203"/>
      <c r="T982" s="1203"/>
      <c r="U982" s="1203"/>
      <c r="V982" s="1203"/>
      <c r="W982" s="1203"/>
      <c r="X982" s="1203"/>
      <c r="Y982" s="1203"/>
      <c r="Z982" s="1203"/>
      <c r="AA982" s="1203"/>
      <c r="AB982" s="1203"/>
      <c r="AC982" s="1203"/>
      <c r="AD982" s="1203"/>
      <c r="AE982" s="1204"/>
      <c r="AF982" s="65"/>
      <c r="AG982" s="21"/>
      <c r="AH982" s="21"/>
      <c r="AI982" s="69"/>
      <c r="AJ982" s="1311"/>
      <c r="AK982" s="1312"/>
      <c r="AL982" s="1312"/>
      <c r="AM982" s="1312"/>
      <c r="AN982" s="1312"/>
      <c r="AO982" s="1312"/>
      <c r="AP982" s="1312"/>
      <c r="AQ982" s="131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205" t="s">
        <v>1575</v>
      </c>
      <c r="E983" s="1206"/>
      <c r="F983" s="1206"/>
      <c r="G983" s="1206"/>
      <c r="H983" s="1206"/>
      <c r="I983" s="1206"/>
      <c r="J983" s="1206"/>
      <c r="K983" s="1206"/>
      <c r="L983" s="1206"/>
      <c r="M983" s="1206"/>
      <c r="N983" s="1206"/>
      <c r="O983" s="1206"/>
      <c r="P983" s="1206"/>
      <c r="Q983" s="1206"/>
      <c r="R983" s="1206"/>
      <c r="S983" s="1206"/>
      <c r="T983" s="1206"/>
      <c r="U983" s="1206"/>
      <c r="V983" s="1206"/>
      <c r="W983" s="1206"/>
      <c r="X983" s="1206"/>
      <c r="Y983" s="1206"/>
      <c r="Z983" s="1206"/>
      <c r="AA983" s="1206"/>
      <c r="AB983" s="1206"/>
      <c r="AC983" s="1206"/>
      <c r="AD983" s="1206"/>
      <c r="AE983" s="1207"/>
      <c r="AF983" s="65"/>
      <c r="AG983" s="21"/>
      <c r="AH983" s="21"/>
      <c r="AI983" s="69"/>
      <c r="AJ983" s="1311"/>
      <c r="AK983" s="1312"/>
      <c r="AL983" s="1312"/>
      <c r="AM983" s="1312"/>
      <c r="AN983" s="1312"/>
      <c r="AO983" s="1312"/>
      <c r="AP983" s="1312"/>
      <c r="AQ983" s="131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2"/>
      <c r="C984" s="753"/>
      <c r="D984" s="1326" t="s">
        <v>1576</v>
      </c>
      <c r="E984" s="1327"/>
      <c r="F984" s="1327"/>
      <c r="G984" s="1327"/>
      <c r="H984" s="1327"/>
      <c r="I984" s="1327"/>
      <c r="J984" s="1327"/>
      <c r="K984" s="1327"/>
      <c r="L984" s="1327"/>
      <c r="M984" s="1327"/>
      <c r="N984" s="1327"/>
      <c r="O984" s="1327"/>
      <c r="P984" s="1327"/>
      <c r="Q984" s="1327"/>
      <c r="R984" s="1327"/>
      <c r="S984" s="1327"/>
      <c r="T984" s="1327"/>
      <c r="U984" s="1327"/>
      <c r="V984" s="1327"/>
      <c r="W984" s="1327"/>
      <c r="X984" s="1327"/>
      <c r="Y984" s="1327"/>
      <c r="Z984" s="1327"/>
      <c r="AA984" s="1327"/>
      <c r="AB984" s="1327"/>
      <c r="AC984" s="1327"/>
      <c r="AD984" s="1327"/>
      <c r="AE984" s="1328"/>
      <c r="AF984" s="66"/>
      <c r="AG984" s="11"/>
      <c r="AH984" s="11"/>
      <c r="AI984" s="67"/>
      <c r="AJ984" s="1314"/>
      <c r="AK984" s="1315"/>
      <c r="AL984" s="1315"/>
      <c r="AM984" s="1315"/>
      <c r="AN984" s="1315"/>
      <c r="AO984" s="1315"/>
      <c r="AP984" s="1315"/>
      <c r="AQ984" s="1316"/>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4"/>
      <c r="C985" s="755"/>
      <c r="D985" s="1322" t="s">
        <v>1577</v>
      </c>
      <c r="E985" s="1187"/>
      <c r="F985" s="1187"/>
      <c r="G985" s="1187"/>
      <c r="H985" s="1187"/>
      <c r="I985" s="1187"/>
      <c r="J985" s="1187"/>
      <c r="K985" s="1187"/>
      <c r="L985" s="1187"/>
      <c r="M985" s="1187"/>
      <c r="N985" s="1187"/>
      <c r="O985" s="1187"/>
      <c r="P985" s="1187"/>
      <c r="Q985" s="1187"/>
      <c r="R985" s="1187"/>
      <c r="S985" s="1187"/>
      <c r="T985" s="1187"/>
      <c r="U985" s="1187"/>
      <c r="V985" s="1187"/>
      <c r="W985" s="1187"/>
      <c r="X985" s="1187"/>
      <c r="Y985" s="1187"/>
      <c r="Z985" s="1187"/>
      <c r="AA985" s="1187"/>
      <c r="AB985" s="1187"/>
      <c r="AC985" s="1187"/>
      <c r="AD985" s="1187"/>
      <c r="AE985" s="1323"/>
      <c r="AF985" s="68"/>
      <c r="AG985" s="1324" t="s">
        <v>708</v>
      </c>
      <c r="AH985" s="1325"/>
      <c r="AI985" s="71"/>
      <c r="AJ985" s="1308">
        <f>ROUND(IF(AG985="yes",AJ976*0.05,0),0)</f>
        <v>0</v>
      </c>
      <c r="AK985" s="1309"/>
      <c r="AL985" s="1309"/>
      <c r="AM985" s="1309"/>
      <c r="AN985" s="1309"/>
      <c r="AO985" s="1309"/>
      <c r="AP985" s="1309"/>
      <c r="AQ985" s="1310"/>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202" t="s">
        <v>1578</v>
      </c>
      <c r="E986" s="1203"/>
      <c r="F986" s="1203"/>
      <c r="G986" s="1203"/>
      <c r="H986" s="1203"/>
      <c r="I986" s="1203"/>
      <c r="J986" s="1203"/>
      <c r="K986" s="1203"/>
      <c r="L986" s="1203"/>
      <c r="M986" s="1203"/>
      <c r="N986" s="1203"/>
      <c r="O986" s="1203"/>
      <c r="P986" s="1203"/>
      <c r="Q986" s="1203"/>
      <c r="R986" s="1203"/>
      <c r="S986" s="1203"/>
      <c r="T986" s="1203"/>
      <c r="U986" s="1203"/>
      <c r="V986" s="1203"/>
      <c r="W986" s="1203"/>
      <c r="X986" s="1203"/>
      <c r="Y986" s="1203"/>
      <c r="Z986" s="1203"/>
      <c r="AA986" s="1203"/>
      <c r="AB986" s="1203"/>
      <c r="AC986" s="1203"/>
      <c r="AD986" s="1203"/>
      <c r="AE986" s="1204"/>
      <c r="AF986" s="65"/>
      <c r="AG986" s="21"/>
      <c r="AH986" s="21"/>
      <c r="AI986" s="69"/>
      <c r="AJ986" s="1311"/>
      <c r="AK986" s="1312"/>
      <c r="AL986" s="1312"/>
      <c r="AM986" s="1312"/>
      <c r="AN986" s="1312"/>
      <c r="AO986" s="1312"/>
      <c r="AP986" s="1312"/>
      <c r="AQ986" s="1313"/>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202"/>
      <c r="E987" s="1203"/>
      <c r="F987" s="1203"/>
      <c r="G987" s="1203"/>
      <c r="H987" s="1203"/>
      <c r="I987" s="1203"/>
      <c r="J987" s="1203"/>
      <c r="K987" s="1203"/>
      <c r="L987" s="1203"/>
      <c r="M987" s="1203"/>
      <c r="N987" s="1203"/>
      <c r="O987" s="1203"/>
      <c r="P987" s="1203"/>
      <c r="Q987" s="1203"/>
      <c r="R987" s="1203"/>
      <c r="S987" s="1203"/>
      <c r="T987" s="1203"/>
      <c r="U987" s="1203"/>
      <c r="V987" s="1203"/>
      <c r="W987" s="1203"/>
      <c r="X987" s="1203"/>
      <c r="Y987" s="1203"/>
      <c r="Z987" s="1203"/>
      <c r="AA987" s="1203"/>
      <c r="AB987" s="1203"/>
      <c r="AC987" s="1203"/>
      <c r="AD987" s="1203"/>
      <c r="AE987" s="1204"/>
      <c r="AF987" s="65"/>
      <c r="AG987" s="21"/>
      <c r="AH987" s="21"/>
      <c r="AI987" s="69"/>
      <c r="AJ987" s="1311"/>
      <c r="AK987" s="1312"/>
      <c r="AL987" s="1312"/>
      <c r="AM987" s="1312"/>
      <c r="AN987" s="1312"/>
      <c r="AO987" s="1312"/>
      <c r="AP987" s="1312"/>
      <c r="AQ987" s="1313"/>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202"/>
      <c r="E988" s="1203"/>
      <c r="F988" s="1203"/>
      <c r="G988" s="1203"/>
      <c r="H988" s="1203"/>
      <c r="I988" s="1203"/>
      <c r="J988" s="1203"/>
      <c r="K988" s="1203"/>
      <c r="L988" s="1203"/>
      <c r="M988" s="1203"/>
      <c r="N988" s="1203"/>
      <c r="O988" s="1203"/>
      <c r="P988" s="1203"/>
      <c r="Q988" s="1203"/>
      <c r="R988" s="1203"/>
      <c r="S988" s="1203"/>
      <c r="T988" s="1203"/>
      <c r="U988" s="1203"/>
      <c r="V988" s="1203"/>
      <c r="W988" s="1203"/>
      <c r="X988" s="1203"/>
      <c r="Y988" s="1203"/>
      <c r="Z988" s="1203"/>
      <c r="AA988" s="1203"/>
      <c r="AB988" s="1203"/>
      <c r="AC988" s="1203"/>
      <c r="AD988" s="1203"/>
      <c r="AE988" s="1204"/>
      <c r="AF988" s="65"/>
      <c r="AG988" s="21"/>
      <c r="AH988" s="21"/>
      <c r="AI988" s="69"/>
      <c r="AJ988" s="1311"/>
      <c r="AK988" s="1312"/>
      <c r="AL988" s="1312"/>
      <c r="AM988" s="1312"/>
      <c r="AN988" s="1312"/>
      <c r="AO988" s="1312"/>
      <c r="AP988" s="1312"/>
      <c r="AQ988" s="1313"/>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2"/>
      <c r="C989" s="756"/>
      <c r="D989" s="1202"/>
      <c r="E989" s="1203"/>
      <c r="F989" s="1203"/>
      <c r="G989" s="1203"/>
      <c r="H989" s="1203"/>
      <c r="I989" s="1203"/>
      <c r="J989" s="1203"/>
      <c r="K989" s="1203"/>
      <c r="L989" s="1203"/>
      <c r="M989" s="1203"/>
      <c r="N989" s="1203"/>
      <c r="O989" s="1203"/>
      <c r="P989" s="1203"/>
      <c r="Q989" s="1203"/>
      <c r="R989" s="1203"/>
      <c r="S989" s="1203"/>
      <c r="T989" s="1203"/>
      <c r="U989" s="1203"/>
      <c r="V989" s="1203"/>
      <c r="W989" s="1203"/>
      <c r="X989" s="1203"/>
      <c r="Y989" s="1203"/>
      <c r="Z989" s="1203"/>
      <c r="AA989" s="1203"/>
      <c r="AB989" s="1203"/>
      <c r="AC989" s="1203"/>
      <c r="AD989" s="1203"/>
      <c r="AE989" s="1204"/>
      <c r="AF989" s="65"/>
      <c r="AG989" s="21"/>
      <c r="AH989" s="21"/>
      <c r="AI989" s="69"/>
      <c r="AJ989" s="1311"/>
      <c r="AK989" s="1312"/>
      <c r="AL989" s="1312"/>
      <c r="AM989" s="1312"/>
      <c r="AN989" s="1312"/>
      <c r="AO989" s="1312"/>
      <c r="AP989" s="1312"/>
      <c r="AQ989" s="1313"/>
      <c r="AR989" s="37"/>
      <c r="AS989" s="37"/>
      <c r="AT989" s="37"/>
      <c r="AU989" s="37"/>
      <c r="AV989" s="37" t="s">
        <v>1579</v>
      </c>
      <c r="AW989" s="37"/>
      <c r="AX989" s="37" t="s">
        <v>1580</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205"/>
      <c r="E990" s="1206"/>
      <c r="F990" s="1206"/>
      <c r="G990" s="1206"/>
      <c r="H990" s="1206"/>
      <c r="I990" s="1206"/>
      <c r="J990" s="1206"/>
      <c r="K990" s="1206"/>
      <c r="L990" s="1206"/>
      <c r="M990" s="1206"/>
      <c r="N990" s="1206"/>
      <c r="O990" s="1206"/>
      <c r="P990" s="1206"/>
      <c r="Q990" s="1206"/>
      <c r="R990" s="1206"/>
      <c r="S990" s="1206"/>
      <c r="T990" s="1206"/>
      <c r="U990" s="1206"/>
      <c r="V990" s="1206"/>
      <c r="W990" s="1206"/>
      <c r="X990" s="1206"/>
      <c r="Y990" s="1206"/>
      <c r="Z990" s="1206"/>
      <c r="AA990" s="1206"/>
      <c r="AB990" s="1206"/>
      <c r="AC990" s="1206"/>
      <c r="AD990" s="1206"/>
      <c r="AE990" s="1207"/>
      <c r="AF990" s="66"/>
      <c r="AG990" s="11"/>
      <c r="AH990" s="11"/>
      <c r="AI990" s="67"/>
      <c r="AJ990" s="1314"/>
      <c r="AK990" s="1315"/>
      <c r="AL990" s="1315"/>
      <c r="AM990" s="1315"/>
      <c r="AN990" s="1315"/>
      <c r="AO990" s="1315"/>
      <c r="AP990" s="1315"/>
      <c r="AQ990" s="1316"/>
      <c r="AR990" s="37"/>
      <c r="AS990" s="37"/>
      <c r="AT990" s="37"/>
      <c r="AU990" s="37"/>
      <c r="AV990" s="37">
        <v>1</v>
      </c>
      <c r="AW990" s="37">
        <f>IF((_xlfn.XLOOKUP(AV990,$C$1045:$C$1083,$A$1045:$A$1083,"",0,1))="Yes",AX990,0)</f>
        <v>0</v>
      </c>
      <c r="AX990" s="904">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4"/>
      <c r="C991" s="466" t="s">
        <v>1581</v>
      </c>
      <c r="D991" s="1322" t="s">
        <v>1582</v>
      </c>
      <c r="E991" s="1187"/>
      <c r="F991" s="1187"/>
      <c r="G991" s="1187"/>
      <c r="H991" s="1187"/>
      <c r="I991" s="1187"/>
      <c r="J991" s="1187"/>
      <c r="K991" s="1187"/>
      <c r="L991" s="1187"/>
      <c r="M991" s="1187"/>
      <c r="N991" s="1187"/>
      <c r="O991" s="1187"/>
      <c r="P991" s="1187"/>
      <c r="Q991" s="1187"/>
      <c r="R991" s="1187"/>
      <c r="S991" s="1187"/>
      <c r="T991" s="1187"/>
      <c r="U991" s="1187"/>
      <c r="V991" s="1187"/>
      <c r="W991" s="1187"/>
      <c r="X991" s="1187"/>
      <c r="Y991" s="1187"/>
      <c r="Z991" s="1187"/>
      <c r="AA991" s="1187"/>
      <c r="AB991" s="1187"/>
      <c r="AC991" s="1187"/>
      <c r="AD991" s="1187"/>
      <c r="AE991" s="1323"/>
      <c r="AF991" s="70"/>
      <c r="AG991" s="1324" t="s">
        <v>765</v>
      </c>
      <c r="AH991" s="1325"/>
      <c r="AI991" s="71"/>
      <c r="AJ991" s="1308">
        <f>ROUND(IF(AG991="yes",AJ976*0.1,0),0)</f>
        <v>3106742</v>
      </c>
      <c r="AK991" s="1309"/>
      <c r="AL991" s="1309"/>
      <c r="AM991" s="1309"/>
      <c r="AN991" s="1309"/>
      <c r="AO991" s="1309"/>
      <c r="AP991" s="1309"/>
      <c r="AQ991" s="1310"/>
      <c r="AR991" s="37"/>
      <c r="AS991" s="37"/>
      <c r="AT991" s="37"/>
      <c r="AU991" s="37"/>
      <c r="AV991" s="37">
        <v>2</v>
      </c>
      <c r="AW991" s="37">
        <f t="shared" ref="AW991:AW1000" si="55">IF((_xlfn.XLOOKUP(AV991,$C$1045:$C$1083,$A$1045:$A$1083,"",0,1))="Yes",AX991,0)</f>
        <v>0</v>
      </c>
      <c r="AX991" s="904">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52" t="s">
        <v>1583</v>
      </c>
      <c r="E992" s="1453"/>
      <c r="F992" s="1453"/>
      <c r="G992" s="1453"/>
      <c r="H992" s="1453"/>
      <c r="I992" s="1453"/>
      <c r="J992" s="1453"/>
      <c r="K992" s="1453"/>
      <c r="L992" s="1453"/>
      <c r="M992" s="1453"/>
      <c r="N992" s="1453"/>
      <c r="O992" s="1453"/>
      <c r="P992" s="1453"/>
      <c r="Q992" s="1453"/>
      <c r="R992" s="1453"/>
      <c r="S992" s="1453"/>
      <c r="T992" s="1453"/>
      <c r="U992" s="1453"/>
      <c r="V992" s="1453"/>
      <c r="W992" s="1453"/>
      <c r="X992" s="1453"/>
      <c r="Y992" s="1453"/>
      <c r="Z992" s="1453"/>
      <c r="AA992" s="1453"/>
      <c r="AB992" s="1453"/>
      <c r="AC992" s="1453"/>
      <c r="AD992" s="1453"/>
      <c r="AE992" s="1454"/>
      <c r="AF992" s="65"/>
      <c r="AI992" s="69"/>
      <c r="AJ992" s="1311"/>
      <c r="AK992" s="1312"/>
      <c r="AL992" s="1312"/>
      <c r="AM992" s="1312"/>
      <c r="AN992" s="1312"/>
      <c r="AO992" s="1312"/>
      <c r="AP992" s="1312"/>
      <c r="AQ992" s="1313"/>
      <c r="AR992" s="37"/>
      <c r="AS992" s="37"/>
      <c r="AT992" s="37"/>
      <c r="AU992" s="37"/>
      <c r="AV992" s="37">
        <v>3</v>
      </c>
      <c r="AW992" s="37">
        <f t="shared" si="55"/>
        <v>0</v>
      </c>
      <c r="AX992" s="904">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452"/>
      <c r="E993" s="1453"/>
      <c r="F993" s="1453"/>
      <c r="G993" s="1453"/>
      <c r="H993" s="1453"/>
      <c r="I993" s="1453"/>
      <c r="J993" s="1453"/>
      <c r="K993" s="1453"/>
      <c r="L993" s="1453"/>
      <c r="M993" s="1453"/>
      <c r="N993" s="1453"/>
      <c r="O993" s="1453"/>
      <c r="P993" s="1453"/>
      <c r="Q993" s="1453"/>
      <c r="R993" s="1453"/>
      <c r="S993" s="1453"/>
      <c r="T993" s="1453"/>
      <c r="U993" s="1453"/>
      <c r="V993" s="1453"/>
      <c r="W993" s="1453"/>
      <c r="X993" s="1453"/>
      <c r="Y993" s="1453"/>
      <c r="Z993" s="1453"/>
      <c r="AA993" s="1453"/>
      <c r="AB993" s="1453"/>
      <c r="AC993" s="1453"/>
      <c r="AD993" s="1453"/>
      <c r="AE993" s="1454"/>
      <c r="AF993" s="65"/>
      <c r="AG993" s="21"/>
      <c r="AH993" s="21"/>
      <c r="AI993" s="69"/>
      <c r="AJ993" s="1311"/>
      <c r="AK993" s="1312"/>
      <c r="AL993" s="1312"/>
      <c r="AM993" s="1312"/>
      <c r="AN993" s="1312"/>
      <c r="AO993" s="1312"/>
      <c r="AP993" s="1312"/>
      <c r="AQ993" s="1313"/>
      <c r="AR993" s="37"/>
      <c r="AS993" s="37"/>
      <c r="AT993" s="37"/>
      <c r="AU993" s="37"/>
      <c r="AV993" s="37">
        <v>4</v>
      </c>
      <c r="AW993" s="37">
        <f t="shared" si="55"/>
        <v>0</v>
      </c>
      <c r="AX993" s="904">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9"/>
      <c r="C994" s="758"/>
      <c r="D994" s="1299"/>
      <c r="E994" s="1300"/>
      <c r="F994" s="1300"/>
      <c r="G994" s="1300"/>
      <c r="H994" s="1300"/>
      <c r="I994" s="1300"/>
      <c r="J994" s="1300"/>
      <c r="K994" s="1300"/>
      <c r="L994" s="1300"/>
      <c r="M994" s="1300"/>
      <c r="N994" s="1300"/>
      <c r="O994" s="1300"/>
      <c r="P994" s="1300"/>
      <c r="Q994" s="1300"/>
      <c r="R994" s="1300"/>
      <c r="S994" s="1300"/>
      <c r="T994" s="1300"/>
      <c r="U994" s="1300"/>
      <c r="V994" s="1300"/>
      <c r="W994" s="1300"/>
      <c r="X994" s="1300"/>
      <c r="Y994" s="1300"/>
      <c r="Z994" s="1300"/>
      <c r="AA994" s="1300"/>
      <c r="AB994" s="1300"/>
      <c r="AC994" s="1300"/>
      <c r="AD994" s="1300"/>
      <c r="AE994" s="1301"/>
      <c r="AF994" s="66"/>
      <c r="AG994" s="11"/>
      <c r="AH994" s="11"/>
      <c r="AI994" s="67"/>
      <c r="AJ994" s="1314"/>
      <c r="AK994" s="1315"/>
      <c r="AL994" s="1315"/>
      <c r="AM994" s="1315"/>
      <c r="AN994" s="1315"/>
      <c r="AO994" s="1315"/>
      <c r="AP994" s="1315"/>
      <c r="AQ994" s="1316"/>
      <c r="AR994" s="37"/>
      <c r="AS994" s="37"/>
      <c r="AT994" s="37"/>
      <c r="AU994" s="37"/>
      <c r="AV994" s="37">
        <v>5</v>
      </c>
      <c r="AW994" s="37">
        <f t="shared" si="55"/>
        <v>0</v>
      </c>
      <c r="AX994" s="904">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1584</v>
      </c>
      <c r="D995" s="1322" t="s">
        <v>1585</v>
      </c>
      <c r="E995" s="1187"/>
      <c r="F995" s="1187"/>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c r="AB995" s="1187"/>
      <c r="AC995" s="1187"/>
      <c r="AD995" s="1187"/>
      <c r="AE995" s="1323"/>
      <c r="AF995" s="68"/>
      <c r="AG995" s="1324" t="s">
        <v>708</v>
      </c>
      <c r="AH995" s="1325"/>
      <c r="AI995" s="71"/>
      <c r="AJ995" s="1308">
        <f>ROUND(IF(AG995="yes",AJ976*0.02,0),0)</f>
        <v>0</v>
      </c>
      <c r="AK995" s="1309"/>
      <c r="AL995" s="1309"/>
      <c r="AM995" s="1309"/>
      <c r="AN995" s="1309"/>
      <c r="AO995" s="1309"/>
      <c r="AP995" s="1309"/>
      <c r="AQ995" s="1310"/>
      <c r="AR995" s="37"/>
      <c r="AS995" s="37"/>
      <c r="AT995" s="37"/>
      <c r="AU995" s="37"/>
      <c r="AV995" s="37">
        <v>6</v>
      </c>
      <c r="AW995" s="37">
        <f t="shared" si="55"/>
        <v>0</v>
      </c>
      <c r="AX995" s="904">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299" t="s">
        <v>1586</v>
      </c>
      <c r="E996" s="1300"/>
      <c r="F996" s="1300"/>
      <c r="G996" s="1300"/>
      <c r="H996" s="1300"/>
      <c r="I996" s="1300"/>
      <c r="J996" s="1300"/>
      <c r="K996" s="1300"/>
      <c r="L996" s="1300"/>
      <c r="M996" s="1300"/>
      <c r="N996" s="1300"/>
      <c r="O996" s="1300"/>
      <c r="P996" s="1300"/>
      <c r="Q996" s="1300"/>
      <c r="R996" s="1300"/>
      <c r="S996" s="1300"/>
      <c r="T996" s="1300"/>
      <c r="U996" s="1300"/>
      <c r="V996" s="1300"/>
      <c r="W996" s="1300"/>
      <c r="X996" s="1300"/>
      <c r="Y996" s="1300"/>
      <c r="Z996" s="1300"/>
      <c r="AA996" s="1300"/>
      <c r="AB996" s="1300"/>
      <c r="AC996" s="1300"/>
      <c r="AD996" s="1300"/>
      <c r="AE996" s="1301"/>
      <c r="AF996" s="66"/>
      <c r="AG996" s="11"/>
      <c r="AH996" s="11"/>
      <c r="AI996" s="67"/>
      <c r="AJ996" s="1314"/>
      <c r="AK996" s="1315"/>
      <c r="AL996" s="1315"/>
      <c r="AM996" s="1315"/>
      <c r="AN996" s="1315"/>
      <c r="AO996" s="1315"/>
      <c r="AP996" s="1315"/>
      <c r="AQ996" s="1316"/>
      <c r="AR996" s="37"/>
      <c r="AS996" s="37"/>
      <c r="AT996" s="37"/>
      <c r="AU996" s="37"/>
      <c r="AV996" s="37">
        <v>7</v>
      </c>
      <c r="AW996" s="37">
        <f t="shared" si="55"/>
        <v>0</v>
      </c>
      <c r="AX996" s="904">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1587</v>
      </c>
      <c r="D997" s="1322" t="s">
        <v>1588</v>
      </c>
      <c r="E997" s="1187"/>
      <c r="F997" s="1187"/>
      <c r="G997" s="1187"/>
      <c r="H997" s="1187"/>
      <c r="I997" s="1187"/>
      <c r="J997" s="1187"/>
      <c r="K997" s="1187"/>
      <c r="L997" s="1187"/>
      <c r="M997" s="1187"/>
      <c r="N997" s="1187"/>
      <c r="O997" s="1187"/>
      <c r="P997" s="1187"/>
      <c r="Q997" s="1187"/>
      <c r="R997" s="1187"/>
      <c r="S997" s="1187"/>
      <c r="T997" s="1187"/>
      <c r="U997" s="1187"/>
      <c r="V997" s="1187"/>
      <c r="W997" s="1187"/>
      <c r="X997" s="1187"/>
      <c r="Y997" s="1187"/>
      <c r="Z997" s="1187"/>
      <c r="AA997" s="1187"/>
      <c r="AB997" s="1187"/>
      <c r="AC997" s="1187"/>
      <c r="AD997" s="1187"/>
      <c r="AE997" s="1323"/>
      <c r="AF997" s="68"/>
      <c r="AG997" s="1324" t="s">
        <v>765</v>
      </c>
      <c r="AH997" s="1325"/>
      <c r="AI997" s="68"/>
      <c r="AJ997" s="1308">
        <f>ROUND(IF(AG997="yes",AJ976*0.02,0),0)</f>
        <v>621348</v>
      </c>
      <c r="AK997" s="1309"/>
      <c r="AL997" s="1309"/>
      <c r="AM997" s="1309"/>
      <c r="AN997" s="1309"/>
      <c r="AO997" s="1309"/>
      <c r="AP997" s="1309"/>
      <c r="AQ997" s="1310"/>
      <c r="AS997" s="849"/>
      <c r="AT997" s="849"/>
      <c r="AU997" s="849"/>
      <c r="AV997" s="37">
        <v>8</v>
      </c>
      <c r="AW997" s="37">
        <f t="shared" si="55"/>
        <v>0</v>
      </c>
      <c r="AX997" s="904">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452" t="s">
        <v>1589</v>
      </c>
      <c r="E998" s="1453"/>
      <c r="F998" s="1453"/>
      <c r="G998" s="1453"/>
      <c r="H998" s="1453"/>
      <c r="I998" s="1453"/>
      <c r="J998" s="1453"/>
      <c r="K998" s="1453"/>
      <c r="L998" s="1453"/>
      <c r="M998" s="1453"/>
      <c r="N998" s="1453"/>
      <c r="O998" s="1453"/>
      <c r="P998" s="1453"/>
      <c r="Q998" s="1453"/>
      <c r="R998" s="1453"/>
      <c r="S998" s="1453"/>
      <c r="T998" s="1453"/>
      <c r="U998" s="1453"/>
      <c r="V998" s="1453"/>
      <c r="W998" s="1453"/>
      <c r="X998" s="1453"/>
      <c r="Y998" s="1453"/>
      <c r="Z998" s="1453"/>
      <c r="AA998" s="1453"/>
      <c r="AB998" s="1453"/>
      <c r="AC998" s="1453"/>
      <c r="AD998" s="1453"/>
      <c r="AE998" s="1454"/>
      <c r="AF998" s="1496" t="str">
        <f>IF(AND(AG997="yes",V215&lt;&gt;1),"The project may not be eligible for this boost","")</f>
        <v/>
      </c>
      <c r="AG998" s="1497"/>
      <c r="AH998" s="1497"/>
      <c r="AI998" s="1498"/>
      <c r="AJ998" s="1311"/>
      <c r="AK998" s="1312"/>
      <c r="AL998" s="1312"/>
      <c r="AM998" s="1312"/>
      <c r="AN998" s="1312"/>
      <c r="AO998" s="1312"/>
      <c r="AP998" s="1312"/>
      <c r="AQ998" s="1313"/>
      <c r="AR998" s="848"/>
      <c r="AS998" s="849"/>
      <c r="AT998" s="849"/>
      <c r="AU998" s="849"/>
      <c r="AV998" s="37">
        <v>9</v>
      </c>
      <c r="AW998" s="37">
        <f t="shared" si="55"/>
        <v>0</v>
      </c>
      <c r="AX998" s="904">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7"/>
      <c r="C999" s="758"/>
      <c r="D999" s="1299"/>
      <c r="E999" s="1300"/>
      <c r="F999" s="1300"/>
      <c r="G999" s="1300"/>
      <c r="H999" s="1300"/>
      <c r="I999" s="1300"/>
      <c r="J999" s="1300"/>
      <c r="K999" s="1300"/>
      <c r="L999" s="1300"/>
      <c r="M999" s="1300"/>
      <c r="N999" s="1300"/>
      <c r="O999" s="1300"/>
      <c r="P999" s="1300"/>
      <c r="Q999" s="1300"/>
      <c r="R999" s="1300"/>
      <c r="S999" s="1300"/>
      <c r="T999" s="1300"/>
      <c r="U999" s="1300"/>
      <c r="V999" s="1300"/>
      <c r="W999" s="1300"/>
      <c r="X999" s="1300"/>
      <c r="Y999" s="1300"/>
      <c r="Z999" s="1300"/>
      <c r="AA999" s="1300"/>
      <c r="AB999" s="1300"/>
      <c r="AC999" s="1300"/>
      <c r="AD999" s="1300"/>
      <c r="AE999" s="1301"/>
      <c r="AF999" s="1499"/>
      <c r="AG999" s="1500"/>
      <c r="AH999" s="1500"/>
      <c r="AI999" s="1501"/>
      <c r="AJ999" s="1314"/>
      <c r="AK999" s="1315"/>
      <c r="AL999" s="1315"/>
      <c r="AM999" s="1315"/>
      <c r="AN999" s="1315"/>
      <c r="AO999" s="1315"/>
      <c r="AP999" s="1315"/>
      <c r="AQ999" s="1316"/>
      <c r="AR999" s="848"/>
      <c r="AS999" s="849"/>
      <c r="AT999" s="849"/>
      <c r="AU999" s="37"/>
      <c r="AV999" s="37">
        <v>10</v>
      </c>
      <c r="AW999" s="37">
        <f t="shared" si="55"/>
        <v>0</v>
      </c>
      <c r="AX999" s="904">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1590</v>
      </c>
      <c r="D1000" s="1113" t="s">
        <v>1591</v>
      </c>
      <c r="E1000" s="1114"/>
      <c r="F1000" s="1114"/>
      <c r="G1000" s="1114"/>
      <c r="H1000" s="1114"/>
      <c r="I1000" s="1114"/>
      <c r="J1000" s="1114"/>
      <c r="K1000" s="1114"/>
      <c r="L1000" s="1114"/>
      <c r="M1000" s="1114"/>
      <c r="N1000" s="1114"/>
      <c r="O1000" s="1114"/>
      <c r="P1000" s="1114"/>
      <c r="Q1000" s="1114"/>
      <c r="R1000" s="1114"/>
      <c r="S1000" s="1114"/>
      <c r="T1000" s="1114"/>
      <c r="U1000" s="1114"/>
      <c r="V1000" s="1114"/>
      <c r="W1000" s="1114"/>
      <c r="X1000" s="1114"/>
      <c r="Y1000" s="1114"/>
      <c r="Z1000" s="1114"/>
      <c r="AA1000" s="1114"/>
      <c r="AB1000" s="1114"/>
      <c r="AC1000" s="1114"/>
      <c r="AD1000" s="1114"/>
      <c r="AE1000" s="1115"/>
      <c r="AF1000" s="68"/>
      <c r="AG1000" s="1324" t="s">
        <v>708</v>
      </c>
      <c r="AH1000" s="1325"/>
      <c r="AI1000" s="71"/>
      <c r="AJ1000" s="1308">
        <f>IF(AG1000="yes",AJ976*AW1001,0)</f>
        <v>0</v>
      </c>
      <c r="AK1000" s="1309"/>
      <c r="AL1000" s="1309"/>
      <c r="AM1000" s="1309"/>
      <c r="AN1000" s="1309"/>
      <c r="AO1000" s="1309"/>
      <c r="AP1000" s="1309"/>
      <c r="AQ1000" s="1310"/>
      <c r="AR1000" s="37"/>
      <c r="AS1000" s="37"/>
      <c r="AT1000" s="37"/>
      <c r="AU1000" s="37"/>
      <c r="AV1000" s="37">
        <v>11</v>
      </c>
      <c r="AW1000" s="37">
        <f t="shared" si="55"/>
        <v>0</v>
      </c>
      <c r="AX1000" s="904">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452" t="s">
        <v>1592</v>
      </c>
      <c r="E1001" s="1453"/>
      <c r="F1001" s="1453"/>
      <c r="G1001" s="1453"/>
      <c r="H1001" s="1453"/>
      <c r="I1001" s="1453"/>
      <c r="J1001" s="1453"/>
      <c r="K1001" s="1453"/>
      <c r="L1001" s="1453"/>
      <c r="M1001" s="1453"/>
      <c r="N1001" s="1453"/>
      <c r="O1001" s="1453"/>
      <c r="P1001" s="1453"/>
      <c r="Q1001" s="1453"/>
      <c r="R1001" s="1453"/>
      <c r="S1001" s="1453"/>
      <c r="T1001" s="1453"/>
      <c r="U1001" s="1453"/>
      <c r="V1001" s="1453"/>
      <c r="W1001" s="1453"/>
      <c r="X1001" s="1453"/>
      <c r="Y1001" s="1453"/>
      <c r="Z1001" s="1453"/>
      <c r="AA1001" s="1453"/>
      <c r="AB1001" s="1453"/>
      <c r="AC1001" s="1453"/>
      <c r="AD1001" s="1453"/>
      <c r="AE1001" s="1454"/>
      <c r="AF1001" s="1189" t="str">
        <f>IF(AND(AG1000="Yes",AW1001=0),AW1003,"")</f>
        <v/>
      </c>
      <c r="AG1001" s="1190"/>
      <c r="AH1001" s="1190"/>
      <c r="AI1001" s="1191"/>
      <c r="AJ1001" s="1311"/>
      <c r="AK1001" s="1312"/>
      <c r="AL1001" s="1312"/>
      <c r="AM1001" s="1312"/>
      <c r="AN1001" s="1312"/>
      <c r="AO1001" s="1312"/>
      <c r="AP1001" s="1312"/>
      <c r="AQ1001" s="1313"/>
      <c r="AR1001" s="37"/>
      <c r="AS1001" s="37"/>
      <c r="AT1001" s="37"/>
      <c r="AU1001" s="37"/>
      <c r="AV1001" s="810" t="s">
        <v>1593</v>
      </c>
      <c r="AW1001" s="905">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452"/>
      <c r="E1002" s="1453"/>
      <c r="F1002" s="1453"/>
      <c r="G1002" s="1453"/>
      <c r="H1002" s="1453"/>
      <c r="I1002" s="1453"/>
      <c r="J1002" s="1453"/>
      <c r="K1002" s="1453"/>
      <c r="L1002" s="1453"/>
      <c r="M1002" s="1453"/>
      <c r="N1002" s="1453"/>
      <c r="O1002" s="1453"/>
      <c r="P1002" s="1453"/>
      <c r="Q1002" s="1453"/>
      <c r="R1002" s="1453"/>
      <c r="S1002" s="1453"/>
      <c r="T1002" s="1453"/>
      <c r="U1002" s="1453"/>
      <c r="V1002" s="1453"/>
      <c r="W1002" s="1453"/>
      <c r="X1002" s="1453"/>
      <c r="Y1002" s="1453"/>
      <c r="Z1002" s="1453"/>
      <c r="AA1002" s="1453"/>
      <c r="AB1002" s="1453"/>
      <c r="AC1002" s="1453"/>
      <c r="AD1002" s="1453"/>
      <c r="AE1002" s="1454"/>
      <c r="AF1002" s="1189"/>
      <c r="AG1002" s="1190"/>
      <c r="AH1002" s="1190"/>
      <c r="AI1002" s="1191"/>
      <c r="AJ1002" s="1311"/>
      <c r="AK1002" s="1312"/>
      <c r="AL1002" s="1312"/>
      <c r="AM1002" s="1312"/>
      <c r="AN1002" s="1312"/>
      <c r="AO1002" s="1312"/>
      <c r="AP1002" s="1312"/>
      <c r="AQ1002" s="1313"/>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56"/>
      <c r="D1003" s="1299"/>
      <c r="E1003" s="1300"/>
      <c r="F1003" s="1300"/>
      <c r="G1003" s="1300"/>
      <c r="H1003" s="1300"/>
      <c r="I1003" s="1300"/>
      <c r="J1003" s="1300"/>
      <c r="K1003" s="1300"/>
      <c r="L1003" s="1300"/>
      <c r="M1003" s="1300"/>
      <c r="N1003" s="1300"/>
      <c r="O1003" s="1300"/>
      <c r="P1003" s="1300"/>
      <c r="Q1003" s="1300"/>
      <c r="R1003" s="1300"/>
      <c r="S1003" s="1300"/>
      <c r="T1003" s="1300"/>
      <c r="U1003" s="1300"/>
      <c r="V1003" s="1300"/>
      <c r="W1003" s="1300"/>
      <c r="X1003" s="1300"/>
      <c r="Y1003" s="1300"/>
      <c r="Z1003" s="1300"/>
      <c r="AA1003" s="1300"/>
      <c r="AB1003" s="1300"/>
      <c r="AC1003" s="1300"/>
      <c r="AD1003" s="1300"/>
      <c r="AE1003" s="1301"/>
      <c r="AF1003" s="1485"/>
      <c r="AG1003" s="1486"/>
      <c r="AH1003" s="1486"/>
      <c r="AI1003" s="1487"/>
      <c r="AJ1003" s="1314"/>
      <c r="AK1003" s="1315"/>
      <c r="AL1003" s="1315"/>
      <c r="AM1003" s="1315"/>
      <c r="AN1003" s="1315"/>
      <c r="AO1003" s="1315"/>
      <c r="AP1003" s="1315"/>
      <c r="AQ1003" s="1316"/>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1594</v>
      </c>
      <c r="D1004" s="1476" t="s">
        <v>1595</v>
      </c>
      <c r="E1004" s="1477"/>
      <c r="F1004" s="1477"/>
      <c r="G1004" s="1477"/>
      <c r="H1004" s="1477"/>
      <c r="I1004" s="1477"/>
      <c r="J1004" s="1477"/>
      <c r="K1004" s="1477"/>
      <c r="L1004" s="1477"/>
      <c r="M1004" s="1477"/>
      <c r="N1004" s="1477"/>
      <c r="O1004" s="1477"/>
      <c r="P1004" s="1477"/>
      <c r="Q1004" s="1477"/>
      <c r="R1004" s="1477"/>
      <c r="S1004" s="1477"/>
      <c r="T1004" s="1477"/>
      <c r="U1004" s="1477"/>
      <c r="V1004" s="1477"/>
      <c r="W1004" s="1477"/>
      <c r="X1004" s="1477"/>
      <c r="Y1004" s="1477"/>
      <c r="Z1004" s="1477"/>
      <c r="AA1004" s="1477"/>
      <c r="AB1004" s="1477"/>
      <c r="AC1004" s="1477"/>
      <c r="AD1004" s="1477"/>
      <c r="AE1004" s="1478"/>
      <c r="AF1004" s="68"/>
      <c r="AG1004" s="1324" t="s">
        <v>708</v>
      </c>
      <c r="AH1004" s="1325"/>
      <c r="AI1004" s="71"/>
      <c r="AJ1004" s="1308">
        <f>ROUND(IF(AND(AG1004="Yes",AF1007&lt;&gt;"",J1008&lt;&gt;"N/A"),MIN(AF1007,(0.15*AJ976)),0),0)</f>
        <v>0</v>
      </c>
      <c r="AK1004" s="1309"/>
      <c r="AL1004" s="1309"/>
      <c r="AM1004" s="1309"/>
      <c r="AN1004" s="1309"/>
      <c r="AO1004" s="1309"/>
      <c r="AP1004" s="1309"/>
      <c r="AQ1004" s="1310"/>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79"/>
      <c r="E1005" s="1480"/>
      <c r="F1005" s="1480"/>
      <c r="G1005" s="1480"/>
      <c r="H1005" s="1480"/>
      <c r="I1005" s="1480"/>
      <c r="J1005" s="1480"/>
      <c r="K1005" s="1480"/>
      <c r="L1005" s="1480"/>
      <c r="M1005" s="1480"/>
      <c r="N1005" s="1480"/>
      <c r="O1005" s="1480"/>
      <c r="P1005" s="1480"/>
      <c r="Q1005" s="1480"/>
      <c r="R1005" s="1480"/>
      <c r="S1005" s="1480"/>
      <c r="T1005" s="1480"/>
      <c r="U1005" s="1480"/>
      <c r="V1005" s="1480"/>
      <c r="W1005" s="1480"/>
      <c r="X1005" s="1480"/>
      <c r="Y1005" s="1480"/>
      <c r="Z1005" s="1480"/>
      <c r="AA1005" s="1480"/>
      <c r="AB1005" s="1480"/>
      <c r="AC1005" s="1480"/>
      <c r="AD1005" s="1480"/>
      <c r="AE1005" s="1481"/>
      <c r="AF1005" s="1189" t="str">
        <f>IF(AG1004="yes","Please Select Type and Enter Amount:","")</f>
        <v/>
      </c>
      <c r="AG1005" s="1190"/>
      <c r="AH1005" s="1190"/>
      <c r="AI1005" s="1191"/>
      <c r="AJ1005" s="1311"/>
      <c r="AK1005" s="1312"/>
      <c r="AL1005" s="1312"/>
      <c r="AM1005" s="1312"/>
      <c r="AN1005" s="1312"/>
      <c r="AO1005" s="1312"/>
      <c r="AP1005" s="1312"/>
      <c r="AQ1005" s="1313"/>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52" t="s">
        <v>1596</v>
      </c>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1189"/>
      <c r="AG1006" s="1190"/>
      <c r="AH1006" s="1190"/>
      <c r="AI1006" s="1191"/>
      <c r="AJ1006" s="1311"/>
      <c r="AK1006" s="1312"/>
      <c r="AL1006" s="1312"/>
      <c r="AM1006" s="1312"/>
      <c r="AN1006" s="1312"/>
      <c r="AO1006" s="1312"/>
      <c r="AP1006" s="1312"/>
      <c r="AQ1006" s="1313"/>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1452"/>
      <c r="E1007" s="1453"/>
      <c r="F1007" s="1453"/>
      <c r="G1007" s="1453"/>
      <c r="H1007" s="1453"/>
      <c r="I1007" s="1453"/>
      <c r="J1007" s="1453"/>
      <c r="K1007" s="1453"/>
      <c r="L1007" s="1453"/>
      <c r="M1007" s="1453"/>
      <c r="N1007" s="1453"/>
      <c r="O1007" s="1453"/>
      <c r="P1007" s="1453"/>
      <c r="Q1007" s="1453"/>
      <c r="R1007" s="1453"/>
      <c r="S1007" s="1453"/>
      <c r="T1007" s="1453"/>
      <c r="U1007" s="1453"/>
      <c r="V1007" s="1453"/>
      <c r="W1007" s="1453"/>
      <c r="X1007" s="1453"/>
      <c r="Y1007" s="1453"/>
      <c r="Z1007" s="1453"/>
      <c r="AA1007" s="1453"/>
      <c r="AB1007" s="1453"/>
      <c r="AC1007" s="1453"/>
      <c r="AD1007" s="1453"/>
      <c r="AE1007" s="1454"/>
      <c r="AF1007" s="1192"/>
      <c r="AG1007" s="1192"/>
      <c r="AH1007" s="1192"/>
      <c r="AI1007" s="1192"/>
      <c r="AJ1007" s="1311"/>
      <c r="AK1007" s="1312"/>
      <c r="AL1007" s="1312"/>
      <c r="AM1007" s="1312"/>
      <c r="AN1007" s="1312"/>
      <c r="AO1007" s="1312"/>
      <c r="AP1007" s="1312"/>
      <c r="AQ1007" s="1313"/>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60"/>
      <c r="C1008" s="761"/>
      <c r="D1008" s="762" t="s">
        <v>1597</v>
      </c>
      <c r="E1008" s="73"/>
      <c r="F1008" s="73"/>
      <c r="G1008" s="336"/>
      <c r="H1008" s="336"/>
      <c r="I1008" s="48"/>
      <c r="J1008" s="1482" t="s">
        <v>326</v>
      </c>
      <c r="K1008" s="1483"/>
      <c r="L1008" s="1483"/>
      <c r="M1008" s="1483"/>
      <c r="N1008" s="1483"/>
      <c r="O1008" s="1483"/>
      <c r="P1008" s="1483"/>
      <c r="Q1008" s="1483"/>
      <c r="R1008" s="1483"/>
      <c r="S1008" s="1483"/>
      <c r="T1008" s="1483"/>
      <c r="U1008" s="1483"/>
      <c r="V1008" s="1483"/>
      <c r="W1008" s="1483"/>
      <c r="X1008" s="1483"/>
      <c r="Y1008" s="1483"/>
      <c r="Z1008" s="1483"/>
      <c r="AA1008" s="1483"/>
      <c r="AB1008" s="1483"/>
      <c r="AC1008" s="1483"/>
      <c r="AD1008" s="1483"/>
      <c r="AE1008" s="1484"/>
      <c r="AF1008" s="1192"/>
      <c r="AG1008" s="1192"/>
      <c r="AH1008" s="1192"/>
      <c r="AI1008" s="1192"/>
      <c r="AJ1008" s="1314"/>
      <c r="AK1008" s="1315"/>
      <c r="AL1008" s="1315"/>
      <c r="AM1008" s="1315"/>
      <c r="AN1008" s="1315"/>
      <c r="AO1008" s="1315"/>
      <c r="AP1008" s="1315"/>
      <c r="AQ1008" s="1316"/>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1598</v>
      </c>
      <c r="D1009" s="1322" t="s">
        <v>1599</v>
      </c>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323"/>
      <c r="AF1009" s="68"/>
      <c r="AG1009" s="1324" t="s">
        <v>765</v>
      </c>
      <c r="AH1009" s="1325"/>
      <c r="AI1009" s="71"/>
      <c r="AJ1009" s="1308">
        <f>ROUND(IF(AG1009="Yes",AF1011,0),0)</f>
        <v>287925</v>
      </c>
      <c r="AK1009" s="1309"/>
      <c r="AL1009" s="1309"/>
      <c r="AM1009" s="1309"/>
      <c r="AN1009" s="1309"/>
      <c r="AO1009" s="1309"/>
      <c r="AP1009" s="1309"/>
      <c r="AQ1009" s="1310"/>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52" t="s">
        <v>1600</v>
      </c>
      <c r="E1010" s="1453"/>
      <c r="F1010" s="1453"/>
      <c r="G1010" s="1453"/>
      <c r="H1010" s="1453"/>
      <c r="I1010" s="1453"/>
      <c r="J1010" s="1453"/>
      <c r="K1010" s="1453"/>
      <c r="L1010" s="1453"/>
      <c r="M1010" s="1453"/>
      <c r="N1010" s="1453"/>
      <c r="O1010" s="1453"/>
      <c r="P1010" s="1453"/>
      <c r="Q1010" s="1453"/>
      <c r="R1010" s="1453"/>
      <c r="S1010" s="1453"/>
      <c r="T1010" s="1453"/>
      <c r="U1010" s="1453"/>
      <c r="V1010" s="1453"/>
      <c r="W1010" s="1453"/>
      <c r="X1010" s="1453"/>
      <c r="Y1010" s="1453"/>
      <c r="Z1010" s="1453"/>
      <c r="AA1010" s="1453"/>
      <c r="AB1010" s="1453"/>
      <c r="AC1010" s="1453"/>
      <c r="AD1010" s="1453"/>
      <c r="AE1010" s="1454"/>
      <c r="AF1010" s="1193" t="str">
        <f>IF(AG1009="yes","Please Enter Amount:","")</f>
        <v>Please Enter Amount:</v>
      </c>
      <c r="AG1010" s="1194"/>
      <c r="AH1010" s="1194"/>
      <c r="AI1010" s="1195"/>
      <c r="AJ1010" s="1311"/>
      <c r="AK1010" s="1312"/>
      <c r="AL1010" s="1312"/>
      <c r="AM1010" s="1312"/>
      <c r="AN1010" s="1312"/>
      <c r="AO1010" s="1312"/>
      <c r="AP1010" s="1312"/>
      <c r="AQ1010" s="1313"/>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452"/>
      <c r="E1011" s="1453"/>
      <c r="F1011" s="1453"/>
      <c r="G1011" s="1453"/>
      <c r="H1011" s="1453"/>
      <c r="I1011" s="1453"/>
      <c r="J1011" s="1453"/>
      <c r="K1011" s="1453"/>
      <c r="L1011" s="1453"/>
      <c r="M1011" s="1453"/>
      <c r="N1011" s="1453"/>
      <c r="O1011" s="1453"/>
      <c r="P1011" s="1453"/>
      <c r="Q1011" s="1453"/>
      <c r="R1011" s="1453"/>
      <c r="S1011" s="1453"/>
      <c r="T1011" s="1453"/>
      <c r="U1011" s="1453"/>
      <c r="V1011" s="1453"/>
      <c r="W1011" s="1453"/>
      <c r="X1011" s="1453"/>
      <c r="Y1011" s="1453"/>
      <c r="Z1011" s="1453"/>
      <c r="AA1011" s="1453"/>
      <c r="AB1011" s="1453"/>
      <c r="AC1011" s="1453"/>
      <c r="AD1011" s="1453"/>
      <c r="AE1011" s="1454"/>
      <c r="AF1011" s="1192">
        <f>'Sources and Uses Budget'!B84</f>
        <v>287925</v>
      </c>
      <c r="AG1011" s="1192"/>
      <c r="AH1011" s="1192"/>
      <c r="AI1011" s="1192"/>
      <c r="AJ1011" s="1311"/>
      <c r="AK1011" s="1312"/>
      <c r="AL1011" s="1312"/>
      <c r="AM1011" s="1312"/>
      <c r="AN1011" s="1312"/>
      <c r="AO1011" s="1312"/>
      <c r="AP1011" s="1312"/>
      <c r="AQ1011" s="1313"/>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9"/>
      <c r="C1012" s="761"/>
      <c r="D1012" s="1299"/>
      <c r="E1012" s="1300"/>
      <c r="F1012" s="1300"/>
      <c r="G1012" s="1300"/>
      <c r="H1012" s="1300"/>
      <c r="I1012" s="1300"/>
      <c r="J1012" s="1300"/>
      <c r="K1012" s="1300"/>
      <c r="L1012" s="1300"/>
      <c r="M1012" s="1300"/>
      <c r="N1012" s="1300"/>
      <c r="O1012" s="1300"/>
      <c r="P1012" s="1300"/>
      <c r="Q1012" s="1300"/>
      <c r="R1012" s="1300"/>
      <c r="S1012" s="1300"/>
      <c r="T1012" s="1300"/>
      <c r="U1012" s="1300"/>
      <c r="V1012" s="1300"/>
      <c r="W1012" s="1300"/>
      <c r="X1012" s="1300"/>
      <c r="Y1012" s="1300"/>
      <c r="Z1012" s="1300"/>
      <c r="AA1012" s="1300"/>
      <c r="AB1012" s="1300"/>
      <c r="AC1012" s="1300"/>
      <c r="AD1012" s="1300"/>
      <c r="AE1012" s="1301"/>
      <c r="AF1012" s="1192"/>
      <c r="AG1012" s="1192"/>
      <c r="AH1012" s="1192"/>
      <c r="AI1012" s="1192"/>
      <c r="AJ1012" s="1314"/>
      <c r="AK1012" s="1315"/>
      <c r="AL1012" s="1315"/>
      <c r="AM1012" s="1315"/>
      <c r="AN1012" s="1315"/>
      <c r="AO1012" s="1315"/>
      <c r="AP1012" s="1315"/>
      <c r="AQ1012" s="1316"/>
      <c r="AT1012" s="37"/>
      <c r="AU1012" s="37"/>
      <c r="AV1012" s="37"/>
      <c r="AW1012" s="37"/>
      <c r="AX1012" s="34"/>
      <c r="AY1012" s="34"/>
      <c r="AZ1012" s="21"/>
      <c r="BA1012" s="21"/>
      <c r="BB1012" s="21"/>
      <c r="BC1012" s="37"/>
      <c r="BD1012" s="37"/>
    </row>
    <row r="1013" spans="1:97" ht="12.95" customHeight="1">
      <c r="A1013" s="21"/>
      <c r="B1013" s="68"/>
      <c r="C1013" s="466" t="s">
        <v>1601</v>
      </c>
      <c r="D1013" s="1113" t="s">
        <v>1602</v>
      </c>
      <c r="E1013" s="1114"/>
      <c r="F1013" s="1114"/>
      <c r="G1013" s="1114"/>
      <c r="H1013" s="1114"/>
      <c r="I1013" s="1114"/>
      <c r="J1013" s="1114"/>
      <c r="K1013" s="1114"/>
      <c r="L1013" s="1114"/>
      <c r="M1013" s="1114"/>
      <c r="N1013" s="1114"/>
      <c r="O1013" s="1114"/>
      <c r="P1013" s="1114"/>
      <c r="Q1013" s="1114"/>
      <c r="R1013" s="1114"/>
      <c r="S1013" s="1114"/>
      <c r="T1013" s="1114"/>
      <c r="U1013" s="1114"/>
      <c r="V1013" s="1114"/>
      <c r="W1013" s="1114"/>
      <c r="X1013" s="1114"/>
      <c r="Y1013" s="1114"/>
      <c r="Z1013" s="1114"/>
      <c r="AA1013" s="1114"/>
      <c r="AB1013" s="1114"/>
      <c r="AC1013" s="1114"/>
      <c r="AD1013" s="1114"/>
      <c r="AE1013" s="1115"/>
      <c r="AF1013" s="68"/>
      <c r="AG1013" s="1324" t="s">
        <v>765</v>
      </c>
      <c r="AH1013" s="1325"/>
      <c r="AI1013" s="71"/>
      <c r="AJ1013" s="1308">
        <f>ROUND(IF(AG1013="yes",(AJ976*0.1),0),0)</f>
        <v>3106742</v>
      </c>
      <c r="AK1013" s="1309"/>
      <c r="AL1013" s="1309"/>
      <c r="AM1013" s="1309"/>
      <c r="AN1013" s="1309"/>
      <c r="AO1013" s="1309"/>
      <c r="AP1013" s="1309"/>
      <c r="AQ1013" s="1310"/>
      <c r="AT1013" s="37"/>
      <c r="AU1013" s="37"/>
      <c r="AV1013" s="37"/>
      <c r="AW1013" s="37"/>
      <c r="AX1013" s="34"/>
      <c r="AY1013" s="34"/>
      <c r="AZ1013" s="21"/>
      <c r="BA1013" s="21"/>
      <c r="BB1013" s="21"/>
      <c r="BC1013" s="37"/>
      <c r="BD1013" s="37"/>
    </row>
    <row r="1014" spans="1:97" ht="12.95" customHeight="1">
      <c r="A1014" s="21"/>
      <c r="B1014" s="65"/>
      <c r="C1014" s="467"/>
      <c r="D1014" s="1452" t="s">
        <v>1603</v>
      </c>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65"/>
      <c r="AG1014" s="21"/>
      <c r="AH1014" s="21"/>
      <c r="AI1014" s="69"/>
      <c r="AJ1014" s="1311"/>
      <c r="AK1014" s="1312"/>
      <c r="AL1014" s="1312"/>
      <c r="AM1014" s="1312"/>
      <c r="AN1014" s="1312"/>
      <c r="AO1014" s="1312"/>
      <c r="AP1014" s="1312"/>
      <c r="AQ1014" s="1313"/>
      <c r="AT1014" s="37"/>
      <c r="AU1014" s="37"/>
      <c r="AV1014" s="37"/>
      <c r="AW1014" s="37"/>
      <c r="AX1014" s="34"/>
      <c r="AY1014" s="34"/>
      <c r="AZ1014" s="21"/>
      <c r="BA1014" s="21"/>
      <c r="BB1014" s="21"/>
      <c r="BC1014" s="37"/>
      <c r="BD1014" s="37"/>
    </row>
    <row r="1015" spans="1:97" ht="12.95" customHeight="1">
      <c r="A1015" s="21"/>
      <c r="B1015" s="66"/>
      <c r="C1015" s="467"/>
      <c r="D1015" s="1299"/>
      <c r="E1015" s="1300"/>
      <c r="F1015" s="1300"/>
      <c r="G1015" s="1300"/>
      <c r="H1015" s="1300"/>
      <c r="I1015" s="1300"/>
      <c r="J1015" s="1300"/>
      <c r="K1015" s="1300"/>
      <c r="L1015" s="1300"/>
      <c r="M1015" s="1300"/>
      <c r="N1015" s="1300"/>
      <c r="O1015" s="1300"/>
      <c r="P1015" s="1300"/>
      <c r="Q1015" s="1300"/>
      <c r="R1015" s="1300"/>
      <c r="S1015" s="1300"/>
      <c r="T1015" s="1300"/>
      <c r="U1015" s="1300"/>
      <c r="V1015" s="1300"/>
      <c r="W1015" s="1300"/>
      <c r="X1015" s="1300"/>
      <c r="Y1015" s="1300"/>
      <c r="Z1015" s="1300"/>
      <c r="AA1015" s="1300"/>
      <c r="AB1015" s="1300"/>
      <c r="AC1015" s="1300"/>
      <c r="AD1015" s="1300"/>
      <c r="AE1015" s="1301"/>
      <c r="AF1015" s="65"/>
      <c r="AG1015" s="21"/>
      <c r="AH1015" s="21"/>
      <c r="AI1015" s="69"/>
      <c r="AJ1015" s="1314"/>
      <c r="AK1015" s="1315"/>
      <c r="AL1015" s="1315"/>
      <c r="AM1015" s="1315"/>
      <c r="AN1015" s="1315"/>
      <c r="AO1015" s="1315"/>
      <c r="AP1015" s="1315"/>
      <c r="AQ1015" s="1316"/>
      <c r="AT1015" s="37"/>
      <c r="AU1015" s="37"/>
      <c r="AV1015" s="37"/>
      <c r="AW1015" s="37"/>
      <c r="AX1015" s="34"/>
      <c r="AY1015" s="34"/>
      <c r="AZ1015" s="21"/>
      <c r="BA1015" s="21"/>
      <c r="BB1015" s="37"/>
      <c r="BC1015" s="37"/>
      <c r="BD1015" s="37"/>
    </row>
    <row r="1016" spans="1:97" ht="12.95" customHeight="1">
      <c r="A1016" s="21"/>
      <c r="B1016" s="65"/>
      <c r="C1016" s="466" t="s">
        <v>19</v>
      </c>
      <c r="D1016" s="1322" t="s">
        <v>1604</v>
      </c>
      <c r="E1016" s="1187"/>
      <c r="F1016" s="1187"/>
      <c r="G1016" s="1187"/>
      <c r="H1016" s="1187"/>
      <c r="I1016" s="1187"/>
      <c r="J1016" s="1187"/>
      <c r="K1016" s="1187"/>
      <c r="L1016" s="1187"/>
      <c r="M1016" s="1187"/>
      <c r="N1016" s="1187"/>
      <c r="O1016" s="1187"/>
      <c r="P1016" s="1187"/>
      <c r="Q1016" s="1187"/>
      <c r="R1016" s="1187"/>
      <c r="S1016" s="1187"/>
      <c r="T1016" s="1187"/>
      <c r="U1016" s="1187"/>
      <c r="V1016" s="1187"/>
      <c r="W1016" s="1187"/>
      <c r="X1016" s="1187"/>
      <c r="Y1016" s="1187"/>
      <c r="Z1016" s="1187"/>
      <c r="AA1016" s="1187"/>
      <c r="AB1016" s="1187"/>
      <c r="AC1016" s="1187"/>
      <c r="AD1016" s="1187"/>
      <c r="AE1016" s="1323"/>
      <c r="AF1016" s="68"/>
      <c r="AG1016" s="1324" t="s">
        <v>708</v>
      </c>
      <c r="AH1016" s="1325"/>
      <c r="AI1016" s="71"/>
      <c r="AJ1016" s="1308">
        <f>ROUND(IF(AG1016="yes",(AJ976*0.15),0),0)</f>
        <v>0</v>
      </c>
      <c r="AK1016" s="1309"/>
      <c r="AL1016" s="1309"/>
      <c r="AM1016" s="1309"/>
      <c r="AN1016" s="1309"/>
      <c r="AO1016" s="1309"/>
      <c r="AP1016" s="1309"/>
      <c r="AQ1016" s="1310"/>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463" t="s">
        <v>1605</v>
      </c>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64"/>
      <c r="AF1017" s="763"/>
      <c r="AG1017" s="764"/>
      <c r="AH1017" s="764"/>
      <c r="AI1017" s="765"/>
      <c r="AJ1017" s="1311"/>
      <c r="AK1017" s="1312"/>
      <c r="AL1017" s="1312"/>
      <c r="AM1017" s="1312"/>
      <c r="AN1017" s="1312"/>
      <c r="AO1017" s="1312"/>
      <c r="AP1017" s="1312"/>
      <c r="AQ1017" s="1313"/>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63"/>
      <c r="E1018" s="948"/>
      <c r="F1018" s="948"/>
      <c r="G1018" s="948"/>
      <c r="H1018" s="948"/>
      <c r="I1018" s="948"/>
      <c r="J1018" s="948"/>
      <c r="K1018" s="948"/>
      <c r="L1018" s="948"/>
      <c r="M1018" s="948"/>
      <c r="N1018" s="948"/>
      <c r="O1018" s="948"/>
      <c r="P1018" s="948"/>
      <c r="Q1018" s="948"/>
      <c r="R1018" s="948"/>
      <c r="S1018" s="948"/>
      <c r="T1018" s="948"/>
      <c r="U1018" s="948"/>
      <c r="V1018" s="948"/>
      <c r="W1018" s="948"/>
      <c r="X1018" s="948"/>
      <c r="Y1018" s="948"/>
      <c r="Z1018" s="948"/>
      <c r="AA1018" s="948"/>
      <c r="AB1018" s="948"/>
      <c r="AC1018" s="948"/>
      <c r="AD1018" s="948"/>
      <c r="AE1018" s="1464"/>
      <c r="AF1018" s="763"/>
      <c r="AG1018" s="764"/>
      <c r="AH1018" s="764"/>
      <c r="AI1018" s="765"/>
      <c r="AJ1018" s="1311"/>
      <c r="AK1018" s="1312"/>
      <c r="AL1018" s="1312"/>
      <c r="AM1018" s="1312"/>
      <c r="AN1018" s="1312"/>
      <c r="AO1018" s="1312"/>
      <c r="AP1018" s="1312"/>
      <c r="AQ1018" s="1313"/>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465"/>
      <c r="E1019" s="1366"/>
      <c r="F1019" s="1366"/>
      <c r="G1019" s="1366"/>
      <c r="H1019" s="1366"/>
      <c r="I1019" s="1366"/>
      <c r="J1019" s="1366"/>
      <c r="K1019" s="1366"/>
      <c r="L1019" s="1366"/>
      <c r="M1019" s="1366"/>
      <c r="N1019" s="1366"/>
      <c r="O1019" s="1366"/>
      <c r="P1019" s="1366"/>
      <c r="Q1019" s="1366"/>
      <c r="R1019" s="1366"/>
      <c r="S1019" s="1366"/>
      <c r="T1019" s="1366"/>
      <c r="U1019" s="1366"/>
      <c r="V1019" s="1366"/>
      <c r="W1019" s="1366"/>
      <c r="X1019" s="1366"/>
      <c r="Y1019" s="1366"/>
      <c r="Z1019" s="1366"/>
      <c r="AA1019" s="1366"/>
      <c r="AB1019" s="1366"/>
      <c r="AC1019" s="1366"/>
      <c r="AD1019" s="1366"/>
      <c r="AE1019" s="1466"/>
      <c r="AF1019" s="766"/>
      <c r="AG1019" s="767"/>
      <c r="AH1019" s="767"/>
      <c r="AI1019" s="768"/>
      <c r="AJ1019" s="1314"/>
      <c r="AK1019" s="1315"/>
      <c r="AL1019" s="1315"/>
      <c r="AM1019" s="1315"/>
      <c r="AN1019" s="1315"/>
      <c r="AO1019" s="1315"/>
      <c r="AP1019" s="1315"/>
      <c r="AQ1019" s="1316"/>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t="s">
        <v>19</v>
      </c>
      <c r="D1020" s="1113" t="s">
        <v>1606</v>
      </c>
      <c r="E1020" s="1114"/>
      <c r="F1020" s="1114"/>
      <c r="G1020" s="1114"/>
      <c r="H1020" s="1114"/>
      <c r="I1020" s="1114"/>
      <c r="J1020" s="1114"/>
      <c r="K1020" s="1114"/>
      <c r="L1020" s="1114"/>
      <c r="M1020" s="1114"/>
      <c r="N1020" s="1114"/>
      <c r="O1020" s="1114"/>
      <c r="P1020" s="1114"/>
      <c r="Q1020" s="1114"/>
      <c r="R1020" s="1114"/>
      <c r="S1020" s="1114"/>
      <c r="T1020" s="1114"/>
      <c r="U1020" s="1114"/>
      <c r="V1020" s="1114"/>
      <c r="W1020" s="1114"/>
      <c r="X1020" s="1114"/>
      <c r="Y1020" s="1114"/>
      <c r="Z1020" s="1114"/>
      <c r="AA1020" s="1114"/>
      <c r="AB1020" s="1114"/>
      <c r="AC1020" s="1114"/>
      <c r="AD1020" s="1114"/>
      <c r="AE1020" s="1115"/>
      <c r="AF1020" s="65"/>
      <c r="AG1020" s="1473" t="s">
        <v>708</v>
      </c>
      <c r="AH1020" s="1474"/>
      <c r="AI1020" s="69"/>
      <c r="AJ1020" s="1308">
        <f>ROUND(IF(AG1020="yes",(AJ976*0.1),0),0)</f>
        <v>0</v>
      </c>
      <c r="AK1020" s="1309"/>
      <c r="AL1020" s="1309"/>
      <c r="AM1020" s="1309"/>
      <c r="AN1020" s="1309"/>
      <c r="AO1020" s="1309"/>
      <c r="AP1020" s="1309"/>
      <c r="AQ1020" s="1310"/>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63" t="s">
        <v>1607</v>
      </c>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64"/>
      <c r="AF1021" s="65"/>
      <c r="AG1021" s="21"/>
      <c r="AH1021" s="21"/>
      <c r="AI1021" s="69"/>
      <c r="AJ1021" s="1311"/>
      <c r="AK1021" s="1312"/>
      <c r="AL1021" s="1312"/>
      <c r="AM1021" s="1312"/>
      <c r="AN1021" s="1312"/>
      <c r="AO1021" s="1312"/>
      <c r="AP1021" s="1312"/>
      <c r="AQ1021" s="1313"/>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63"/>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64"/>
      <c r="AF1022" s="65"/>
      <c r="AG1022" s="21"/>
      <c r="AH1022" s="21"/>
      <c r="AI1022" s="69"/>
      <c r="AJ1022" s="1311"/>
      <c r="AK1022" s="1312"/>
      <c r="AL1022" s="1312"/>
      <c r="AM1022" s="1312"/>
      <c r="AN1022" s="1312"/>
      <c r="AO1022" s="1312"/>
      <c r="AP1022" s="1312"/>
      <c r="AQ1022" s="1313"/>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63"/>
      <c r="E1023" s="948"/>
      <c r="F1023" s="948"/>
      <c r="G1023" s="948"/>
      <c r="H1023" s="948"/>
      <c r="I1023" s="948"/>
      <c r="J1023" s="948"/>
      <c r="K1023" s="948"/>
      <c r="L1023" s="948"/>
      <c r="M1023" s="948"/>
      <c r="N1023" s="948"/>
      <c r="O1023" s="948"/>
      <c r="P1023" s="948"/>
      <c r="Q1023" s="948"/>
      <c r="R1023" s="948"/>
      <c r="S1023" s="948"/>
      <c r="T1023" s="948"/>
      <c r="U1023" s="948"/>
      <c r="V1023" s="948"/>
      <c r="W1023" s="948"/>
      <c r="X1023" s="948"/>
      <c r="Y1023" s="948"/>
      <c r="Z1023" s="948"/>
      <c r="AA1023" s="948"/>
      <c r="AB1023" s="948"/>
      <c r="AC1023" s="948"/>
      <c r="AD1023" s="948"/>
      <c r="AE1023" s="1464"/>
      <c r="AF1023" s="65"/>
      <c r="AG1023" s="21"/>
      <c r="AH1023" s="21"/>
      <c r="AI1023" s="69"/>
      <c r="AJ1023" s="1311"/>
      <c r="AK1023" s="1312"/>
      <c r="AL1023" s="1312"/>
      <c r="AM1023" s="1312"/>
      <c r="AN1023" s="1312"/>
      <c r="AO1023" s="1312"/>
      <c r="AP1023" s="1312"/>
      <c r="AQ1023" s="1313"/>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5"/>
      <c r="C1024" s="467"/>
      <c r="D1024" s="1465"/>
      <c r="E1024" s="1366"/>
      <c r="F1024" s="1366"/>
      <c r="G1024" s="1366"/>
      <c r="H1024" s="1366"/>
      <c r="I1024" s="1366"/>
      <c r="J1024" s="1366"/>
      <c r="K1024" s="1366"/>
      <c r="L1024" s="1366"/>
      <c r="M1024" s="1366"/>
      <c r="N1024" s="1366"/>
      <c r="O1024" s="1366"/>
      <c r="P1024" s="1366"/>
      <c r="Q1024" s="1366"/>
      <c r="R1024" s="1366"/>
      <c r="S1024" s="1366"/>
      <c r="T1024" s="1366"/>
      <c r="U1024" s="1366"/>
      <c r="V1024" s="1366"/>
      <c r="W1024" s="1366"/>
      <c r="X1024" s="1366"/>
      <c r="Y1024" s="1366"/>
      <c r="Z1024" s="1366"/>
      <c r="AA1024" s="1366"/>
      <c r="AB1024" s="1366"/>
      <c r="AC1024" s="1366"/>
      <c r="AD1024" s="1366"/>
      <c r="AE1024" s="1466"/>
      <c r="AF1024" s="65"/>
      <c r="AG1024" s="21"/>
      <c r="AH1024" s="21"/>
      <c r="AI1024" s="69"/>
      <c r="AJ1024" s="1311"/>
      <c r="AK1024" s="1312"/>
      <c r="AL1024" s="1312"/>
      <c r="AM1024" s="1312"/>
      <c r="AN1024" s="1312"/>
      <c r="AO1024" s="1312"/>
      <c r="AP1024" s="1312"/>
      <c r="AQ1024" s="1313"/>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8"/>
      <c r="C1025" s="769" t="s">
        <v>1608</v>
      </c>
      <c r="D1025" s="1322" t="s">
        <v>1609</v>
      </c>
      <c r="E1025" s="1187"/>
      <c r="F1025" s="1187"/>
      <c r="G1025" s="1187"/>
      <c r="H1025" s="1187"/>
      <c r="I1025" s="1187"/>
      <c r="J1025" s="1187"/>
      <c r="K1025" s="1187"/>
      <c r="L1025" s="1187"/>
      <c r="M1025" s="1187"/>
      <c r="N1025" s="1187"/>
      <c r="O1025" s="1187"/>
      <c r="P1025" s="1187"/>
      <c r="Q1025" s="1187"/>
      <c r="R1025" s="1187"/>
      <c r="S1025" s="1187"/>
      <c r="T1025" s="1187"/>
      <c r="U1025" s="1187"/>
      <c r="V1025" s="1187"/>
      <c r="W1025" s="1187"/>
      <c r="X1025" s="1187"/>
      <c r="Y1025" s="1187"/>
      <c r="Z1025" s="1187"/>
      <c r="AA1025" s="1187"/>
      <c r="AB1025" s="1187"/>
      <c r="AC1025" s="1187"/>
      <c r="AD1025" s="1187"/>
      <c r="AE1025" s="1323"/>
      <c r="AF1025" s="68"/>
      <c r="AG1025" s="1324" t="s">
        <v>708</v>
      </c>
      <c r="AH1025" s="1325"/>
      <c r="AI1025" s="71"/>
      <c r="AJ1025" s="1308">
        <f>ROUND(IF(AG1025="yes",(AJ976*0.1),0),0)</f>
        <v>0</v>
      </c>
      <c r="AK1025" s="1309"/>
      <c r="AL1025" s="1309"/>
      <c r="AM1025" s="1309"/>
      <c r="AN1025" s="1309"/>
      <c r="AO1025" s="1309"/>
      <c r="AP1025" s="1309"/>
      <c r="AQ1025" s="1310"/>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52" t="s">
        <v>1610</v>
      </c>
      <c r="E1026" s="1453"/>
      <c r="F1026" s="1453"/>
      <c r="G1026" s="1453"/>
      <c r="H1026" s="1453"/>
      <c r="I1026" s="1453"/>
      <c r="J1026" s="1453"/>
      <c r="K1026" s="1453"/>
      <c r="L1026" s="1453"/>
      <c r="M1026" s="1453"/>
      <c r="N1026" s="1453"/>
      <c r="O1026" s="1453"/>
      <c r="P1026" s="1453"/>
      <c r="Q1026" s="1453"/>
      <c r="R1026" s="1453"/>
      <c r="S1026" s="1453"/>
      <c r="T1026" s="1453"/>
      <c r="U1026" s="1453"/>
      <c r="V1026" s="1453"/>
      <c r="W1026" s="1453"/>
      <c r="X1026" s="1453"/>
      <c r="Y1026" s="1453"/>
      <c r="Z1026" s="1453"/>
      <c r="AA1026" s="1453"/>
      <c r="AB1026" s="1453"/>
      <c r="AC1026" s="1453"/>
      <c r="AD1026" s="1453"/>
      <c r="AE1026" s="1454"/>
      <c r="AF1026" s="65"/>
      <c r="AG1026" s="21"/>
      <c r="AH1026" s="21"/>
      <c r="AI1026" s="69"/>
      <c r="AJ1026" s="1311"/>
      <c r="AK1026" s="1312"/>
      <c r="AL1026" s="1312"/>
      <c r="AM1026" s="1312"/>
      <c r="AN1026" s="1312"/>
      <c r="AO1026" s="1312"/>
      <c r="AP1026" s="1312"/>
      <c r="AQ1026" s="1313"/>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452"/>
      <c r="E1027" s="1453"/>
      <c r="F1027" s="1453"/>
      <c r="G1027" s="1453"/>
      <c r="H1027" s="1453"/>
      <c r="I1027" s="1453"/>
      <c r="J1027" s="1453"/>
      <c r="K1027" s="1453"/>
      <c r="L1027" s="1453"/>
      <c r="M1027" s="1453"/>
      <c r="N1027" s="1453"/>
      <c r="O1027" s="1453"/>
      <c r="P1027" s="1453"/>
      <c r="Q1027" s="1453"/>
      <c r="R1027" s="1453"/>
      <c r="S1027" s="1453"/>
      <c r="T1027" s="1453"/>
      <c r="U1027" s="1453"/>
      <c r="V1027" s="1453"/>
      <c r="W1027" s="1453"/>
      <c r="X1027" s="1453"/>
      <c r="Y1027" s="1453"/>
      <c r="Z1027" s="1453"/>
      <c r="AA1027" s="1453"/>
      <c r="AB1027" s="1453"/>
      <c r="AC1027" s="1453"/>
      <c r="AD1027" s="1453"/>
      <c r="AE1027" s="1454"/>
      <c r="AF1027" s="65"/>
      <c r="AG1027" s="21"/>
      <c r="AH1027" s="21"/>
      <c r="AI1027" s="69"/>
      <c r="AJ1027" s="1311"/>
      <c r="AK1027" s="1312"/>
      <c r="AL1027" s="1312"/>
      <c r="AM1027" s="1312"/>
      <c r="AN1027" s="1312"/>
      <c r="AO1027" s="1312"/>
      <c r="AP1027" s="1312"/>
      <c r="AQ1027" s="1313"/>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65"/>
      <c r="C1028" s="467"/>
      <c r="D1028" s="1299"/>
      <c r="E1028" s="1300"/>
      <c r="F1028" s="1300"/>
      <c r="G1028" s="1300"/>
      <c r="H1028" s="1300"/>
      <c r="I1028" s="1300"/>
      <c r="J1028" s="1300"/>
      <c r="K1028" s="1300"/>
      <c r="L1028" s="1300"/>
      <c r="M1028" s="1300"/>
      <c r="N1028" s="1300"/>
      <c r="O1028" s="1300"/>
      <c r="P1028" s="1300"/>
      <c r="Q1028" s="1300"/>
      <c r="R1028" s="1300"/>
      <c r="S1028" s="1300"/>
      <c r="T1028" s="1300"/>
      <c r="U1028" s="1300"/>
      <c r="V1028" s="1300"/>
      <c r="W1028" s="1300"/>
      <c r="X1028" s="1300"/>
      <c r="Y1028" s="1300"/>
      <c r="Z1028" s="1300"/>
      <c r="AA1028" s="1300"/>
      <c r="AB1028" s="1300"/>
      <c r="AC1028" s="1300"/>
      <c r="AD1028" s="1300"/>
      <c r="AE1028" s="1301"/>
      <c r="AF1028" s="65"/>
      <c r="AG1028" s="21"/>
      <c r="AH1028" s="21"/>
      <c r="AI1028" s="69"/>
      <c r="AJ1028" s="1314"/>
      <c r="AK1028" s="1315"/>
      <c r="AL1028" s="1315"/>
      <c r="AM1028" s="1315"/>
      <c r="AN1028" s="1315"/>
      <c r="AO1028" s="1315"/>
      <c r="AP1028" s="1315"/>
      <c r="AQ1028" s="1316"/>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153"/>
      <c r="C1029" s="770"/>
      <c r="D1029" s="1167" t="s">
        <v>1611</v>
      </c>
      <c r="E1029" s="1167"/>
      <c r="F1029" s="1167"/>
      <c r="G1029" s="1167"/>
      <c r="H1029" s="1167"/>
      <c r="I1029" s="1167"/>
      <c r="J1029" s="1167"/>
      <c r="K1029" s="1167"/>
      <c r="L1029" s="1167"/>
      <c r="M1029" s="1167"/>
      <c r="N1029" s="1167"/>
      <c r="O1029" s="1167"/>
      <c r="P1029" s="1167"/>
      <c r="Q1029" s="1167"/>
      <c r="R1029" s="1167"/>
      <c r="S1029" s="1167"/>
      <c r="T1029" s="1167"/>
      <c r="U1029" s="1167"/>
      <c r="V1029" s="1167"/>
      <c r="W1029" s="1167"/>
      <c r="X1029" s="1167"/>
      <c r="Y1029" s="1167"/>
      <c r="Z1029" s="1167"/>
      <c r="AA1029" s="1167"/>
      <c r="AB1029" s="1167"/>
      <c r="AC1029" s="1167"/>
      <c r="AD1029" s="1167"/>
      <c r="AE1029" s="1167"/>
      <c r="AF1029" s="1167"/>
      <c r="AG1029" s="1167"/>
      <c r="AH1029" s="1167"/>
      <c r="AI1029" s="1168"/>
      <c r="AJ1029" s="1110">
        <f>SUM(AJ976:AQ1028)</f>
        <v>44403661</v>
      </c>
      <c r="AK1029" s="1111"/>
      <c r="AL1029" s="1111"/>
      <c r="AM1029" s="1111"/>
      <c r="AN1029" s="1111"/>
      <c r="AO1029" s="1111"/>
      <c r="AP1029" s="1111"/>
      <c r="AQ1029" s="1112"/>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295" t="s">
        <v>1612</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t="s">
        <v>1613</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392">
        <f>'Sources and Uses Budget'!S106+'Sources and Uses Budget'!T106</f>
        <v>19273054</v>
      </c>
      <c r="Y1033" s="1392"/>
      <c r="Z1033" s="1392"/>
      <c r="AA1033" s="1392"/>
      <c r="AB1033" s="1392"/>
      <c r="AC1033" s="1392"/>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6"/>
      <c r="B1034" s="21"/>
      <c r="C1034" s="907"/>
      <c r="D1034" s="908"/>
      <c r="E1034" s="908" t="s">
        <v>1614</v>
      </c>
      <c r="F1034" s="909"/>
      <c r="G1034" s="909"/>
      <c r="H1034" s="909"/>
      <c r="I1034" s="909"/>
      <c r="J1034" s="909"/>
      <c r="K1034" s="909"/>
      <c r="L1034" s="909"/>
      <c r="M1034" s="909"/>
      <c r="N1034" s="909"/>
      <c r="O1034" s="909"/>
      <c r="P1034" s="909"/>
      <c r="Q1034" s="909"/>
      <c r="R1034" s="909"/>
      <c r="S1034" s="909"/>
      <c r="T1034" s="909"/>
      <c r="U1034" s="909"/>
      <c r="V1034" s="909"/>
      <c r="W1034" s="909"/>
      <c r="X1034" s="1388">
        <f>IFERROR(X1033/AJ1029,"")</f>
        <v>0.4340420038789144</v>
      </c>
      <c r="Y1034" s="1389"/>
      <c r="Z1034" s="1389"/>
      <c r="AA1034" s="1389"/>
      <c r="AB1034" s="1389"/>
      <c r="AC1034" s="1390"/>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6"/>
      <c r="C1035" s="907"/>
      <c r="D1035" s="1187"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7"/>
      <c r="F1035" s="1187"/>
      <c r="G1035" s="1187"/>
      <c r="H1035" s="1187"/>
      <c r="I1035" s="1187"/>
      <c r="J1035" s="1187"/>
      <c r="K1035" s="1187"/>
      <c r="L1035" s="1187"/>
      <c r="M1035" s="1187"/>
      <c r="N1035" s="1187"/>
      <c r="O1035" s="1187"/>
      <c r="P1035" s="1187"/>
      <c r="Q1035" s="1187"/>
      <c r="R1035" s="1187"/>
      <c r="S1035" s="1187"/>
      <c r="T1035" s="1187"/>
      <c r="U1035" s="1187"/>
      <c r="V1035" s="1187"/>
      <c r="W1035" s="1187"/>
      <c r="X1035" s="1187"/>
      <c r="Y1035" s="1187"/>
      <c r="Z1035" s="1187"/>
      <c r="AA1035" s="1187"/>
      <c r="AB1035" s="1187"/>
      <c r="AC1035" s="1187"/>
      <c r="AD1035" s="1187"/>
      <c r="AE1035" s="1187"/>
      <c r="AF1035" s="1187"/>
      <c r="AG1035" s="1187"/>
      <c r="AH1035" s="1187"/>
      <c r="AI1035" s="1187"/>
      <c r="AJ1035" s="1187"/>
      <c r="AK1035" s="1187"/>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C1036" s="907"/>
      <c r="D1036" s="1187"/>
      <c r="E1036" s="1187"/>
      <c r="F1036" s="1187"/>
      <c r="G1036" s="1187"/>
      <c r="H1036" s="1187"/>
      <c r="I1036" s="1187"/>
      <c r="J1036" s="1187"/>
      <c r="K1036" s="1187"/>
      <c r="L1036" s="1187"/>
      <c r="M1036" s="1187"/>
      <c r="N1036" s="1187"/>
      <c r="O1036" s="1187"/>
      <c r="P1036" s="1187"/>
      <c r="Q1036" s="1187"/>
      <c r="R1036" s="1187"/>
      <c r="S1036" s="1187"/>
      <c r="T1036" s="1187"/>
      <c r="U1036" s="1187"/>
      <c r="V1036" s="1187"/>
      <c r="W1036" s="1187"/>
      <c r="X1036" s="1187"/>
      <c r="Y1036" s="1187"/>
      <c r="Z1036" s="1187"/>
      <c r="AA1036" s="1187"/>
      <c r="AB1036" s="1187"/>
      <c r="AC1036" s="1187"/>
      <c r="AD1036" s="1187"/>
      <c r="AE1036" s="1187"/>
      <c r="AF1036" s="1187"/>
      <c r="AG1036" s="1187"/>
      <c r="AH1036" s="1187"/>
      <c r="AI1036" s="1187"/>
      <c r="AJ1036" s="1187"/>
      <c r="AK1036" s="1187"/>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c r="C1037" s="907"/>
      <c r="D1037" s="1187"/>
      <c r="E1037" s="1187"/>
      <c r="F1037" s="1187"/>
      <c r="G1037" s="1187"/>
      <c r="H1037" s="1187"/>
      <c r="I1037" s="1187"/>
      <c r="J1037" s="1187"/>
      <c r="K1037" s="1187"/>
      <c r="L1037" s="1187"/>
      <c r="M1037" s="1187"/>
      <c r="N1037" s="1187"/>
      <c r="O1037" s="1187"/>
      <c r="P1037" s="1187"/>
      <c r="Q1037" s="1187"/>
      <c r="R1037" s="1187"/>
      <c r="S1037" s="1187"/>
      <c r="T1037" s="1187"/>
      <c r="U1037" s="1187"/>
      <c r="V1037" s="1187"/>
      <c r="W1037" s="1187"/>
      <c r="X1037" s="1187"/>
      <c r="Y1037" s="1187"/>
      <c r="Z1037" s="1187"/>
      <c r="AA1037" s="1187"/>
      <c r="AB1037" s="1187"/>
      <c r="AC1037" s="1187"/>
      <c r="AD1037" s="1187"/>
      <c r="AE1037" s="1187"/>
      <c r="AF1037" s="1187"/>
      <c r="AG1037" s="1187"/>
      <c r="AH1037" s="1187"/>
      <c r="AI1037" s="1187"/>
      <c r="AJ1037" s="1187"/>
      <c r="AK1037" s="1187"/>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6"/>
      <c r="B1039" s="835"/>
      <c r="C1039" s="835"/>
      <c r="D1039" s="835"/>
      <c r="E1039" s="835"/>
      <c r="F1039" s="835"/>
      <c r="G1039" s="835"/>
      <c r="H1039" s="835"/>
      <c r="I1039" s="835"/>
      <c r="J1039" s="835"/>
      <c r="K1039" s="835"/>
      <c r="L1039" s="835"/>
      <c r="M1039" s="835"/>
      <c r="N1039" s="835"/>
      <c r="O1039" s="835"/>
      <c r="P1039" s="835"/>
      <c r="Q1039" s="835"/>
      <c r="R1039" s="835"/>
      <c r="S1039" s="835"/>
      <c r="T1039" s="835"/>
      <c r="U1039" s="835"/>
      <c r="V1039" s="835"/>
      <c r="W1039" s="835"/>
      <c r="X1039" s="835"/>
      <c r="Y1039" s="835"/>
      <c r="Z1039" s="835"/>
      <c r="AA1039" s="835"/>
      <c r="AB1039" s="835"/>
      <c r="AC1039" s="835"/>
      <c r="AD1039" s="835"/>
      <c r="AE1039" s="835"/>
      <c r="AF1039" s="835"/>
      <c r="AG1039" s="835"/>
      <c r="AH1039" s="835"/>
      <c r="AI1039" s="835"/>
      <c r="AJ1039" s="835"/>
      <c r="AK1039" s="83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91"/>
      <c r="C1040" s="1391"/>
      <c r="D1040" s="1391"/>
      <c r="E1040" s="1391"/>
      <c r="F1040" s="1391"/>
      <c r="G1040" s="1391"/>
      <c r="H1040" s="1391"/>
      <c r="I1040" s="1391"/>
      <c r="J1040" s="1391"/>
      <c r="K1040" s="1391"/>
      <c r="L1040" s="1391"/>
      <c r="M1040" s="1391"/>
      <c r="N1040" s="1391"/>
      <c r="O1040" s="1391"/>
      <c r="P1040" s="1391"/>
      <c r="Q1040" s="1391"/>
      <c r="R1040" s="1391"/>
      <c r="S1040" s="1391"/>
      <c r="T1040" s="1391"/>
      <c r="U1040" s="1391"/>
      <c r="V1040" s="1391"/>
      <c r="W1040" s="1391"/>
      <c r="X1040" s="1391"/>
      <c r="Y1040" s="1391"/>
      <c r="Z1040" s="1391"/>
      <c r="AA1040" s="1391"/>
      <c r="AB1040" s="1391"/>
      <c r="AC1040" s="1391"/>
      <c r="AD1040" s="1391"/>
      <c r="AE1040" s="1391"/>
      <c r="AF1040" s="1391"/>
      <c r="AG1040" s="1391"/>
      <c r="AH1040" s="1391"/>
      <c r="AI1040" s="1391"/>
      <c r="AJ1040" s="1391"/>
      <c r="AK1040" s="1391"/>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75" t="s">
        <v>1615</v>
      </c>
      <c r="B1041" s="1475"/>
      <c r="C1041" s="1475"/>
      <c r="D1041" s="1475"/>
      <c r="E1041" s="1475"/>
      <c r="F1041" s="1475"/>
      <c r="G1041" s="1475"/>
      <c r="H1041" s="1475"/>
      <c r="I1041" s="1475"/>
      <c r="J1041" s="1475"/>
      <c r="K1041" s="1475"/>
      <c r="L1041" s="1475"/>
      <c r="M1041" s="1475"/>
      <c r="N1041" s="1475"/>
      <c r="O1041" s="1475"/>
      <c r="P1041" s="1475"/>
      <c r="Q1041" s="1475"/>
      <c r="R1041" s="1475"/>
      <c r="S1041" s="1475"/>
      <c r="T1041" s="1475"/>
      <c r="U1041" s="1475"/>
      <c r="V1041" s="1475"/>
      <c r="W1041" s="1475"/>
      <c r="X1041" s="1475"/>
      <c r="Y1041" s="1475"/>
      <c r="Z1041" s="1475"/>
      <c r="AA1041" s="1475"/>
      <c r="AB1041" s="1475"/>
      <c r="AC1041" s="1475"/>
      <c r="AD1041" s="1475"/>
      <c r="AE1041" s="1475"/>
      <c r="AF1041" s="1475"/>
      <c r="AG1041" s="1475"/>
      <c r="AH1041" s="1475"/>
      <c r="AI1041" s="1475"/>
      <c r="AJ1041" s="1475"/>
      <c r="AK1041" s="1475"/>
      <c r="AL1041" s="1475"/>
      <c r="AM1041" s="1475"/>
      <c r="AN1041" s="1475"/>
      <c r="AO1041" s="1475"/>
      <c r="AP1041" s="1475"/>
      <c r="AQ1041" s="1475"/>
      <c r="AR1041" s="1475"/>
      <c r="AS1041" s="1475"/>
      <c r="AT1041" s="1475"/>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1616</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1617</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65" t="s">
        <v>326</v>
      </c>
      <c r="B1045" s="1065"/>
      <c r="C1045" s="1">
        <v>1</v>
      </c>
      <c r="D1045" s="21" t="s">
        <v>1618</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65" t="s">
        <v>326</v>
      </c>
      <c r="B1047" s="1065"/>
      <c r="C1047" s="1">
        <v>2</v>
      </c>
      <c r="D1047" s="1013" t="s">
        <v>1619</v>
      </c>
      <c r="E1047" s="1013"/>
      <c r="F1047" s="1013"/>
      <c r="G1047" s="1013"/>
      <c r="H1047" s="1013"/>
      <c r="I1047" s="1013"/>
      <c r="J1047" s="1013"/>
      <c r="K1047" s="1013"/>
      <c r="L1047" s="1013"/>
      <c r="M1047" s="1013"/>
      <c r="N1047" s="1013"/>
      <c r="O1047" s="1013"/>
      <c r="P1047" s="1013"/>
      <c r="Q1047" s="1013"/>
      <c r="R1047" s="1013"/>
      <c r="S1047" s="1013"/>
      <c r="T1047" s="1013"/>
      <c r="U1047" s="1013"/>
      <c r="V1047" s="1013"/>
      <c r="W1047" s="1013"/>
      <c r="X1047" s="1013"/>
      <c r="Y1047" s="1013"/>
      <c r="Z1047" s="1013"/>
      <c r="AA1047" s="1013"/>
      <c r="AB1047" s="1013"/>
      <c r="AC1047" s="1013"/>
      <c r="AD1047" s="1013"/>
      <c r="AE1047" s="1013"/>
      <c r="AF1047" s="1013"/>
      <c r="AG1047" s="1013"/>
      <c r="AH1047" s="1013"/>
      <c r="AI1047" s="1013"/>
      <c r="AJ1047" s="1013"/>
      <c r="AK1047" s="1013"/>
      <c r="AL1047" s="1013"/>
      <c r="AM1047" s="1013"/>
      <c r="AN1047" s="1013"/>
      <c r="AO1047" s="1013"/>
      <c r="AP1047" s="1013"/>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13"/>
      <c r="E1048" s="1013"/>
      <c r="F1048" s="1013"/>
      <c r="G1048" s="1013"/>
      <c r="H1048" s="1013"/>
      <c r="I1048" s="1013"/>
      <c r="J1048" s="1013"/>
      <c r="K1048" s="1013"/>
      <c r="L1048" s="1013"/>
      <c r="M1048" s="1013"/>
      <c r="N1048" s="1013"/>
      <c r="O1048" s="1013"/>
      <c r="P1048" s="1013"/>
      <c r="Q1048" s="1013"/>
      <c r="R1048" s="1013"/>
      <c r="S1048" s="1013"/>
      <c r="T1048" s="1013"/>
      <c r="U1048" s="1013"/>
      <c r="V1048" s="1013"/>
      <c r="W1048" s="1013"/>
      <c r="X1048" s="1013"/>
      <c r="Y1048" s="1013"/>
      <c r="Z1048" s="1013"/>
      <c r="AA1048" s="1013"/>
      <c r="AB1048" s="1013"/>
      <c r="AC1048" s="1013"/>
      <c r="AD1048" s="1013"/>
      <c r="AE1048" s="1013"/>
      <c r="AF1048" s="1013"/>
      <c r="AG1048" s="1013"/>
      <c r="AH1048" s="1013"/>
      <c r="AI1048" s="1013"/>
      <c r="AJ1048" s="1013"/>
      <c r="AK1048" s="1013"/>
      <c r="AL1048" s="1013"/>
      <c r="AM1048" s="1013"/>
      <c r="AN1048" s="1013"/>
      <c r="AO1048" s="1013"/>
      <c r="AP1048" s="1013"/>
      <c r="AQ1048" s="85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65" t="s">
        <v>326</v>
      </c>
      <c r="B1050" s="1065"/>
      <c r="C1050" s="1">
        <v>3</v>
      </c>
      <c r="D1050" s="945" t="s">
        <v>1620</v>
      </c>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45"/>
      <c r="E1053" s="945"/>
      <c r="F1053" s="945"/>
      <c r="G1053" s="945"/>
      <c r="H1053" s="945"/>
      <c r="I1053" s="945"/>
      <c r="J1053" s="945"/>
      <c r="K1053" s="945"/>
      <c r="L1053" s="945"/>
      <c r="M1053" s="945"/>
      <c r="N1053" s="945"/>
      <c r="O1053" s="945"/>
      <c r="P1053" s="945"/>
      <c r="Q1053" s="945"/>
      <c r="R1053" s="945"/>
      <c r="S1053" s="945"/>
      <c r="T1053" s="945"/>
      <c r="U1053" s="945"/>
      <c r="V1053" s="945"/>
      <c r="W1053" s="945"/>
      <c r="X1053" s="945"/>
      <c r="Y1053" s="945"/>
      <c r="Z1053" s="945"/>
      <c r="AA1053" s="945"/>
      <c r="AB1053" s="945"/>
      <c r="AC1053" s="945"/>
      <c r="AD1053" s="945"/>
      <c r="AE1053" s="945"/>
      <c r="AF1053" s="945"/>
      <c r="AG1053" s="945"/>
      <c r="AH1053" s="945"/>
      <c r="AI1053" s="945"/>
      <c r="AJ1053" s="945"/>
      <c r="AK1053" s="945"/>
      <c r="AL1053" s="945"/>
      <c r="AM1053" s="945"/>
      <c r="AN1053" s="945"/>
      <c r="AO1053" s="945"/>
      <c r="AP1053" s="945"/>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65" t="s">
        <v>326</v>
      </c>
      <c r="B1055" s="1065"/>
      <c r="C1055" s="1">
        <v>4</v>
      </c>
      <c r="D1055" s="945" t="s">
        <v>1621</v>
      </c>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45"/>
      <c r="E1058" s="945"/>
      <c r="F1058" s="945"/>
      <c r="G1058" s="945"/>
      <c r="H1058" s="945"/>
      <c r="I1058" s="945"/>
      <c r="J1058" s="945"/>
      <c r="K1058" s="945"/>
      <c r="L1058" s="945"/>
      <c r="M1058" s="945"/>
      <c r="N1058" s="945"/>
      <c r="O1058" s="945"/>
      <c r="P1058" s="945"/>
      <c r="Q1058" s="945"/>
      <c r="R1058" s="945"/>
      <c r="S1058" s="945"/>
      <c r="T1058" s="945"/>
      <c r="U1058" s="945"/>
      <c r="V1058" s="945"/>
      <c r="W1058" s="945"/>
      <c r="X1058" s="945"/>
      <c r="Y1058" s="945"/>
      <c r="Z1058" s="945"/>
      <c r="AA1058" s="945"/>
      <c r="AB1058" s="945"/>
      <c r="AC1058" s="945"/>
      <c r="AD1058" s="945"/>
      <c r="AE1058" s="945"/>
      <c r="AF1058" s="945"/>
      <c r="AG1058" s="945"/>
      <c r="AH1058" s="945"/>
      <c r="AI1058" s="945"/>
      <c r="AJ1058" s="945"/>
      <c r="AK1058" s="945"/>
      <c r="AL1058" s="945"/>
      <c r="AM1058" s="945"/>
      <c r="AN1058" s="945"/>
      <c r="AO1058" s="945"/>
      <c r="AP1058" s="945"/>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65" t="s">
        <v>326</v>
      </c>
      <c r="B1060" s="1065"/>
      <c r="C1060" s="1">
        <v>5</v>
      </c>
      <c r="D1060" s="942" t="s">
        <v>1622</v>
      </c>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2"/>
      <c r="E1062" s="942"/>
      <c r="F1062" s="942"/>
      <c r="G1062" s="942"/>
      <c r="H1062" s="942"/>
      <c r="I1062" s="942"/>
      <c r="J1062" s="942"/>
      <c r="K1062" s="942"/>
      <c r="L1062" s="942"/>
      <c r="M1062" s="942"/>
      <c r="N1062" s="942"/>
      <c r="O1062" s="942"/>
      <c r="P1062" s="942"/>
      <c r="Q1062" s="942"/>
      <c r="R1062" s="942"/>
      <c r="S1062" s="942"/>
      <c r="T1062" s="942"/>
      <c r="U1062" s="942"/>
      <c r="V1062" s="942"/>
      <c r="W1062" s="942"/>
      <c r="X1062" s="942"/>
      <c r="Y1062" s="942"/>
      <c r="Z1062" s="942"/>
      <c r="AA1062" s="942"/>
      <c r="AB1062" s="942"/>
      <c r="AC1062" s="942"/>
      <c r="AD1062" s="942"/>
      <c r="AE1062" s="942"/>
      <c r="AF1062" s="942"/>
      <c r="AG1062" s="942"/>
      <c r="AH1062" s="942"/>
      <c r="AI1062" s="942"/>
      <c r="AJ1062" s="942"/>
      <c r="AK1062" s="942"/>
      <c r="AL1062" s="942"/>
      <c r="AM1062" s="942"/>
      <c r="AN1062" s="942"/>
      <c r="AO1062" s="942"/>
      <c r="AP1062" s="942"/>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65" t="s">
        <v>326</v>
      </c>
      <c r="B1064" s="1065"/>
      <c r="C1064" s="1">
        <v>6</v>
      </c>
      <c r="D1064" s="942" t="s">
        <v>1623</v>
      </c>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2"/>
      <c r="E1066" s="942"/>
      <c r="F1066" s="942"/>
      <c r="G1066" s="942"/>
      <c r="H1066" s="942"/>
      <c r="I1066" s="942"/>
      <c r="J1066" s="942"/>
      <c r="K1066" s="942"/>
      <c r="L1066" s="942"/>
      <c r="M1066" s="942"/>
      <c r="N1066" s="942"/>
      <c r="O1066" s="942"/>
      <c r="P1066" s="942"/>
      <c r="Q1066" s="942"/>
      <c r="R1066" s="942"/>
      <c r="S1066" s="942"/>
      <c r="T1066" s="942"/>
      <c r="U1066" s="942"/>
      <c r="V1066" s="942"/>
      <c r="W1066" s="942"/>
      <c r="X1066" s="942"/>
      <c r="Y1066" s="942"/>
      <c r="Z1066" s="942"/>
      <c r="AA1066" s="942"/>
      <c r="AB1066" s="942"/>
      <c r="AC1066" s="942"/>
      <c r="AD1066" s="942"/>
      <c r="AE1066" s="942"/>
      <c r="AF1066" s="942"/>
      <c r="AG1066" s="942"/>
      <c r="AH1066" s="942"/>
      <c r="AI1066" s="942"/>
      <c r="AJ1066" s="942"/>
      <c r="AK1066" s="942"/>
      <c r="AL1066" s="942"/>
      <c r="AM1066" s="942"/>
      <c r="AN1066" s="942"/>
      <c r="AO1066" s="942"/>
      <c r="AP1066" s="942"/>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65" t="s">
        <v>326</v>
      </c>
      <c r="B1068" s="1065"/>
      <c r="C1068" s="72">
        <v>7</v>
      </c>
      <c r="D1068" s="945" t="s">
        <v>1624</v>
      </c>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0"/>
      <c r="B1069" s="910"/>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45"/>
      <c r="E1070" s="945"/>
      <c r="F1070" s="945"/>
      <c r="G1070" s="945"/>
      <c r="H1070" s="945"/>
      <c r="I1070" s="945"/>
      <c r="J1070" s="945"/>
      <c r="K1070" s="945"/>
      <c r="L1070" s="945"/>
      <c r="M1070" s="945"/>
      <c r="N1070" s="945"/>
      <c r="O1070" s="945"/>
      <c r="P1070" s="945"/>
      <c r="Q1070" s="945"/>
      <c r="R1070" s="945"/>
      <c r="S1070" s="945"/>
      <c r="T1070" s="945"/>
      <c r="U1070" s="945"/>
      <c r="V1070" s="945"/>
      <c r="W1070" s="945"/>
      <c r="X1070" s="945"/>
      <c r="Y1070" s="945"/>
      <c r="Z1070" s="945"/>
      <c r="AA1070" s="945"/>
      <c r="AB1070" s="945"/>
      <c r="AC1070" s="945"/>
      <c r="AD1070" s="945"/>
      <c r="AE1070" s="945"/>
      <c r="AF1070" s="945"/>
      <c r="AG1070" s="945"/>
      <c r="AH1070" s="945"/>
      <c r="AI1070" s="945"/>
      <c r="AJ1070" s="945"/>
      <c r="AK1070" s="945"/>
      <c r="AL1070" s="945"/>
      <c r="AM1070" s="945"/>
      <c r="AN1070" s="945"/>
      <c r="AO1070" s="945"/>
      <c r="AP1070" s="945"/>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65" t="s">
        <v>326</v>
      </c>
      <c r="B1072" s="1065"/>
      <c r="C1072" s="72">
        <v>8</v>
      </c>
      <c r="D1072" s="945" t="s">
        <v>1625</v>
      </c>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45"/>
      <c r="E1073" s="945"/>
      <c r="F1073" s="945"/>
      <c r="G1073" s="945"/>
      <c r="H1073" s="945"/>
      <c r="I1073" s="945"/>
      <c r="J1073" s="945"/>
      <c r="K1073" s="945"/>
      <c r="L1073" s="945"/>
      <c r="M1073" s="945"/>
      <c r="N1073" s="945"/>
      <c r="O1073" s="945"/>
      <c r="P1073" s="945"/>
      <c r="Q1073" s="945"/>
      <c r="R1073" s="945"/>
      <c r="S1073" s="945"/>
      <c r="T1073" s="945"/>
      <c r="U1073" s="945"/>
      <c r="V1073" s="945"/>
      <c r="W1073" s="945"/>
      <c r="X1073" s="945"/>
      <c r="Y1073" s="945"/>
      <c r="Z1073" s="945"/>
      <c r="AA1073" s="945"/>
      <c r="AB1073" s="945"/>
      <c r="AC1073" s="945"/>
      <c r="AD1073" s="945"/>
      <c r="AE1073" s="945"/>
      <c r="AF1073" s="945"/>
      <c r="AG1073" s="945"/>
      <c r="AH1073" s="945"/>
      <c r="AI1073" s="945"/>
      <c r="AJ1073" s="945"/>
      <c r="AK1073" s="945"/>
      <c r="AL1073" s="945"/>
      <c r="AM1073" s="945"/>
      <c r="AN1073" s="945"/>
      <c r="AO1073" s="945"/>
      <c r="AP1073" s="945"/>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014" t="s">
        <v>326</v>
      </c>
      <c r="B1075" s="1014"/>
      <c r="C1075" s="72">
        <v>9</v>
      </c>
      <c r="D1075" s="945" t="s">
        <v>1626</v>
      </c>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15" customHeight="1">
      <c r="A1076" s="230"/>
      <c r="B1076" s="29"/>
      <c r="C1076" s="72"/>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9.75" customHeight="1">
      <c r="D1077" s="945"/>
      <c r="E1077" s="945"/>
      <c r="F1077" s="945"/>
      <c r="G1077" s="945"/>
      <c r="H1077" s="945"/>
      <c r="I1077" s="945"/>
      <c r="J1077" s="945"/>
      <c r="K1077" s="945"/>
      <c r="L1077" s="945"/>
      <c r="M1077" s="945"/>
      <c r="N1077" s="945"/>
      <c r="O1077" s="945"/>
      <c r="P1077" s="945"/>
      <c r="Q1077" s="945"/>
      <c r="R1077" s="945"/>
      <c r="S1077" s="945"/>
      <c r="T1077" s="945"/>
      <c r="U1077" s="945"/>
      <c r="V1077" s="945"/>
      <c r="W1077" s="945"/>
      <c r="X1077" s="945"/>
      <c r="Y1077" s="945"/>
      <c r="Z1077" s="945"/>
      <c r="AA1077" s="945"/>
      <c r="AB1077" s="945"/>
      <c r="AC1077" s="945"/>
      <c r="AD1077" s="945"/>
      <c r="AE1077" s="945"/>
      <c r="AF1077" s="945"/>
      <c r="AG1077" s="945"/>
      <c r="AH1077" s="945"/>
      <c r="AI1077" s="945"/>
      <c r="AJ1077" s="945"/>
      <c r="AK1077" s="945"/>
      <c r="AL1077" s="945"/>
      <c r="AM1077" s="945"/>
      <c r="AN1077" s="945"/>
      <c r="AO1077" s="945"/>
      <c r="AP1077" s="945"/>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014" t="s">
        <v>326</v>
      </c>
      <c r="B1079" s="1014"/>
      <c r="C1079" s="72">
        <v>10</v>
      </c>
      <c r="D1079" s="945" t="s">
        <v>1627</v>
      </c>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45"/>
      <c r="E1081" s="945"/>
      <c r="F1081" s="945"/>
      <c r="G1081" s="945"/>
      <c r="H1081" s="945"/>
      <c r="I1081" s="945"/>
      <c r="J1081" s="945"/>
      <c r="K1081" s="945"/>
      <c r="L1081" s="945"/>
      <c r="M1081" s="945"/>
      <c r="N1081" s="945"/>
      <c r="O1081" s="945"/>
      <c r="P1081" s="945"/>
      <c r="Q1081" s="945"/>
      <c r="R1081" s="945"/>
      <c r="S1081" s="945"/>
      <c r="T1081" s="945"/>
      <c r="U1081" s="945"/>
      <c r="V1081" s="945"/>
      <c r="W1081" s="945"/>
      <c r="X1081" s="945"/>
      <c r="Y1081" s="945"/>
      <c r="Z1081" s="945"/>
      <c r="AA1081" s="945"/>
      <c r="AB1081" s="945"/>
      <c r="AC1081" s="945"/>
      <c r="AD1081" s="945"/>
      <c r="AE1081" s="945"/>
      <c r="AF1081" s="945"/>
      <c r="AG1081" s="945"/>
      <c r="AH1081" s="945"/>
      <c r="AI1081" s="945"/>
      <c r="AJ1081" s="945"/>
      <c r="AK1081" s="945"/>
      <c r="AL1081" s="945"/>
      <c r="AM1081" s="945"/>
      <c r="AN1081" s="945"/>
      <c r="AO1081" s="945"/>
      <c r="AP1081" s="945"/>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014" t="s">
        <v>326</v>
      </c>
      <c r="B1083" s="1014"/>
      <c r="C1083" s="72">
        <v>11</v>
      </c>
      <c r="D1083" s="942" t="s">
        <v>1628</v>
      </c>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5"/>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2"/>
      <c r="E1084" s="942"/>
      <c r="F1084" s="942"/>
      <c r="G1084" s="942"/>
      <c r="H1084" s="942"/>
      <c r="I1084" s="942"/>
      <c r="J1084" s="942"/>
      <c r="K1084" s="942"/>
      <c r="L1084" s="942"/>
      <c r="M1084" s="942"/>
      <c r="N1084" s="942"/>
      <c r="O1084" s="942"/>
      <c r="P1084" s="942"/>
      <c r="Q1084" s="942"/>
      <c r="R1084" s="942"/>
      <c r="S1084" s="942"/>
      <c r="T1084" s="942"/>
      <c r="U1084" s="942"/>
      <c r="V1084" s="942"/>
      <c r="W1084" s="942"/>
      <c r="X1084" s="942"/>
      <c r="Y1084" s="942"/>
      <c r="Z1084" s="942"/>
      <c r="AA1084" s="942"/>
      <c r="AB1084" s="942"/>
      <c r="AC1084" s="942"/>
      <c r="AD1084" s="942"/>
      <c r="AE1084" s="942"/>
      <c r="AF1084" s="942"/>
      <c r="AG1084" s="942"/>
      <c r="AH1084" s="942"/>
      <c r="AI1084" s="942"/>
      <c r="AJ1084" s="942"/>
      <c r="AK1084" s="942"/>
      <c r="AL1084" s="942"/>
      <c r="AM1084" s="942"/>
      <c r="AN1084" s="942"/>
      <c r="AO1084" s="942"/>
      <c r="AP1084" s="942"/>
      <c r="AQ1084" s="855"/>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42" t="s">
        <v>1629</v>
      </c>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row r="1091" spans="4:37" ht="0" hidden="1" customHeight="1">
      <c r="D1091" s="942"/>
      <c r="E1091" s="942"/>
      <c r="F1091" s="942"/>
      <c r="G1091" s="942"/>
      <c r="H1091" s="942"/>
      <c r="I1091" s="942"/>
      <c r="J1091" s="942"/>
      <c r="K1091" s="942"/>
      <c r="L1091" s="942"/>
      <c r="M1091" s="942"/>
      <c r="N1091" s="942"/>
      <c r="O1091" s="942"/>
      <c r="P1091" s="942"/>
      <c r="Q1091" s="942"/>
      <c r="R1091" s="942"/>
      <c r="S1091" s="942"/>
      <c r="T1091" s="942"/>
      <c r="U1091" s="942"/>
      <c r="V1091" s="942"/>
      <c r="W1091" s="942"/>
      <c r="X1091" s="942"/>
      <c r="Y1091" s="942"/>
      <c r="Z1091" s="942"/>
      <c r="AA1091" s="942"/>
      <c r="AB1091" s="942"/>
      <c r="AC1091" s="942"/>
      <c r="AD1091" s="942"/>
      <c r="AE1091" s="942"/>
      <c r="AF1091" s="942"/>
      <c r="AG1091" s="942"/>
      <c r="AH1091" s="942"/>
      <c r="AI1091" s="942"/>
      <c r="AJ1091" s="942"/>
      <c r="AK1091" s="94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M566:AS566"/>
    <mergeCell ref="AI566:AL566"/>
    <mergeCell ref="AM567:AS567"/>
    <mergeCell ref="AA584:AK584"/>
    <mergeCell ref="Z591:AE591"/>
    <mergeCell ref="BK602:BL602"/>
    <mergeCell ref="BK603:BL603"/>
    <mergeCell ref="AI583:AK583"/>
    <mergeCell ref="BS600:BW600"/>
    <mergeCell ref="BX600:CB600"/>
    <mergeCell ref="CC600:CG600"/>
    <mergeCell ref="BN599:BR599"/>
    <mergeCell ref="BK606:BL606"/>
    <mergeCell ref="BI605:BJ605"/>
    <mergeCell ref="BG602:BH602"/>
    <mergeCell ref="BE601:BF601"/>
    <mergeCell ref="BX602:CB602"/>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E602:BF602"/>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Z563:AD563"/>
    <mergeCell ref="AM563:AS563"/>
    <mergeCell ref="AI563:AL563"/>
    <mergeCell ref="AE563:AH563"/>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G599:L599"/>
    <mergeCell ref="G604:R604"/>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98" sqref="C98"/>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1630</v>
      </c>
      <c r="B1" s="191"/>
      <c r="C1" s="191"/>
      <c r="D1" s="191"/>
      <c r="E1" s="192"/>
      <c r="F1" s="1502" t="s">
        <v>1631</v>
      </c>
      <c r="G1" s="1503"/>
      <c r="H1" s="1503"/>
      <c r="I1" s="1503"/>
      <c r="J1" s="1503"/>
      <c r="K1" s="1503"/>
      <c r="L1" s="1503"/>
      <c r="M1" s="1503"/>
      <c r="N1" s="1503"/>
      <c r="O1" s="1503"/>
      <c r="P1" s="1503"/>
      <c r="Q1" s="1503"/>
      <c r="R1" s="1504"/>
      <c r="S1" s="171"/>
      <c r="T1" s="170"/>
      <c r="U1" s="172"/>
    </row>
    <row r="2" spans="1:21" s="196" customFormat="1" ht="60" customHeight="1">
      <c r="A2" s="195"/>
      <c r="B2" s="196" t="s">
        <v>1632</v>
      </c>
      <c r="C2" s="196" t="s">
        <v>1633</v>
      </c>
      <c r="D2" s="196" t="s">
        <v>1634</v>
      </c>
      <c r="E2" s="196" t="s">
        <v>1635</v>
      </c>
      <c r="F2" s="197" t="str">
        <f>Application!B629&amp;Application!C629</f>
        <v>1)SCCHA Perm Loan -- Tranche A</v>
      </c>
      <c r="G2" s="197" t="str">
        <f>Application!B630&amp;Application!C630</f>
        <v>2)SCCHA Perm Loan -- Tranche B</v>
      </c>
      <c r="H2" s="197" t="str">
        <f>Application!B631&amp;Application!C631</f>
        <v>3)City of San Jose Loan</v>
      </c>
      <c r="I2" s="197" t="str">
        <f>Application!B632&amp;Application!C632</f>
        <v>4)SCCHA MTW Loan</v>
      </c>
      <c r="J2" s="197" t="str">
        <f>Application!B633&amp;Application!C633</f>
        <v>5)Accrued/Deferred interest</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1636</v>
      </c>
      <c r="S2" s="196" t="s">
        <v>1637</v>
      </c>
      <c r="T2" s="196" t="s">
        <v>1638</v>
      </c>
      <c r="U2" s="198"/>
    </row>
    <row r="3" spans="1:21" s="202" customFormat="1">
      <c r="A3" s="199" t="s">
        <v>1639</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1640</v>
      </c>
      <c r="B4" s="204">
        <f>SUM(C4+D4)</f>
        <v>0</v>
      </c>
      <c r="C4" s="205"/>
      <c r="D4" s="205"/>
      <c r="E4" s="205"/>
      <c r="F4" s="205"/>
      <c r="G4" s="205"/>
      <c r="H4" s="205"/>
      <c r="I4" s="205"/>
      <c r="J4" s="205"/>
      <c r="K4" s="205"/>
      <c r="L4" s="205"/>
      <c r="M4" s="205"/>
      <c r="N4" s="205"/>
      <c r="O4" s="205"/>
      <c r="P4" s="205"/>
      <c r="Q4" s="205"/>
      <c r="R4" s="205">
        <f>C4</f>
        <v>0</v>
      </c>
      <c r="S4" s="206"/>
      <c r="T4" s="206"/>
      <c r="U4" s="201"/>
    </row>
    <row r="5" spans="1:21" s="202" customFormat="1" ht="13.5">
      <c r="A5" s="254" t="s">
        <v>1641</v>
      </c>
      <c r="B5" s="204">
        <f>SUM(C5+D5)</f>
        <v>325000</v>
      </c>
      <c r="C5" s="205">
        <v>325000</v>
      </c>
      <c r="D5" s="205"/>
      <c r="E5" s="205">
        <f>B5</f>
        <v>325000</v>
      </c>
      <c r="F5" s="205"/>
      <c r="G5" s="205"/>
      <c r="H5" s="205"/>
      <c r="I5" s="205"/>
      <c r="J5" s="205"/>
      <c r="K5" s="205"/>
      <c r="L5" s="205"/>
      <c r="M5" s="205"/>
      <c r="N5" s="205"/>
      <c r="O5" s="205"/>
      <c r="P5" s="205"/>
      <c r="Q5" s="205"/>
      <c r="R5" s="205">
        <f>SUM(E5:Q5)</f>
        <v>325000</v>
      </c>
      <c r="S5" s="206"/>
      <c r="T5" s="206"/>
      <c r="U5" s="201"/>
    </row>
    <row r="6" spans="1:21" s="202" customFormat="1">
      <c r="A6" s="203" t="s">
        <v>1642</v>
      </c>
      <c r="B6" s="204">
        <f>SUM(C6+D6)</f>
        <v>200</v>
      </c>
      <c r="C6" s="205">
        <v>200</v>
      </c>
      <c r="D6" s="205"/>
      <c r="E6" s="205">
        <f>B6-SUM(F6:J6)</f>
        <v>200</v>
      </c>
      <c r="F6" s="205"/>
      <c r="G6" s="205"/>
      <c r="H6" s="205"/>
      <c r="I6" s="205"/>
      <c r="J6" s="205"/>
      <c r="K6" s="205"/>
      <c r="L6" s="205"/>
      <c r="M6" s="205"/>
      <c r="N6" s="205"/>
      <c r="O6" s="205"/>
      <c r="P6" s="205"/>
      <c r="Q6" s="205"/>
      <c r="R6" s="205">
        <f>SUM(E6:Q6)</f>
        <v>200</v>
      </c>
      <c r="S6" s="206"/>
      <c r="T6" s="206"/>
      <c r="U6" s="201"/>
    </row>
    <row r="7" spans="1:21" s="202" customFormat="1">
      <c r="A7" s="203" t="s">
        <v>1643</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1644</v>
      </c>
      <c r="B8" s="204">
        <f>SUM(C8:D8)</f>
        <v>325200</v>
      </c>
      <c r="C8" s="204">
        <f t="shared" ref="C8:R8" si="0">SUM(C4:C7)</f>
        <v>325200</v>
      </c>
      <c r="D8" s="204">
        <f t="shared" si="0"/>
        <v>0</v>
      </c>
      <c r="E8" s="204">
        <f t="shared" si="0"/>
        <v>325200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325200</v>
      </c>
      <c r="S8" s="206"/>
      <c r="T8" s="206"/>
      <c r="U8" s="201"/>
    </row>
    <row r="9" spans="1:21" s="202" customFormat="1">
      <c r="A9" s="203" t="s">
        <v>1645</v>
      </c>
      <c r="B9" s="204">
        <f>SUM(C9+D9)</f>
        <v>10250000</v>
      </c>
      <c r="C9" s="205">
        <v>10250000</v>
      </c>
      <c r="D9" s="205"/>
      <c r="E9" s="205">
        <f>B9-SUM(F9:J9)</f>
        <v>732016</v>
      </c>
      <c r="F9" s="205"/>
      <c r="G9" s="205"/>
      <c r="H9" s="205"/>
      <c r="I9" s="205">
        <f>I107</f>
        <v>9517984</v>
      </c>
      <c r="J9" s="205"/>
      <c r="K9" s="205"/>
      <c r="L9" s="205"/>
      <c r="M9" s="205"/>
      <c r="N9" s="205"/>
      <c r="O9" s="205"/>
      <c r="P9" s="205"/>
      <c r="Q9" s="205"/>
      <c r="R9" s="205">
        <f>C9</f>
        <v>10250000</v>
      </c>
      <c r="S9" s="206"/>
      <c r="T9" s="205"/>
      <c r="U9" s="201"/>
    </row>
    <row r="10" spans="1:21" s="202" customFormat="1" ht="13.5">
      <c r="A10" s="254" t="s">
        <v>1646</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1647</v>
      </c>
      <c r="B11" s="204">
        <f>SUM(C11:D11)</f>
        <v>10250000</v>
      </c>
      <c r="C11" s="204">
        <f t="shared" ref="C11:T11" si="1">SUM(C9:C10)</f>
        <v>10250000</v>
      </c>
      <c r="D11" s="204">
        <f t="shared" si="1"/>
        <v>0</v>
      </c>
      <c r="E11" s="204">
        <f t="shared" si="1"/>
        <v>732016</v>
      </c>
      <c r="F11" s="204">
        <f t="shared" si="1"/>
        <v>0</v>
      </c>
      <c r="G11" s="204">
        <f t="shared" si="1"/>
        <v>0</v>
      </c>
      <c r="H11" s="204">
        <f t="shared" si="1"/>
        <v>0</v>
      </c>
      <c r="I11" s="204">
        <f t="shared" si="1"/>
        <v>9517984</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10250000</v>
      </c>
      <c r="S11" s="206"/>
      <c r="T11" s="204">
        <f t="shared" si="1"/>
        <v>0</v>
      </c>
      <c r="U11" s="201"/>
    </row>
    <row r="12" spans="1:21" s="202" customFormat="1">
      <c r="A12" s="207" t="s">
        <v>1648</v>
      </c>
      <c r="B12" s="204">
        <f t="shared" ref="B12:R12" si="2">SUM(B8+B11)</f>
        <v>10575200</v>
      </c>
      <c r="C12" s="204">
        <f t="shared" si="2"/>
        <v>10575200</v>
      </c>
      <c r="D12" s="204">
        <f t="shared" si="2"/>
        <v>0</v>
      </c>
      <c r="E12" s="204">
        <f t="shared" si="2"/>
        <v>1057216</v>
      </c>
      <c r="F12" s="204">
        <f t="shared" si="2"/>
        <v>0</v>
      </c>
      <c r="G12" s="204">
        <f t="shared" si="2"/>
        <v>0</v>
      </c>
      <c r="H12" s="204">
        <f t="shared" si="2"/>
        <v>0</v>
      </c>
      <c r="I12" s="204">
        <f t="shared" si="2"/>
        <v>9517984</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10575200</v>
      </c>
      <c r="S12" s="206"/>
      <c r="T12" s="206"/>
      <c r="U12" s="201"/>
    </row>
    <row r="13" spans="1:21" s="202" customFormat="1">
      <c r="A13" s="373" t="s">
        <v>1649</v>
      </c>
      <c r="B13" s="204">
        <f>SUM(C13+D13)</f>
        <v>25000</v>
      </c>
      <c r="C13" s="205">
        <v>25000</v>
      </c>
      <c r="D13" s="205"/>
      <c r="E13" s="205">
        <f>B13-SUM(F13:J13)</f>
        <v>25000</v>
      </c>
      <c r="F13" s="205"/>
      <c r="G13" s="205"/>
      <c r="H13" s="205"/>
      <c r="I13" s="205"/>
      <c r="J13" s="205"/>
      <c r="K13" s="205"/>
      <c r="L13" s="205"/>
      <c r="M13" s="205"/>
      <c r="N13" s="205"/>
      <c r="O13" s="205"/>
      <c r="P13" s="205"/>
      <c r="Q13" s="205"/>
      <c r="R13" s="205">
        <f>SUM(E13:Q13)</f>
        <v>25000</v>
      </c>
      <c r="S13" s="205">
        <f>R13</f>
        <v>25000</v>
      </c>
      <c r="T13" s="205"/>
      <c r="U13" s="201"/>
    </row>
    <row r="14" spans="1:21" s="202" customFormat="1" ht="24">
      <c r="A14" s="203" t="s">
        <v>1650</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1651</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1652</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1653</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1654</v>
      </c>
      <c r="B18" s="204">
        <f t="shared" si="3"/>
        <v>9597144</v>
      </c>
      <c r="C18" s="205">
        <f>8728000+181060+482071+206013</f>
        <v>9597144</v>
      </c>
      <c r="D18" s="205"/>
      <c r="E18" s="205">
        <f>B18-SUM(F18:J18)</f>
        <v>2775144</v>
      </c>
      <c r="F18" s="205">
        <f>F107</f>
        <v>274000</v>
      </c>
      <c r="G18" s="205">
        <f>G107</f>
        <v>848000</v>
      </c>
      <c r="H18" s="205">
        <f>H107</f>
        <v>5700000</v>
      </c>
      <c r="I18" s="205"/>
      <c r="J18" s="205"/>
      <c r="K18" s="205"/>
      <c r="L18" s="205"/>
      <c r="M18" s="205"/>
      <c r="N18" s="205"/>
      <c r="O18" s="205"/>
      <c r="P18" s="205"/>
      <c r="Q18" s="205"/>
      <c r="R18" s="205">
        <f>SUM(E18:Q18)</f>
        <v>9597144</v>
      </c>
      <c r="S18" s="205">
        <f>R18</f>
        <v>9597144</v>
      </c>
      <c r="T18" s="205"/>
      <c r="U18" s="201"/>
    </row>
    <row r="19" spans="1:21" s="202" customFormat="1">
      <c r="A19" s="203" t="s">
        <v>1655</v>
      </c>
      <c r="B19" s="204">
        <f t="shared" si="3"/>
        <v>316855</v>
      </c>
      <c r="C19" s="205">
        <v>316855</v>
      </c>
      <c r="D19" s="205"/>
      <c r="E19" s="205">
        <f>B19-SUM(F19:J19)</f>
        <v>316855</v>
      </c>
      <c r="F19" s="205"/>
      <c r="G19" s="205"/>
      <c r="H19" s="205"/>
      <c r="I19" s="205"/>
      <c r="J19" s="205"/>
      <c r="K19" s="205"/>
      <c r="L19" s="205"/>
      <c r="M19" s="205"/>
      <c r="N19" s="205"/>
      <c r="O19" s="205"/>
      <c r="P19" s="205"/>
      <c r="Q19" s="205"/>
      <c r="R19" s="205">
        <f>SUM(E19:Q19)</f>
        <v>316855</v>
      </c>
      <c r="S19" s="205">
        <f>R19</f>
        <v>316855</v>
      </c>
      <c r="T19" s="205"/>
      <c r="U19" s="201"/>
    </row>
    <row r="20" spans="1:21" s="202" customFormat="1">
      <c r="A20" s="203" t="s">
        <v>1656</v>
      </c>
      <c r="B20" s="204">
        <f t="shared" si="3"/>
        <v>119386</v>
      </c>
      <c r="C20" s="205">
        <f>ROUND(477545/4,0)</f>
        <v>119386</v>
      </c>
      <c r="D20" s="205"/>
      <c r="E20" s="205">
        <f>B20-SUM(F20:J20)</f>
        <v>119386</v>
      </c>
      <c r="F20" s="205"/>
      <c r="G20" s="205"/>
      <c r="H20" s="205"/>
      <c r="I20" s="205"/>
      <c r="J20" s="205"/>
      <c r="K20" s="205"/>
      <c r="L20" s="205"/>
      <c r="M20" s="205"/>
      <c r="N20" s="205"/>
      <c r="O20" s="205"/>
      <c r="P20" s="205"/>
      <c r="Q20" s="205"/>
      <c r="R20" s="205">
        <f t="shared" ref="R20:R27" si="4">SUM(E20:Q20)</f>
        <v>119386</v>
      </c>
      <c r="S20" s="205">
        <f>R20</f>
        <v>119386</v>
      </c>
      <c r="T20" s="205"/>
      <c r="U20" s="201"/>
    </row>
    <row r="21" spans="1:21" s="202" customFormat="1">
      <c r="A21" s="203" t="s">
        <v>1657</v>
      </c>
      <c r="B21" s="204">
        <f t="shared" si="3"/>
        <v>358159</v>
      </c>
      <c r="C21" s="205">
        <f>477545-C20</f>
        <v>358159</v>
      </c>
      <c r="D21" s="205"/>
      <c r="E21" s="205">
        <f>B21-SUM(F21:J21)</f>
        <v>358159</v>
      </c>
      <c r="F21" s="205"/>
      <c r="G21" s="205"/>
      <c r="H21" s="205"/>
      <c r="I21" s="205"/>
      <c r="J21" s="205"/>
      <c r="K21" s="205"/>
      <c r="L21" s="205"/>
      <c r="M21" s="205"/>
      <c r="N21" s="205"/>
      <c r="O21" s="205"/>
      <c r="P21" s="205"/>
      <c r="Q21" s="205"/>
      <c r="R21" s="205">
        <f t="shared" si="4"/>
        <v>358159</v>
      </c>
      <c r="S21" s="205">
        <f>R21</f>
        <v>358159</v>
      </c>
      <c r="T21" s="205"/>
      <c r="U21" s="201"/>
    </row>
    <row r="22" spans="1:21" s="202" customFormat="1">
      <c r="A22" s="203" t="s">
        <v>1658</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1659</v>
      </c>
      <c r="B23" s="204">
        <f t="shared" si="3"/>
        <v>191018</v>
      </c>
      <c r="C23" s="205">
        <v>191018</v>
      </c>
      <c r="D23" s="205"/>
      <c r="E23" s="205">
        <f>B23-SUM(F23:J23)</f>
        <v>191018</v>
      </c>
      <c r="F23" s="205"/>
      <c r="G23" s="205"/>
      <c r="H23" s="205"/>
      <c r="I23" s="205"/>
      <c r="J23" s="205"/>
      <c r="K23" s="205"/>
      <c r="L23" s="205"/>
      <c r="M23" s="205"/>
      <c r="N23" s="205"/>
      <c r="O23" s="205"/>
      <c r="P23" s="205"/>
      <c r="Q23" s="205"/>
      <c r="R23" s="205">
        <f t="shared" si="4"/>
        <v>191018</v>
      </c>
      <c r="S23" s="205">
        <f>R23</f>
        <v>191018</v>
      </c>
      <c r="T23" s="205"/>
      <c r="U23" s="201"/>
    </row>
    <row r="24" spans="1:21" s="202" customFormat="1">
      <c r="A24" s="214" t="s">
        <v>1660</v>
      </c>
      <c r="B24" s="204">
        <f t="shared" si="3"/>
        <v>250000</v>
      </c>
      <c r="C24" s="205">
        <v>250000</v>
      </c>
      <c r="D24" s="205"/>
      <c r="E24" s="205">
        <f>B24-SUM(F24:J24)</f>
        <v>250000</v>
      </c>
      <c r="F24" s="205"/>
      <c r="G24" s="205"/>
      <c r="H24" s="205"/>
      <c r="I24" s="205"/>
      <c r="J24" s="205"/>
      <c r="K24" s="205"/>
      <c r="L24" s="205"/>
      <c r="M24" s="205"/>
      <c r="N24" s="205"/>
      <c r="O24" s="205"/>
      <c r="P24" s="205"/>
      <c r="Q24" s="205"/>
      <c r="R24" s="205">
        <f t="shared" si="4"/>
        <v>250000</v>
      </c>
      <c r="S24" s="205">
        <f>R24</f>
        <v>250000</v>
      </c>
      <c r="T24" s="205"/>
      <c r="U24" s="201"/>
    </row>
    <row r="25" spans="1:21" s="202" customFormat="1">
      <c r="A25" s="210" t="s">
        <v>1661</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1662</v>
      </c>
      <c r="B26" s="204">
        <f t="shared" si="3"/>
        <v>10832562</v>
      </c>
      <c r="C26" s="204">
        <f>SUM(C17:C25)</f>
        <v>10832562</v>
      </c>
      <c r="D26" s="204">
        <f>SUM(D17:D25)</f>
        <v>0</v>
      </c>
      <c r="E26" s="204">
        <f>SUM(E17:E25)</f>
        <v>4010562</v>
      </c>
      <c r="F26" s="204">
        <f t="shared" ref="F26:T26" si="5">SUM(F17:F25)</f>
        <v>274000</v>
      </c>
      <c r="G26" s="204">
        <f t="shared" si="5"/>
        <v>848000</v>
      </c>
      <c r="H26" s="204">
        <f t="shared" si="5"/>
        <v>5700000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10832562</v>
      </c>
      <c r="S26" s="208">
        <f t="shared" si="5"/>
        <v>10832562</v>
      </c>
      <c r="T26" s="208">
        <f t="shared" si="5"/>
        <v>0</v>
      </c>
      <c r="U26" s="201"/>
    </row>
    <row r="27" spans="1:21" s="202" customFormat="1">
      <c r="A27" s="207" t="s">
        <v>1663</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1664</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1653</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1654</v>
      </c>
      <c r="B30" s="204">
        <f t="shared" si="6"/>
        <v>0</v>
      </c>
      <c r="C30" s="205"/>
      <c r="D30" s="205"/>
      <c r="E30" s="205"/>
      <c r="F30" s="205"/>
      <c r="G30" s="205"/>
      <c r="H30" s="205"/>
      <c r="I30" s="205"/>
      <c r="J30" s="205"/>
      <c r="K30" s="205"/>
      <c r="L30" s="205"/>
      <c r="M30" s="205"/>
      <c r="N30" s="205"/>
      <c r="O30" s="205"/>
      <c r="P30" s="205"/>
      <c r="Q30" s="205"/>
      <c r="R30" s="205">
        <f t="shared" si="7"/>
        <v>0</v>
      </c>
      <c r="S30" s="205"/>
      <c r="T30" s="205"/>
      <c r="U30" s="201"/>
    </row>
    <row r="31" spans="1:21" s="202" customFormat="1">
      <c r="A31" s="203" t="s">
        <v>1655</v>
      </c>
      <c r="B31" s="204">
        <f t="shared" si="6"/>
        <v>0</v>
      </c>
      <c r="C31" s="205"/>
      <c r="D31" s="205"/>
      <c r="E31" s="205"/>
      <c r="F31" s="205"/>
      <c r="G31" s="205"/>
      <c r="H31" s="205"/>
      <c r="I31" s="205"/>
      <c r="J31" s="205"/>
      <c r="K31" s="205"/>
      <c r="L31" s="205"/>
      <c r="M31" s="205"/>
      <c r="N31" s="205"/>
      <c r="O31" s="205"/>
      <c r="P31" s="205"/>
      <c r="Q31" s="205"/>
      <c r="R31" s="205">
        <f t="shared" si="7"/>
        <v>0</v>
      </c>
      <c r="S31" s="205"/>
      <c r="T31" s="205"/>
      <c r="U31" s="201"/>
    </row>
    <row r="32" spans="1:21" s="202" customFormat="1">
      <c r="A32" s="203" t="s">
        <v>1656</v>
      </c>
      <c r="B32" s="204">
        <f t="shared" si="6"/>
        <v>0</v>
      </c>
      <c r="C32" s="205"/>
      <c r="D32" s="205"/>
      <c r="E32" s="205"/>
      <c r="F32" s="205"/>
      <c r="G32" s="205"/>
      <c r="H32" s="205"/>
      <c r="I32" s="205"/>
      <c r="J32" s="205"/>
      <c r="K32" s="205"/>
      <c r="L32" s="205"/>
      <c r="M32" s="205"/>
      <c r="N32" s="205"/>
      <c r="O32" s="205"/>
      <c r="P32" s="205"/>
      <c r="Q32" s="205"/>
      <c r="R32" s="205">
        <f t="shared" si="7"/>
        <v>0</v>
      </c>
      <c r="S32" s="205"/>
      <c r="T32" s="205"/>
      <c r="U32" s="201"/>
    </row>
    <row r="33" spans="1:21" s="202" customFormat="1">
      <c r="A33" s="203" t="s">
        <v>1657</v>
      </c>
      <c r="B33" s="204">
        <f t="shared" si="6"/>
        <v>0</v>
      </c>
      <c r="C33" s="205"/>
      <c r="D33" s="205"/>
      <c r="E33" s="205"/>
      <c r="F33" s="205"/>
      <c r="G33" s="205"/>
      <c r="H33" s="205"/>
      <c r="I33" s="205"/>
      <c r="J33" s="205"/>
      <c r="K33" s="205"/>
      <c r="L33" s="205"/>
      <c r="M33" s="205"/>
      <c r="N33" s="205"/>
      <c r="O33" s="205"/>
      <c r="P33" s="205"/>
      <c r="Q33" s="205"/>
      <c r="R33" s="205">
        <f t="shared" si="7"/>
        <v>0</v>
      </c>
      <c r="S33" s="205"/>
      <c r="T33" s="205"/>
      <c r="U33" s="201"/>
    </row>
    <row r="34" spans="1:21" s="202" customFormat="1">
      <c r="A34" s="203" t="s">
        <v>1658</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1659</v>
      </c>
      <c r="B35" s="204">
        <f t="shared" si="6"/>
        <v>0</v>
      </c>
      <c r="C35" s="205"/>
      <c r="D35" s="205"/>
      <c r="E35" s="205"/>
      <c r="F35" s="205"/>
      <c r="G35" s="205"/>
      <c r="H35" s="205"/>
      <c r="I35" s="205"/>
      <c r="J35" s="205"/>
      <c r="K35" s="205"/>
      <c r="L35" s="205"/>
      <c r="M35" s="205"/>
      <c r="N35" s="205"/>
      <c r="O35" s="205"/>
      <c r="P35" s="205"/>
      <c r="Q35" s="205"/>
      <c r="R35" s="205">
        <f t="shared" si="7"/>
        <v>0</v>
      </c>
      <c r="S35" s="205"/>
      <c r="T35" s="205"/>
      <c r="U35" s="201"/>
    </row>
    <row r="36" spans="1:21" s="202" customFormat="1">
      <c r="A36" s="214" t="s">
        <v>1660</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1661</v>
      </c>
      <c r="B37" s="204">
        <f t="shared" si="6"/>
        <v>0</v>
      </c>
      <c r="C37" s="205"/>
      <c r="D37" s="205"/>
      <c r="E37" s="205"/>
      <c r="F37" s="205"/>
      <c r="G37" s="205"/>
      <c r="H37" s="205"/>
      <c r="I37" s="205"/>
      <c r="J37" s="205"/>
      <c r="K37" s="205"/>
      <c r="L37" s="205"/>
      <c r="M37" s="205"/>
      <c r="N37" s="205"/>
      <c r="O37" s="205"/>
      <c r="P37" s="205"/>
      <c r="Q37" s="205"/>
      <c r="R37" s="205">
        <f t="shared" si="7"/>
        <v>0</v>
      </c>
      <c r="S37" s="205"/>
      <c r="T37" s="205"/>
      <c r="U37" s="201"/>
    </row>
    <row r="38" spans="1:21" s="202" customFormat="1">
      <c r="A38" s="207" t="s">
        <v>1665</v>
      </c>
      <c r="B38" s="204">
        <f t="shared" si="6"/>
        <v>0</v>
      </c>
      <c r="C38" s="204">
        <f>SUM(C29:C37)</f>
        <v>0</v>
      </c>
      <c r="D38" s="204">
        <f>SUM(D29:D37)</f>
        <v>0</v>
      </c>
      <c r="E38" s="204">
        <f>SUM(E29:E37)</f>
        <v>0</v>
      </c>
      <c r="F38" s="204">
        <f t="shared" ref="F38:T38" si="8">SUM(F29:F37)</f>
        <v>0</v>
      </c>
      <c r="G38" s="204">
        <f t="shared" si="8"/>
        <v>0</v>
      </c>
      <c r="H38" s="204">
        <f t="shared" si="8"/>
        <v>0</v>
      </c>
      <c r="I38" s="204">
        <f t="shared" si="8"/>
        <v>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0</v>
      </c>
      <c r="S38" s="208">
        <f t="shared" si="8"/>
        <v>0</v>
      </c>
      <c r="T38" s="208">
        <f t="shared" si="8"/>
        <v>0</v>
      </c>
      <c r="U38" s="201"/>
    </row>
    <row r="39" spans="1:21" s="202" customFormat="1">
      <c r="A39" s="199" t="s">
        <v>1666</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1667</v>
      </c>
      <c r="B40" s="204">
        <f>SUM(C40+D40)</f>
        <v>689361</v>
      </c>
      <c r="C40" s="205">
        <v>689361</v>
      </c>
      <c r="D40" s="205"/>
      <c r="E40" s="205">
        <f>B40-SUM(F40:J40)</f>
        <v>689361</v>
      </c>
      <c r="F40" s="205"/>
      <c r="G40" s="205"/>
      <c r="H40" s="205"/>
      <c r="I40" s="205"/>
      <c r="J40" s="205"/>
      <c r="K40" s="205"/>
      <c r="L40" s="205"/>
      <c r="M40" s="205"/>
      <c r="N40" s="205"/>
      <c r="O40" s="205"/>
      <c r="P40" s="205"/>
      <c r="Q40" s="205"/>
      <c r="R40" s="205">
        <f>SUM(E40:Q40)</f>
        <v>689361</v>
      </c>
      <c r="S40" s="205">
        <f>R40</f>
        <v>689361</v>
      </c>
      <c r="T40" s="205"/>
      <c r="U40" s="201"/>
    </row>
    <row r="41" spans="1:21" s="202" customFormat="1">
      <c r="A41" s="203" t="s">
        <v>1668</v>
      </c>
      <c r="B41" s="204">
        <f>SUM(C41+D41)</f>
        <v>188008</v>
      </c>
      <c r="C41" s="205">
        <v>188008</v>
      </c>
      <c r="D41" s="205"/>
      <c r="E41" s="205">
        <f>B41-SUM(F41:J41)</f>
        <v>188008</v>
      </c>
      <c r="F41" s="205"/>
      <c r="G41" s="205"/>
      <c r="H41" s="205"/>
      <c r="I41" s="205"/>
      <c r="J41" s="205"/>
      <c r="K41" s="205"/>
      <c r="L41" s="205"/>
      <c r="M41" s="205"/>
      <c r="N41" s="205"/>
      <c r="O41" s="205"/>
      <c r="P41" s="205"/>
      <c r="Q41" s="205"/>
      <c r="R41" s="205">
        <f>SUM(E41:Q41)</f>
        <v>188008</v>
      </c>
      <c r="S41" s="205">
        <f>R41</f>
        <v>188008</v>
      </c>
      <c r="T41" s="205"/>
      <c r="U41" s="201"/>
    </row>
    <row r="42" spans="1:21" s="202" customFormat="1">
      <c r="A42" s="207" t="s">
        <v>1669</v>
      </c>
      <c r="B42" s="204">
        <f>SUM(C42:D42)</f>
        <v>877369</v>
      </c>
      <c r="C42" s="204">
        <f>SUM(C39:C41)</f>
        <v>877369</v>
      </c>
      <c r="D42" s="204">
        <f>SUM(D39:D41)</f>
        <v>0</v>
      </c>
      <c r="E42" s="204">
        <f t="shared" ref="E42:T42" si="9">SUM(E40:E41)</f>
        <v>877369</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877369</v>
      </c>
      <c r="S42" s="208">
        <f t="shared" si="9"/>
        <v>877369</v>
      </c>
      <c r="T42" s="208">
        <f t="shared" si="9"/>
        <v>0</v>
      </c>
      <c r="U42" s="201"/>
    </row>
    <row r="43" spans="1:21" s="202" customFormat="1">
      <c r="A43" s="207" t="s">
        <v>1670</v>
      </c>
      <c r="B43" s="204">
        <f>SUM(C43:D43)</f>
        <v>235000</v>
      </c>
      <c r="C43" s="205">
        <f>150000+10000+15000+40000+20000</f>
        <v>235000</v>
      </c>
      <c r="D43" s="205"/>
      <c r="E43" s="205">
        <f>B43-SUM(F43:J43)</f>
        <v>235000</v>
      </c>
      <c r="F43" s="205">
        <v>0</v>
      </c>
      <c r="G43" s="205"/>
      <c r="H43" s="205"/>
      <c r="I43" s="205"/>
      <c r="J43" s="205"/>
      <c r="K43" s="205"/>
      <c r="L43" s="205"/>
      <c r="M43" s="205"/>
      <c r="N43" s="205"/>
      <c r="O43" s="205"/>
      <c r="P43" s="205"/>
      <c r="Q43" s="205"/>
      <c r="R43" s="205">
        <f>SUM(E43:Q43)</f>
        <v>235000</v>
      </c>
      <c r="S43" s="205">
        <f>R43</f>
        <v>235000</v>
      </c>
      <c r="T43" s="205"/>
      <c r="U43" s="201"/>
    </row>
    <row r="44" spans="1:21" s="202" customFormat="1">
      <c r="A44" s="199" t="s">
        <v>1671</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1672</v>
      </c>
      <c r="B45" s="204">
        <f t="shared" ref="B45:B52" si="10">SUM(C45+D45)</f>
        <v>940146</v>
      </c>
      <c r="C45" s="205">
        <v>940146</v>
      </c>
      <c r="D45" s="205"/>
      <c r="E45" s="205">
        <f>B45-SUM(F45:J45)</f>
        <v>940146</v>
      </c>
      <c r="F45" s="205"/>
      <c r="G45" s="205"/>
      <c r="H45" s="205"/>
      <c r="I45" s="205"/>
      <c r="J45" s="205"/>
      <c r="K45" s="205"/>
      <c r="L45" s="205"/>
      <c r="M45" s="205"/>
      <c r="N45" s="205"/>
      <c r="O45" s="205"/>
      <c r="P45" s="205"/>
      <c r="Q45" s="205"/>
      <c r="R45" s="205">
        <f t="shared" ref="R45:R52" si="11">SUM(E45:Q45)</f>
        <v>940146</v>
      </c>
      <c r="S45" s="205">
        <v>494780</v>
      </c>
      <c r="T45" s="205"/>
      <c r="U45" s="201"/>
    </row>
    <row r="46" spans="1:21" s="202" customFormat="1">
      <c r="A46" s="203" t="s">
        <v>1673</v>
      </c>
      <c r="B46" s="204">
        <f t="shared" si="10"/>
        <v>123942</v>
      </c>
      <c r="C46" s="205">
        <v>123942</v>
      </c>
      <c r="D46" s="205"/>
      <c r="E46" s="205">
        <f>B46-SUM(F46:J46)</f>
        <v>123942</v>
      </c>
      <c r="F46" s="205"/>
      <c r="G46" s="205"/>
      <c r="H46" s="205"/>
      <c r="I46" s="205"/>
      <c r="J46" s="205"/>
      <c r="K46" s="205"/>
      <c r="L46" s="205"/>
      <c r="M46" s="205"/>
      <c r="N46" s="205"/>
      <c r="O46" s="205"/>
      <c r="P46" s="205"/>
      <c r="Q46" s="205"/>
      <c r="R46" s="205">
        <f t="shared" si="11"/>
        <v>123942</v>
      </c>
      <c r="S46" s="205">
        <v>65228</v>
      </c>
      <c r="T46" s="205"/>
      <c r="U46" s="201"/>
    </row>
    <row r="47" spans="1:21" s="202" customFormat="1" ht="12" customHeight="1">
      <c r="A47" s="203" t="s">
        <v>1674</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c r="A48" s="203" t="s">
        <v>1675</v>
      </c>
      <c r="B48" s="204">
        <f t="shared" si="10"/>
        <v>81183</v>
      </c>
      <c r="C48" s="205">
        <v>81183</v>
      </c>
      <c r="D48" s="205"/>
      <c r="E48" s="205">
        <f>B48-SUM(F48:J48)</f>
        <v>81183</v>
      </c>
      <c r="F48" s="205"/>
      <c r="G48" s="205"/>
      <c r="H48" s="205"/>
      <c r="I48" s="205"/>
      <c r="J48" s="205"/>
      <c r="K48" s="205"/>
      <c r="L48" s="205"/>
      <c r="M48" s="205"/>
      <c r="N48" s="205"/>
      <c r="O48" s="205"/>
      <c r="P48" s="205"/>
      <c r="Q48" s="205"/>
      <c r="R48" s="205">
        <f t="shared" si="11"/>
        <v>81183</v>
      </c>
      <c r="S48" s="205">
        <f>R48</f>
        <v>81183</v>
      </c>
      <c r="T48" s="205"/>
      <c r="U48" s="201"/>
    </row>
    <row r="49" spans="1:21" s="202" customFormat="1">
      <c r="A49" s="203" t="s">
        <v>1676</v>
      </c>
      <c r="B49" s="204">
        <f t="shared" si="10"/>
        <v>35000</v>
      </c>
      <c r="C49" s="205">
        <v>35000</v>
      </c>
      <c r="D49" s="205"/>
      <c r="E49" s="205">
        <f>B49-SUM(F49:J49)</f>
        <v>35000</v>
      </c>
      <c r="F49" s="205"/>
      <c r="G49" s="205"/>
      <c r="H49" s="205"/>
      <c r="I49" s="205"/>
      <c r="J49" s="205"/>
      <c r="K49" s="205"/>
      <c r="L49" s="205"/>
      <c r="M49" s="205"/>
      <c r="N49" s="205"/>
      <c r="O49" s="205"/>
      <c r="P49" s="205"/>
      <c r="Q49" s="205"/>
      <c r="R49" s="205">
        <f t="shared" si="11"/>
        <v>35000</v>
      </c>
      <c r="S49" s="205">
        <f>R49</f>
        <v>35000</v>
      </c>
      <c r="T49" s="205"/>
      <c r="U49" s="201"/>
    </row>
    <row r="50" spans="1:21" s="202" customFormat="1">
      <c r="A50" s="203" t="s">
        <v>1677</v>
      </c>
      <c r="B50" s="204">
        <f t="shared" si="10"/>
        <v>0</v>
      </c>
      <c r="C50" s="205"/>
      <c r="D50" s="205"/>
      <c r="E50" s="205"/>
      <c r="F50" s="205"/>
      <c r="G50" s="205"/>
      <c r="H50" s="205"/>
      <c r="I50" s="205"/>
      <c r="J50" s="205"/>
      <c r="K50" s="205"/>
      <c r="L50" s="205"/>
      <c r="M50" s="205"/>
      <c r="N50" s="205"/>
      <c r="O50" s="205"/>
      <c r="P50" s="205"/>
      <c r="Q50" s="205"/>
      <c r="R50" s="205">
        <f t="shared" si="11"/>
        <v>0</v>
      </c>
      <c r="S50" s="205"/>
      <c r="T50" s="205"/>
      <c r="U50" s="201"/>
    </row>
    <row r="51" spans="1:21" s="202" customFormat="1">
      <c r="A51" s="203" t="s">
        <v>1469</v>
      </c>
      <c r="B51" s="204">
        <f t="shared" si="10"/>
        <v>600000</v>
      </c>
      <c r="C51" s="205">
        <v>600000</v>
      </c>
      <c r="D51" s="205"/>
      <c r="E51" s="205">
        <f>B51-SUM(F51:J51)</f>
        <v>600000</v>
      </c>
      <c r="F51" s="205"/>
      <c r="G51" s="205"/>
      <c r="H51" s="205"/>
      <c r="I51" s="205"/>
      <c r="J51" s="205"/>
      <c r="K51" s="205"/>
      <c r="L51" s="205"/>
      <c r="M51" s="205"/>
      <c r="N51" s="205"/>
      <c r="O51" s="205"/>
      <c r="P51" s="205"/>
      <c r="Q51" s="205"/>
      <c r="R51" s="205">
        <f t="shared" si="11"/>
        <v>600000</v>
      </c>
      <c r="S51" s="205">
        <f>R51</f>
        <v>600000</v>
      </c>
      <c r="T51" s="205"/>
      <c r="U51" s="201"/>
    </row>
    <row r="52" spans="1:21" s="202" customFormat="1">
      <c r="A52" s="210" t="s">
        <v>1678</v>
      </c>
      <c r="B52" s="204">
        <f t="shared" si="10"/>
        <v>80000</v>
      </c>
      <c r="C52" s="205">
        <f>50000+30000</f>
        <v>80000</v>
      </c>
      <c r="D52" s="205"/>
      <c r="E52" s="205">
        <f>B52-SUM(F52:J52)</f>
        <v>80000</v>
      </c>
      <c r="F52" s="205"/>
      <c r="G52" s="205"/>
      <c r="H52" s="205"/>
      <c r="I52" s="205"/>
      <c r="J52" s="205"/>
      <c r="K52" s="205"/>
      <c r="L52" s="205"/>
      <c r="M52" s="205"/>
      <c r="N52" s="205"/>
      <c r="O52" s="205"/>
      <c r="P52" s="205"/>
      <c r="Q52" s="205"/>
      <c r="R52" s="205">
        <f t="shared" si="11"/>
        <v>80000</v>
      </c>
      <c r="S52" s="205">
        <f>26314+15788</f>
        <v>42102</v>
      </c>
      <c r="T52" s="205"/>
      <c r="U52" s="201"/>
    </row>
    <row r="53" spans="1:21" s="212" customFormat="1">
      <c r="A53" s="207" t="s">
        <v>1679</v>
      </c>
      <c r="B53" s="208">
        <f>SUM(C53:D53)</f>
        <v>1860271</v>
      </c>
      <c r="C53" s="208">
        <f t="shared" ref="C53:T53" si="12">SUM(C45:C52)</f>
        <v>1860271</v>
      </c>
      <c r="D53" s="208">
        <f t="shared" si="12"/>
        <v>0</v>
      </c>
      <c r="E53" s="208">
        <f t="shared" si="12"/>
        <v>1860271</v>
      </c>
      <c r="F53" s="208">
        <f t="shared" si="12"/>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1860271</v>
      </c>
      <c r="S53" s="208">
        <f t="shared" si="12"/>
        <v>1318293</v>
      </c>
      <c r="T53" s="208">
        <f t="shared" si="12"/>
        <v>0</v>
      </c>
      <c r="U53" s="211"/>
    </row>
    <row r="54" spans="1:21" s="202" customFormat="1">
      <c r="A54" s="199" t="s">
        <v>1263</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1680</v>
      </c>
      <c r="B55" s="204">
        <f t="shared" ref="B55:B60" si="13">SUM(C55+D55)</f>
        <v>11220</v>
      </c>
      <c r="C55" s="205">
        <v>11220</v>
      </c>
      <c r="D55" s="205"/>
      <c r="E55" s="205">
        <f>B55-SUM(F55:J55)</f>
        <v>11220</v>
      </c>
      <c r="F55" s="205"/>
      <c r="G55" s="205"/>
      <c r="H55" s="205"/>
      <c r="I55" s="205"/>
      <c r="J55" s="205"/>
      <c r="K55" s="205"/>
      <c r="L55" s="205"/>
      <c r="M55" s="205"/>
      <c r="N55" s="205"/>
      <c r="O55" s="205"/>
      <c r="P55" s="205"/>
      <c r="Q55" s="205"/>
      <c r="R55" s="205">
        <f t="shared" ref="R55:R60" si="14">SUM(E55:Q55)</f>
        <v>11220</v>
      </c>
      <c r="S55" s="206"/>
      <c r="T55" s="206"/>
      <c r="U55" s="201"/>
    </row>
    <row r="56" spans="1:21" s="202" customFormat="1" ht="12" customHeight="1">
      <c r="A56" s="203" t="s">
        <v>1674</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c r="A57" s="203" t="s">
        <v>1676</v>
      </c>
      <c r="B57" s="204">
        <f t="shared" si="13"/>
        <v>0</v>
      </c>
      <c r="C57" s="205"/>
      <c r="D57" s="205"/>
      <c r="E57" s="205"/>
      <c r="F57" s="205"/>
      <c r="G57" s="205"/>
      <c r="H57" s="205"/>
      <c r="I57" s="205"/>
      <c r="J57" s="205"/>
      <c r="K57" s="205"/>
      <c r="L57" s="205"/>
      <c r="M57" s="205"/>
      <c r="N57" s="205"/>
      <c r="O57" s="205"/>
      <c r="P57" s="205"/>
      <c r="Q57" s="205"/>
      <c r="R57" s="205">
        <f t="shared" si="14"/>
        <v>0</v>
      </c>
      <c r="S57" s="206"/>
      <c r="T57" s="206"/>
      <c r="U57" s="201"/>
    </row>
    <row r="58" spans="1:21" s="202" customFormat="1">
      <c r="A58" s="203" t="s">
        <v>1677</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1469</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1681</v>
      </c>
      <c r="B60" s="204">
        <f t="shared" si="13"/>
        <v>20000</v>
      </c>
      <c r="C60" s="205">
        <v>20000</v>
      </c>
      <c r="D60" s="205"/>
      <c r="E60" s="205">
        <f>B60-SUM(F60:J60)</f>
        <v>20000</v>
      </c>
      <c r="F60" s="205"/>
      <c r="G60" s="205"/>
      <c r="H60" s="205"/>
      <c r="I60" s="205"/>
      <c r="J60" s="205"/>
      <c r="K60" s="205"/>
      <c r="L60" s="205"/>
      <c r="M60" s="205"/>
      <c r="N60" s="205"/>
      <c r="O60" s="205"/>
      <c r="P60" s="205"/>
      <c r="Q60" s="205"/>
      <c r="R60" s="205">
        <f t="shared" si="14"/>
        <v>20000</v>
      </c>
      <c r="S60" s="206"/>
      <c r="T60" s="206"/>
      <c r="U60" s="201"/>
    </row>
    <row r="61" spans="1:21" s="202" customFormat="1" ht="14.1" customHeight="1">
      <c r="A61" s="207" t="s">
        <v>1682</v>
      </c>
      <c r="B61" s="204">
        <f>SUM(C61:D61)</f>
        <v>31220</v>
      </c>
      <c r="C61" s="204">
        <f t="shared" ref="C61:R61" si="15">SUM(C55:C60)</f>
        <v>31220</v>
      </c>
      <c r="D61" s="204">
        <f t="shared" si="15"/>
        <v>0</v>
      </c>
      <c r="E61" s="204">
        <f t="shared" si="15"/>
        <v>31220</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31220</v>
      </c>
      <c r="S61" s="206"/>
      <c r="T61" s="206"/>
      <c r="U61" s="201"/>
    </row>
    <row r="62" spans="1:21" s="202" customFormat="1">
      <c r="A62" s="213" t="s">
        <v>1683</v>
      </c>
      <c r="B62" s="204">
        <f>SUM(C62:D62)</f>
        <v>24436622</v>
      </c>
      <c r="C62" s="204">
        <f t="shared" ref="C62:R62" si="16">SUM(C8+C11+C13+C14+C15+C26+C27+C38+C42+C43+C53+C61)</f>
        <v>24436622</v>
      </c>
      <c r="D62" s="204">
        <f t="shared" si="16"/>
        <v>0</v>
      </c>
      <c r="E62" s="204">
        <f t="shared" si="16"/>
        <v>8096638</v>
      </c>
      <c r="F62" s="204">
        <f t="shared" si="16"/>
        <v>274000</v>
      </c>
      <c r="G62" s="204">
        <f t="shared" si="16"/>
        <v>848000</v>
      </c>
      <c r="H62" s="204">
        <f t="shared" si="16"/>
        <v>5700000</v>
      </c>
      <c r="I62" s="204">
        <f t="shared" si="16"/>
        <v>9517984</v>
      </c>
      <c r="J62" s="204">
        <f t="shared" si="16"/>
        <v>0</v>
      </c>
      <c r="K62" s="204">
        <f t="shared" si="16"/>
        <v>0</v>
      </c>
      <c r="L62" s="204">
        <f t="shared" si="16"/>
        <v>0</v>
      </c>
      <c r="M62" s="204">
        <f t="shared" si="16"/>
        <v>0</v>
      </c>
      <c r="N62" s="204">
        <f t="shared" si="16"/>
        <v>0</v>
      </c>
      <c r="O62" s="204">
        <f t="shared" si="16"/>
        <v>0</v>
      </c>
      <c r="P62" s="204">
        <f t="shared" si="16"/>
        <v>0</v>
      </c>
      <c r="Q62" s="204">
        <f t="shared" si="16"/>
        <v>0</v>
      </c>
      <c r="R62" s="204">
        <f t="shared" si="16"/>
        <v>24436622</v>
      </c>
      <c r="S62" s="204">
        <f>SUM(S10+S13+S14+S15+S26+S27+S38+S42+S43+S53)</f>
        <v>13288224</v>
      </c>
      <c r="T62" s="204">
        <f>SUM(T11+T13+T14+T15+T26+T27+T38+T42+T43+T53)</f>
        <v>0</v>
      </c>
      <c r="U62" s="201"/>
    </row>
    <row r="63" spans="1:21" s="202" customFormat="1" ht="24">
      <c r="A63" s="199" t="s">
        <v>1684</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1685</v>
      </c>
      <c r="B64" s="204">
        <f>SUM(C64+D64)</f>
        <v>105000</v>
      </c>
      <c r="C64" s="205">
        <f>75000+30000</f>
        <v>105000</v>
      </c>
      <c r="D64" s="205"/>
      <c r="E64" s="205">
        <f>B64-SUM(F64:J64)</f>
        <v>105000</v>
      </c>
      <c r="F64" s="205"/>
      <c r="G64" s="205"/>
      <c r="H64" s="205"/>
      <c r="I64" s="205"/>
      <c r="J64" s="205"/>
      <c r="K64" s="205"/>
      <c r="L64" s="205"/>
      <c r="M64" s="205"/>
      <c r="N64" s="205"/>
      <c r="O64" s="205"/>
      <c r="P64" s="205"/>
      <c r="Q64" s="205"/>
      <c r="R64" s="205">
        <f>SUM(E64:Q64)</f>
        <v>105000</v>
      </c>
      <c r="S64" s="205">
        <v>39471</v>
      </c>
      <c r="T64" s="205"/>
      <c r="U64" s="201"/>
    </row>
    <row r="65" spans="1:21" s="202" customFormat="1" ht="24">
      <c r="A65" s="203" t="s">
        <v>1686</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1687</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1688</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1689</v>
      </c>
      <c r="B68" s="204">
        <f>SUM(C68+D68)</f>
        <v>145000</v>
      </c>
      <c r="C68" s="205">
        <f>100000+45000</f>
        <v>145000</v>
      </c>
      <c r="D68" s="205"/>
      <c r="E68" s="205">
        <f>B68-SUM(F68:J68)</f>
        <v>145000</v>
      </c>
      <c r="F68" s="205"/>
      <c r="G68" s="205"/>
      <c r="H68" s="205"/>
      <c r="I68" s="205"/>
      <c r="J68" s="205"/>
      <c r="K68" s="205"/>
      <c r="L68" s="205"/>
      <c r="M68" s="205"/>
      <c r="N68" s="205"/>
      <c r="O68" s="205"/>
      <c r="P68" s="205"/>
      <c r="Q68" s="205"/>
      <c r="R68" s="205">
        <f>SUM(E68:Q68)</f>
        <v>145000</v>
      </c>
      <c r="S68" s="205">
        <v>100000</v>
      </c>
      <c r="T68" s="205"/>
      <c r="U68" s="201"/>
    </row>
    <row r="69" spans="1:21" s="202" customFormat="1">
      <c r="A69" s="207" t="s">
        <v>1690</v>
      </c>
      <c r="B69" s="204">
        <f>SUM(C69:D69)</f>
        <v>250000</v>
      </c>
      <c r="C69" s="204">
        <f>SUM(C63:C68)</f>
        <v>250000</v>
      </c>
      <c r="D69" s="204">
        <f>SUM(D63:D68)</f>
        <v>0</v>
      </c>
      <c r="E69" s="204">
        <f t="shared" ref="E69:T69" si="17">SUM(E64:E68)</f>
        <v>250000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250000</v>
      </c>
      <c r="S69" s="208">
        <f t="shared" si="17"/>
        <v>139471</v>
      </c>
      <c r="T69" s="208">
        <f t="shared" si="17"/>
        <v>0</v>
      </c>
      <c r="U69" s="201"/>
    </row>
    <row r="70" spans="1:21" s="202" customFormat="1">
      <c r="A70" s="199" t="s">
        <v>1691</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1692</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1693</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1694</v>
      </c>
      <c r="B73" s="204">
        <f>SUM(C73+D73)</f>
        <v>200000</v>
      </c>
      <c r="C73" s="205">
        <v>200000</v>
      </c>
      <c r="D73" s="205"/>
      <c r="E73" s="205">
        <f>B73-SUM(F73:J73)</f>
        <v>200000</v>
      </c>
      <c r="F73" s="205"/>
      <c r="G73" s="205"/>
      <c r="H73" s="205"/>
      <c r="I73" s="205"/>
      <c r="J73" s="205"/>
      <c r="K73" s="205"/>
      <c r="L73" s="205"/>
      <c r="M73" s="205"/>
      <c r="N73" s="205"/>
      <c r="O73" s="205"/>
      <c r="P73" s="205"/>
      <c r="Q73" s="205"/>
      <c r="R73" s="205">
        <f>SUM(E73:Q73)</f>
        <v>200000</v>
      </c>
      <c r="S73" s="206"/>
      <c r="T73" s="206"/>
      <c r="U73" s="201"/>
    </row>
    <row r="74" spans="1:21" s="202" customFormat="1">
      <c r="A74" s="203" t="s">
        <v>1695</v>
      </c>
      <c r="B74" s="204">
        <f>SUM(C74+D74)</f>
        <v>386070</v>
      </c>
      <c r="C74" s="205">
        <f>Application!AC874</f>
        <v>386070</v>
      </c>
      <c r="D74" s="205"/>
      <c r="E74" s="205">
        <f>B74-SUM(F74:J74)</f>
        <v>386070</v>
      </c>
      <c r="F74" s="205"/>
      <c r="G74" s="205"/>
      <c r="H74" s="205"/>
      <c r="I74" s="205"/>
      <c r="J74" s="205"/>
      <c r="K74" s="205"/>
      <c r="L74" s="205"/>
      <c r="M74" s="205"/>
      <c r="N74" s="205"/>
      <c r="O74" s="205"/>
      <c r="P74" s="205"/>
      <c r="Q74" s="205"/>
      <c r="R74" s="205">
        <f>SUM(E74:Q74)</f>
        <v>386070</v>
      </c>
      <c r="S74" s="206"/>
      <c r="T74" s="206"/>
      <c r="U74" s="201"/>
    </row>
    <row r="75" spans="1:21" s="202" customFormat="1">
      <c r="A75" s="210" t="s">
        <v>1661</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1696</v>
      </c>
      <c r="B76" s="204">
        <f>SUM(C76:D76)</f>
        <v>586070</v>
      </c>
      <c r="C76" s="204">
        <f t="shared" ref="C76:Q76" si="18">SUM(C71:C75)</f>
        <v>586070</v>
      </c>
      <c r="D76" s="204">
        <f t="shared" si="18"/>
        <v>0</v>
      </c>
      <c r="E76" s="204">
        <f>SUM(E71:E75)</f>
        <v>586070</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586070</v>
      </c>
      <c r="S76" s="206"/>
      <c r="T76" s="206"/>
      <c r="U76" s="201"/>
    </row>
    <row r="77" spans="1:21" s="202" customFormat="1" ht="11.85" customHeight="1">
      <c r="A77" s="199" t="s">
        <v>1697</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1698</v>
      </c>
      <c r="B78" s="204">
        <f>SUM(C78+D78)</f>
        <v>1545099</v>
      </c>
      <c r="C78" s="205">
        <v>1545099</v>
      </c>
      <c r="D78" s="205"/>
      <c r="E78" s="205">
        <f>B78-SUM(F78:J78)</f>
        <v>1545099</v>
      </c>
      <c r="F78" s="205"/>
      <c r="G78" s="205"/>
      <c r="H78" s="205"/>
      <c r="I78" s="205"/>
      <c r="J78" s="205"/>
      <c r="K78" s="205"/>
      <c r="L78" s="205"/>
      <c r="M78" s="205"/>
      <c r="N78" s="205"/>
      <c r="O78" s="205"/>
      <c r="P78" s="205"/>
      <c r="Q78" s="205"/>
      <c r="R78" s="205">
        <f>SUM(E78:Q78)</f>
        <v>1545099</v>
      </c>
      <c r="S78" s="205">
        <f>R78</f>
        <v>1545099</v>
      </c>
      <c r="T78" s="205"/>
      <c r="U78" s="201"/>
    </row>
    <row r="79" spans="1:21" s="202" customFormat="1">
      <c r="A79" s="203" t="s">
        <v>1699</v>
      </c>
      <c r="B79" s="204">
        <f>SUM(C79+D79)</f>
        <v>256993</v>
      </c>
      <c r="C79" s="205">
        <v>256993</v>
      </c>
      <c r="D79" s="205"/>
      <c r="E79" s="205">
        <f>B79-SUM(F79:J79)</f>
        <v>256993</v>
      </c>
      <c r="F79" s="205"/>
      <c r="G79" s="205"/>
      <c r="H79" s="205"/>
      <c r="I79" s="205"/>
      <c r="J79" s="205"/>
      <c r="K79" s="205"/>
      <c r="L79" s="205"/>
      <c r="M79" s="205"/>
      <c r="N79" s="205"/>
      <c r="O79" s="205"/>
      <c r="P79" s="205"/>
      <c r="Q79" s="205"/>
      <c r="R79" s="205">
        <f>SUM(E79:Q79)</f>
        <v>256993</v>
      </c>
      <c r="S79" s="205">
        <f>R79</f>
        <v>256993</v>
      </c>
      <c r="T79" s="205"/>
      <c r="U79" s="201"/>
    </row>
    <row r="80" spans="1:21" s="202" customFormat="1">
      <c r="A80" s="207" t="s">
        <v>1700</v>
      </c>
      <c r="B80" s="204">
        <f>SUM(C80:D80)</f>
        <v>1802092</v>
      </c>
      <c r="C80" s="568">
        <f>SUM(C78:C79)</f>
        <v>1802092</v>
      </c>
      <c r="D80" s="568">
        <f t="shared" ref="D80:R80" si="19">SUM(D78:D79)</f>
        <v>0</v>
      </c>
      <c r="E80" s="568">
        <f t="shared" si="19"/>
        <v>1802092</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1802092</v>
      </c>
      <c r="S80" s="568">
        <f>SUM(S78:S79)</f>
        <v>1802092</v>
      </c>
      <c r="T80" s="568">
        <f>SUM(T78:T79)</f>
        <v>0</v>
      </c>
      <c r="U80" s="201"/>
    </row>
    <row r="81" spans="1:21" s="202" customFormat="1">
      <c r="A81" s="199" t="s">
        <v>1701</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1702</v>
      </c>
      <c r="B82" s="204">
        <f>SUM(C82+D82)</f>
        <v>110256</v>
      </c>
      <c r="C82" s="205">
        <v>110256</v>
      </c>
      <c r="D82" s="205"/>
      <c r="E82" s="205">
        <f t="shared" ref="E82:E89" si="20">B82-SUM(F82:J82)</f>
        <v>110256</v>
      </c>
      <c r="F82" s="205"/>
      <c r="G82" s="205"/>
      <c r="H82" s="205"/>
      <c r="I82" s="205"/>
      <c r="J82" s="205"/>
      <c r="K82" s="205"/>
      <c r="L82" s="205"/>
      <c r="M82" s="205"/>
      <c r="N82" s="205"/>
      <c r="O82" s="205"/>
      <c r="P82" s="205"/>
      <c r="Q82" s="205"/>
      <c r="R82" s="205">
        <f>SUM(E82:Q82)</f>
        <v>110256</v>
      </c>
      <c r="S82" s="206"/>
      <c r="T82" s="206"/>
      <c r="U82" s="201"/>
    </row>
    <row r="83" spans="1:21" s="202" customFormat="1">
      <c r="A83" s="203" t="s">
        <v>1703</v>
      </c>
      <c r="B83" s="204">
        <f t="shared" ref="B83:B93" si="21">SUM(C83+D83)</f>
        <v>100000</v>
      </c>
      <c r="C83" s="205">
        <f>50000+50000</f>
        <v>100000</v>
      </c>
      <c r="D83" s="205"/>
      <c r="E83" s="205">
        <f t="shared" si="20"/>
        <v>100000</v>
      </c>
      <c r="F83" s="205"/>
      <c r="G83" s="205"/>
      <c r="H83" s="205"/>
      <c r="I83" s="205"/>
      <c r="J83" s="205"/>
      <c r="K83" s="205"/>
      <c r="L83" s="205"/>
      <c r="M83" s="205"/>
      <c r="N83" s="205"/>
      <c r="O83" s="205"/>
      <c r="P83" s="205"/>
      <c r="Q83" s="205"/>
      <c r="R83" s="205">
        <f t="shared" ref="R83:R93" si="22">SUM(E83:Q83)</f>
        <v>100000</v>
      </c>
      <c r="S83" s="205">
        <f>R83</f>
        <v>100000</v>
      </c>
      <c r="T83" s="205"/>
      <c r="U83" s="201"/>
    </row>
    <row r="84" spans="1:21" s="202" customFormat="1">
      <c r="A84" s="203" t="s">
        <v>1704</v>
      </c>
      <c r="B84" s="204">
        <f t="shared" si="21"/>
        <v>287925</v>
      </c>
      <c r="C84" s="205">
        <f>300000-12075</f>
        <v>287925</v>
      </c>
      <c r="D84" s="205"/>
      <c r="E84" s="205">
        <f t="shared" si="20"/>
        <v>287925</v>
      </c>
      <c r="F84" s="205"/>
      <c r="G84" s="205"/>
      <c r="H84" s="205"/>
      <c r="I84" s="205"/>
      <c r="J84" s="205"/>
      <c r="K84" s="205"/>
      <c r="L84" s="205"/>
      <c r="M84" s="205"/>
      <c r="N84" s="205"/>
      <c r="O84" s="205"/>
      <c r="P84" s="205"/>
      <c r="Q84" s="205"/>
      <c r="R84" s="205">
        <f t="shared" si="22"/>
        <v>287925</v>
      </c>
      <c r="S84" s="205">
        <f>R84</f>
        <v>287925</v>
      </c>
      <c r="T84" s="205"/>
      <c r="U84" s="201"/>
    </row>
    <row r="85" spans="1:21" s="202" customFormat="1">
      <c r="A85" s="203" t="s">
        <v>1705</v>
      </c>
      <c r="B85" s="204">
        <f t="shared" si="21"/>
        <v>312075</v>
      </c>
      <c r="C85" s="205">
        <f>300000+12075</f>
        <v>312075</v>
      </c>
      <c r="D85" s="205"/>
      <c r="E85" s="205">
        <f t="shared" si="20"/>
        <v>312075</v>
      </c>
      <c r="F85" s="205"/>
      <c r="G85" s="205"/>
      <c r="H85" s="205"/>
      <c r="I85" s="205"/>
      <c r="J85" s="205"/>
      <c r="K85" s="205"/>
      <c r="L85" s="205"/>
      <c r="M85" s="205"/>
      <c r="N85" s="205"/>
      <c r="O85" s="205"/>
      <c r="P85" s="205"/>
      <c r="Q85" s="205"/>
      <c r="R85" s="205">
        <f t="shared" si="22"/>
        <v>312075</v>
      </c>
      <c r="S85" s="205">
        <f>R85</f>
        <v>312075</v>
      </c>
      <c r="T85" s="205"/>
      <c r="U85" s="201"/>
    </row>
    <row r="86" spans="1:21" s="202" customFormat="1">
      <c r="A86" s="203" t="s">
        <v>1706</v>
      </c>
      <c r="B86" s="204">
        <f t="shared" si="21"/>
        <v>50000</v>
      </c>
      <c r="C86" s="205">
        <v>50000</v>
      </c>
      <c r="D86" s="205"/>
      <c r="E86" s="205">
        <f t="shared" si="20"/>
        <v>50000</v>
      </c>
      <c r="F86" s="205"/>
      <c r="G86" s="205"/>
      <c r="H86" s="205"/>
      <c r="I86" s="205"/>
      <c r="J86" s="205"/>
      <c r="K86" s="205"/>
      <c r="L86" s="205"/>
      <c r="M86" s="205"/>
      <c r="N86" s="205"/>
      <c r="O86" s="205"/>
      <c r="P86" s="205"/>
      <c r="Q86" s="205"/>
      <c r="R86" s="205">
        <f t="shared" si="22"/>
        <v>50000</v>
      </c>
      <c r="S86" s="205">
        <f>R86</f>
        <v>50000</v>
      </c>
      <c r="T86" s="205"/>
      <c r="U86" s="201"/>
    </row>
    <row r="87" spans="1:21" s="202" customFormat="1">
      <c r="A87" s="203" t="s">
        <v>1707</v>
      </c>
      <c r="B87" s="204">
        <f t="shared" si="21"/>
        <v>133000</v>
      </c>
      <c r="C87" s="205">
        <f>83000+50000</f>
        <v>133000</v>
      </c>
      <c r="D87" s="205"/>
      <c r="E87" s="205">
        <f t="shared" si="20"/>
        <v>133000</v>
      </c>
      <c r="F87" s="205"/>
      <c r="G87" s="205"/>
      <c r="H87" s="205"/>
      <c r="I87" s="205"/>
      <c r="J87" s="205"/>
      <c r="K87" s="205"/>
      <c r="L87" s="205"/>
      <c r="M87" s="205"/>
      <c r="N87" s="205"/>
      <c r="O87" s="205"/>
      <c r="P87" s="205"/>
      <c r="Q87" s="205"/>
      <c r="R87" s="205">
        <f t="shared" si="22"/>
        <v>133000</v>
      </c>
      <c r="S87" s="206"/>
      <c r="T87" s="206"/>
      <c r="U87" s="201"/>
    </row>
    <row r="88" spans="1:21" s="202" customFormat="1">
      <c r="A88" s="203" t="s">
        <v>1708</v>
      </c>
      <c r="B88" s="204">
        <f t="shared" si="21"/>
        <v>400000</v>
      </c>
      <c r="C88" s="205">
        <v>400000</v>
      </c>
      <c r="D88" s="205"/>
      <c r="E88" s="205">
        <f t="shared" si="20"/>
        <v>400000</v>
      </c>
      <c r="F88" s="205"/>
      <c r="G88" s="205"/>
      <c r="H88" s="205"/>
      <c r="I88" s="205"/>
      <c r="J88" s="205"/>
      <c r="K88" s="205"/>
      <c r="L88" s="205"/>
      <c r="M88" s="205"/>
      <c r="N88" s="205"/>
      <c r="O88" s="205"/>
      <c r="P88" s="205"/>
      <c r="Q88" s="205"/>
      <c r="R88" s="205">
        <f t="shared" si="22"/>
        <v>400000</v>
      </c>
      <c r="S88" s="205">
        <f>R88</f>
        <v>400000</v>
      </c>
      <c r="T88" s="205"/>
      <c r="U88" s="201"/>
    </row>
    <row r="89" spans="1:21" s="202" customFormat="1">
      <c r="A89" s="203" t="s">
        <v>1709</v>
      </c>
      <c r="B89" s="204">
        <f t="shared" si="21"/>
        <v>10000</v>
      </c>
      <c r="C89" s="205">
        <v>10000</v>
      </c>
      <c r="D89" s="205"/>
      <c r="E89" s="205">
        <f t="shared" si="20"/>
        <v>10000</v>
      </c>
      <c r="F89" s="205"/>
      <c r="G89" s="205"/>
      <c r="H89" s="205"/>
      <c r="I89" s="205"/>
      <c r="J89" s="205"/>
      <c r="K89" s="205"/>
      <c r="L89" s="205"/>
      <c r="M89" s="205"/>
      <c r="N89" s="205"/>
      <c r="O89" s="205"/>
      <c r="P89" s="205"/>
      <c r="Q89" s="205"/>
      <c r="R89" s="205">
        <f t="shared" si="22"/>
        <v>10000</v>
      </c>
      <c r="S89" s="205"/>
      <c r="T89" s="205"/>
      <c r="U89" s="201"/>
    </row>
    <row r="90" spans="1:21" s="202" customFormat="1">
      <c r="A90" s="214" t="s">
        <v>1710</v>
      </c>
      <c r="B90" s="204">
        <f t="shared" si="21"/>
        <v>0</v>
      </c>
      <c r="C90" s="205"/>
      <c r="D90" s="205"/>
      <c r="E90" s="205"/>
      <c r="F90" s="205"/>
      <c r="G90" s="205"/>
      <c r="H90" s="205"/>
      <c r="I90" s="205"/>
      <c r="J90" s="205"/>
      <c r="K90" s="205"/>
      <c r="L90" s="205"/>
      <c r="M90" s="205"/>
      <c r="N90" s="205"/>
      <c r="O90" s="205"/>
      <c r="P90" s="205"/>
      <c r="Q90" s="205"/>
      <c r="R90" s="205">
        <f t="shared" si="22"/>
        <v>0</v>
      </c>
      <c r="S90" s="205"/>
      <c r="T90" s="205"/>
      <c r="U90" s="201"/>
    </row>
    <row r="91" spans="1:21" s="202" customFormat="1">
      <c r="A91" s="214" t="s">
        <v>1711</v>
      </c>
      <c r="B91" s="204">
        <f t="shared" si="21"/>
        <v>10000</v>
      </c>
      <c r="C91" s="205">
        <v>10000</v>
      </c>
      <c r="D91" s="205"/>
      <c r="E91" s="205">
        <f>B91-SUM(F91:J91)</f>
        <v>10000</v>
      </c>
      <c r="F91" s="205"/>
      <c r="G91" s="205"/>
      <c r="H91" s="205"/>
      <c r="I91" s="205"/>
      <c r="J91" s="205"/>
      <c r="K91" s="205"/>
      <c r="L91" s="205"/>
      <c r="M91" s="205"/>
      <c r="N91" s="205"/>
      <c r="O91" s="205"/>
      <c r="P91" s="205"/>
      <c r="Q91" s="205"/>
      <c r="R91" s="205">
        <f t="shared" si="22"/>
        <v>10000</v>
      </c>
      <c r="S91" s="205">
        <f>R91</f>
        <v>10000</v>
      </c>
      <c r="T91" s="205"/>
      <c r="U91" s="201"/>
    </row>
    <row r="92" spans="1:21" s="202" customFormat="1">
      <c r="A92" s="210" t="s">
        <v>1712</v>
      </c>
      <c r="B92" s="204">
        <f t="shared" si="21"/>
        <v>50000</v>
      </c>
      <c r="C92" s="205">
        <v>50000</v>
      </c>
      <c r="D92" s="205"/>
      <c r="E92" s="205">
        <f>B92-SUM(F92:J92)</f>
        <v>50000</v>
      </c>
      <c r="F92" s="205"/>
      <c r="G92" s="205"/>
      <c r="H92" s="205"/>
      <c r="I92" s="205"/>
      <c r="J92" s="205"/>
      <c r="K92" s="205"/>
      <c r="L92" s="205"/>
      <c r="M92" s="205"/>
      <c r="N92" s="205"/>
      <c r="O92" s="205"/>
      <c r="P92" s="205"/>
      <c r="Q92" s="205"/>
      <c r="R92" s="205">
        <f t="shared" si="22"/>
        <v>50000</v>
      </c>
      <c r="S92" s="205">
        <f>R92</f>
        <v>50000</v>
      </c>
      <c r="T92" s="205"/>
      <c r="U92" s="201"/>
    </row>
    <row r="93" spans="1:21" s="202" customFormat="1">
      <c r="A93" s="210" t="s">
        <v>1713</v>
      </c>
      <c r="B93" s="204">
        <f t="shared" si="21"/>
        <v>494161</v>
      </c>
      <c r="C93" s="205">
        <f>Application!AO633</f>
        <v>494161</v>
      </c>
      <c r="D93" s="205"/>
      <c r="E93" s="205">
        <f>B93-SUM(F93:J93)</f>
        <v>0</v>
      </c>
      <c r="F93" s="205"/>
      <c r="G93" s="205"/>
      <c r="H93" s="205"/>
      <c r="I93" s="205"/>
      <c r="J93" s="205">
        <f>B93</f>
        <v>494161</v>
      </c>
      <c r="K93" s="205"/>
      <c r="L93" s="205"/>
      <c r="M93" s="205"/>
      <c r="N93" s="205"/>
      <c r="O93" s="205"/>
      <c r="P93" s="205"/>
      <c r="Q93" s="205"/>
      <c r="R93" s="205">
        <f t="shared" si="22"/>
        <v>494161</v>
      </c>
      <c r="S93" s="205">
        <f>166450+133400+19541</f>
        <v>319391</v>
      </c>
      <c r="T93" s="205"/>
      <c r="U93" s="201"/>
    </row>
    <row r="94" spans="1:21" s="202" customFormat="1">
      <c r="A94" s="210" t="s">
        <v>1661</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1714</v>
      </c>
      <c r="B95" s="204">
        <f>SUM(C95:D95)</f>
        <v>1957417</v>
      </c>
      <c r="C95" s="204">
        <f t="shared" ref="C95:R95" si="23">SUM(C82:C94)</f>
        <v>1957417</v>
      </c>
      <c r="D95" s="204">
        <f t="shared" si="23"/>
        <v>0</v>
      </c>
      <c r="E95" s="204">
        <f t="shared" si="23"/>
        <v>1463256</v>
      </c>
      <c r="F95" s="204">
        <f t="shared" si="23"/>
        <v>0</v>
      </c>
      <c r="G95" s="204">
        <f t="shared" si="23"/>
        <v>0</v>
      </c>
      <c r="H95" s="204">
        <f t="shared" si="23"/>
        <v>0</v>
      </c>
      <c r="I95" s="204">
        <f t="shared" si="23"/>
        <v>0</v>
      </c>
      <c r="J95" s="204">
        <f t="shared" si="23"/>
        <v>494161</v>
      </c>
      <c r="K95" s="204">
        <f t="shared" si="23"/>
        <v>0</v>
      </c>
      <c r="L95" s="204">
        <f t="shared" si="23"/>
        <v>0</v>
      </c>
      <c r="M95" s="204">
        <f t="shared" si="23"/>
        <v>0</v>
      </c>
      <c r="N95" s="204">
        <f t="shared" si="23"/>
        <v>0</v>
      </c>
      <c r="O95" s="204">
        <f t="shared" si="23"/>
        <v>0</v>
      </c>
      <c r="P95" s="204">
        <f t="shared" si="23"/>
        <v>0</v>
      </c>
      <c r="Q95" s="204">
        <f t="shared" si="23"/>
        <v>0</v>
      </c>
      <c r="R95" s="204">
        <f t="shared" si="23"/>
        <v>1957417</v>
      </c>
      <c r="S95" s="208">
        <f>SUM(S83:S86,S88:S94)</f>
        <v>1529391</v>
      </c>
      <c r="T95" s="204">
        <f>SUM(T83:T86,T88:T94)</f>
        <v>0</v>
      </c>
      <c r="U95" s="201"/>
    </row>
    <row r="96" spans="1:21" s="202" customFormat="1">
      <c r="A96" s="207" t="s">
        <v>1715</v>
      </c>
      <c r="B96" s="204">
        <f>SUM(C96:D96)</f>
        <v>29032201</v>
      </c>
      <c r="C96" s="204">
        <f t="shared" ref="C96:R96" si="24">SUM(C62+C69+C76+C80+C95)</f>
        <v>29032201</v>
      </c>
      <c r="D96" s="204">
        <f t="shared" si="24"/>
        <v>0</v>
      </c>
      <c r="E96" s="204">
        <f t="shared" si="24"/>
        <v>12198056</v>
      </c>
      <c r="F96" s="204">
        <f t="shared" si="24"/>
        <v>274000</v>
      </c>
      <c r="G96" s="204">
        <f t="shared" si="24"/>
        <v>848000</v>
      </c>
      <c r="H96" s="204">
        <f t="shared" si="24"/>
        <v>5700000</v>
      </c>
      <c r="I96" s="204">
        <f t="shared" si="24"/>
        <v>9517984</v>
      </c>
      <c r="J96" s="204">
        <f t="shared" si="24"/>
        <v>494161</v>
      </c>
      <c r="K96" s="204">
        <f t="shared" si="24"/>
        <v>0</v>
      </c>
      <c r="L96" s="204">
        <f t="shared" si="24"/>
        <v>0</v>
      </c>
      <c r="M96" s="204">
        <f t="shared" si="24"/>
        <v>0</v>
      </c>
      <c r="N96" s="204">
        <f t="shared" si="24"/>
        <v>0</v>
      </c>
      <c r="O96" s="204">
        <f t="shared" si="24"/>
        <v>0</v>
      </c>
      <c r="P96" s="204">
        <f t="shared" si="24"/>
        <v>0</v>
      </c>
      <c r="Q96" s="204">
        <f t="shared" si="24"/>
        <v>0</v>
      </c>
      <c r="R96" s="204">
        <f t="shared" si="24"/>
        <v>29032201</v>
      </c>
      <c r="S96" s="208">
        <f>SUM(+S62+S69+S80+S95)</f>
        <v>16759178</v>
      </c>
      <c r="T96" s="208">
        <f>SUM(T62+T69+T80+T95)</f>
        <v>0</v>
      </c>
      <c r="U96" s="201"/>
    </row>
    <row r="97" spans="1:21" s="202" customFormat="1">
      <c r="A97" s="199" t="s">
        <v>1716</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1717</v>
      </c>
      <c r="B98" s="204">
        <f>SUM(C98+D98)</f>
        <v>2513876</v>
      </c>
      <c r="C98" s="205">
        <v>2513876</v>
      </c>
      <c r="D98" s="205"/>
      <c r="E98" s="205">
        <f>B98-SUM(F98:J98)</f>
        <v>2513876</v>
      </c>
      <c r="F98" s="205"/>
      <c r="G98" s="205"/>
      <c r="H98" s="205"/>
      <c r="I98" s="205"/>
      <c r="J98" s="205"/>
      <c r="K98" s="205"/>
      <c r="L98" s="205"/>
      <c r="M98" s="205"/>
      <c r="N98" s="205"/>
      <c r="O98" s="205"/>
      <c r="P98" s="205"/>
      <c r="Q98" s="205"/>
      <c r="R98" s="205">
        <f>SUM(E98:Q98)</f>
        <v>2513876</v>
      </c>
      <c r="S98" s="205">
        <f>R98</f>
        <v>2513876</v>
      </c>
      <c r="T98" s="205"/>
      <c r="U98" s="201"/>
    </row>
    <row r="99" spans="1:21" s="202" customFormat="1">
      <c r="A99" s="203" t="s">
        <v>1718</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1719</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1720</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1661</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1721</v>
      </c>
      <c r="B103" s="204">
        <f>SUM(C103:D103)</f>
        <v>2513876</v>
      </c>
      <c r="C103" s="204">
        <f t="shared" ref="C103:T103" si="25">SUM(C98:C102)</f>
        <v>2513876</v>
      </c>
      <c r="D103" s="204">
        <f t="shared" si="25"/>
        <v>0</v>
      </c>
      <c r="E103" s="204">
        <f t="shared" si="25"/>
        <v>2513876</v>
      </c>
      <c r="F103" s="204">
        <f t="shared" si="25"/>
        <v>0</v>
      </c>
      <c r="G103" s="204">
        <f t="shared" si="25"/>
        <v>0</v>
      </c>
      <c r="H103" s="204">
        <f t="shared" si="25"/>
        <v>0</v>
      </c>
      <c r="I103" s="204">
        <f t="shared" si="25"/>
        <v>0</v>
      </c>
      <c r="J103" s="204">
        <f t="shared" si="25"/>
        <v>0</v>
      </c>
      <c r="K103" s="204">
        <f t="shared" si="25"/>
        <v>0</v>
      </c>
      <c r="L103" s="204">
        <f t="shared" si="25"/>
        <v>0</v>
      </c>
      <c r="M103" s="204">
        <f t="shared" si="25"/>
        <v>0</v>
      </c>
      <c r="N103" s="204">
        <f t="shared" si="25"/>
        <v>0</v>
      </c>
      <c r="O103" s="204">
        <f t="shared" si="25"/>
        <v>0</v>
      </c>
      <c r="P103" s="204">
        <f t="shared" si="25"/>
        <v>0</v>
      </c>
      <c r="Q103" s="204">
        <f t="shared" si="25"/>
        <v>0</v>
      </c>
      <c r="R103" s="204">
        <f t="shared" si="25"/>
        <v>2513876</v>
      </c>
      <c r="S103" s="208">
        <f t="shared" si="25"/>
        <v>2513876</v>
      </c>
      <c r="T103" s="208">
        <f t="shared" si="25"/>
        <v>0</v>
      </c>
      <c r="U103" s="201"/>
    </row>
    <row r="104" spans="1:21" s="202" customFormat="1">
      <c r="A104" s="207" t="s">
        <v>1722</v>
      </c>
      <c r="B104" s="208">
        <f>SUM(C104:D104)</f>
        <v>31546077</v>
      </c>
      <c r="C104" s="208">
        <f t="shared" ref="C104:R104" si="26">SUM(C96+C103)</f>
        <v>31546077</v>
      </c>
      <c r="D104" s="208">
        <f t="shared" si="26"/>
        <v>0</v>
      </c>
      <c r="E104" s="208">
        <f t="shared" si="26"/>
        <v>14711932</v>
      </c>
      <c r="F104" s="208">
        <f t="shared" si="26"/>
        <v>274000</v>
      </c>
      <c r="G104" s="208">
        <f t="shared" si="26"/>
        <v>848000</v>
      </c>
      <c r="H104" s="208">
        <f t="shared" si="26"/>
        <v>5700000</v>
      </c>
      <c r="I104" s="208">
        <f t="shared" si="26"/>
        <v>9517984</v>
      </c>
      <c r="J104" s="208">
        <f t="shared" si="26"/>
        <v>494161</v>
      </c>
      <c r="K104" s="208">
        <f t="shared" si="26"/>
        <v>0</v>
      </c>
      <c r="L104" s="208">
        <f t="shared" si="26"/>
        <v>0</v>
      </c>
      <c r="M104" s="208">
        <f t="shared" si="26"/>
        <v>0</v>
      </c>
      <c r="N104" s="208">
        <f t="shared" si="26"/>
        <v>0</v>
      </c>
      <c r="O104" s="208">
        <f t="shared" si="26"/>
        <v>0</v>
      </c>
      <c r="P104" s="208">
        <f t="shared" si="26"/>
        <v>0</v>
      </c>
      <c r="Q104" s="208">
        <f t="shared" si="26"/>
        <v>0</v>
      </c>
      <c r="R104" s="204">
        <f t="shared" si="26"/>
        <v>31546077</v>
      </c>
      <c r="S104" s="208">
        <f>S96+S103</f>
        <v>19273054</v>
      </c>
      <c r="T104" s="208">
        <f>T96+T103</f>
        <v>0</v>
      </c>
      <c r="U104" s="201"/>
    </row>
    <row r="105" spans="1:21" s="217" customFormat="1">
      <c r="A105" s="674" t="s">
        <v>1723</v>
      </c>
      <c r="B105" s="216"/>
      <c r="C105" s="216"/>
      <c r="D105" s="216"/>
      <c r="H105" s="218" t="s">
        <v>1724</v>
      </c>
      <c r="I105" s="218"/>
      <c r="J105" s="218"/>
      <c r="R105" s="219" t="s">
        <v>1725</v>
      </c>
      <c r="S105" s="205"/>
      <c r="T105" s="205"/>
      <c r="U105" s="220"/>
    </row>
    <row r="106" spans="1:21" s="217" customFormat="1">
      <c r="A106" s="218" t="s">
        <v>1726</v>
      </c>
      <c r="C106" s="216"/>
      <c r="D106" s="216"/>
      <c r="I106" s="221" t="s">
        <v>1727</v>
      </c>
      <c r="J106" s="221"/>
      <c r="R106" s="219" t="s">
        <v>1728</v>
      </c>
      <c r="S106" s="208">
        <f>S104+S105</f>
        <v>19273054</v>
      </c>
      <c r="T106" s="208">
        <f>T104+T105</f>
        <v>0</v>
      </c>
      <c r="U106" s="220"/>
    </row>
    <row r="107" spans="1:21" s="222" customFormat="1">
      <c r="A107" s="221" t="s">
        <v>1729</v>
      </c>
      <c r="B107" s="216"/>
      <c r="C107" s="216"/>
      <c r="D107" s="216"/>
      <c r="E107" s="204">
        <f>Application!AO642</f>
        <v>14711932</v>
      </c>
      <c r="F107" s="204">
        <f>Application!AO629</f>
        <v>274000</v>
      </c>
      <c r="G107" s="204">
        <f>Application!AO630</f>
        <v>848000</v>
      </c>
      <c r="H107" s="204">
        <f>Application!AO631</f>
        <v>5700000</v>
      </c>
      <c r="I107" s="204">
        <f>Application!AO632</f>
        <v>9517984</v>
      </c>
      <c r="J107" s="204">
        <f>Application!AO633</f>
        <v>494161</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1730</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1731</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1732</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1733</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1734</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1735</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1736</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1737</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1738</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1739</v>
      </c>
      <c r="U121" s="465"/>
    </row>
    <row r="122" spans="1:21" s="217" customFormat="1">
      <c r="A122" s="218" t="s">
        <v>1740</v>
      </c>
      <c r="D122" s="1508" t="s">
        <v>1741</v>
      </c>
      <c r="E122" s="1508"/>
      <c r="F122" s="1508"/>
      <c r="U122" s="220"/>
    </row>
    <row r="123" spans="1:21" s="217" customFormat="1">
      <c r="A123" s="217" t="s">
        <v>1742</v>
      </c>
      <c r="B123" s="459"/>
      <c r="D123" s="1510" t="s">
        <v>1743</v>
      </c>
      <c r="E123" s="1015"/>
      <c r="F123" s="1015"/>
      <c r="G123" s="1015"/>
      <c r="H123" s="1015"/>
      <c r="I123" s="1015"/>
      <c r="J123" s="1015"/>
      <c r="K123" s="1015"/>
      <c r="L123" s="1015"/>
      <c r="M123" s="1015"/>
      <c r="N123" s="1015"/>
      <c r="O123" s="1015"/>
      <c r="P123" s="1015"/>
      <c r="Q123" s="1015"/>
      <c r="R123" s="1015"/>
      <c r="S123" s="1015"/>
      <c r="U123" s="220"/>
    </row>
    <row r="124" spans="1:21" s="217" customFormat="1" ht="12.75">
      <c r="A124" s="670" t="s">
        <v>1744</v>
      </c>
      <c r="B124" s="459"/>
      <c r="C124" s="670"/>
      <c r="D124" s="1015"/>
      <c r="E124" s="1015"/>
      <c r="F124" s="1015"/>
      <c r="G124" s="1015"/>
      <c r="H124" s="1015"/>
      <c r="I124" s="1015"/>
      <c r="J124" s="1015"/>
      <c r="K124" s="1015"/>
      <c r="L124" s="1015"/>
      <c r="M124" s="1015"/>
      <c r="N124" s="1015"/>
      <c r="O124" s="1015"/>
      <c r="P124" s="1015"/>
      <c r="Q124" s="1015"/>
      <c r="R124" s="1015"/>
      <c r="S124" s="1015"/>
      <c r="U124" s="220"/>
    </row>
    <row r="125" spans="1:21" s="217" customFormat="1" ht="12.75">
      <c r="A125" s="670" t="s">
        <v>1745</v>
      </c>
      <c r="B125" s="459"/>
      <c r="C125" s="670"/>
      <c r="D125" s="1015"/>
      <c r="E125" s="1015"/>
      <c r="F125" s="1015"/>
      <c r="G125" s="1015"/>
      <c r="H125" s="1015"/>
      <c r="I125" s="1015"/>
      <c r="J125" s="1015"/>
      <c r="K125" s="1015"/>
      <c r="L125" s="1015"/>
      <c r="M125" s="1015"/>
      <c r="N125" s="1015"/>
      <c r="O125" s="1015"/>
      <c r="P125" s="1015"/>
      <c r="Q125" s="1015"/>
      <c r="R125" s="1015"/>
      <c r="S125" s="1015"/>
      <c r="U125" s="220"/>
    </row>
    <row r="126" spans="1:21" s="217" customFormat="1" ht="12.75">
      <c r="A126" s="670" t="s">
        <v>1746</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1747</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1748</v>
      </c>
      <c r="B128" s="459"/>
      <c r="C128" s="670"/>
      <c r="D128" s="1505"/>
      <c r="E128" s="1505"/>
      <c r="F128" s="1505"/>
      <c r="G128" s="1505"/>
      <c r="H128" s="1505"/>
      <c r="I128" s="670"/>
      <c r="J128" s="1506"/>
      <c r="K128" s="1506"/>
      <c r="L128" s="670"/>
      <c r="M128" s="670"/>
      <c r="N128" s="670"/>
      <c r="O128" s="670"/>
      <c r="P128" s="670"/>
      <c r="Q128" s="670"/>
      <c r="R128" s="670"/>
      <c r="S128" s="670"/>
      <c r="U128" s="220"/>
    </row>
    <row r="129" spans="1:21" s="217" customFormat="1" ht="12.75">
      <c r="A129" s="670" t="s">
        <v>229</v>
      </c>
      <c r="B129" s="459"/>
      <c r="C129" s="670"/>
      <c r="D129" s="1507" t="s">
        <v>1749</v>
      </c>
      <c r="E129" s="1507"/>
      <c r="F129" s="1507"/>
      <c r="G129" s="1507"/>
      <c r="H129" s="1507"/>
      <c r="I129" s="670"/>
      <c r="J129" s="670" t="s">
        <v>1750</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1751</v>
      </c>
      <c r="B131" s="460">
        <f>SUM(B123:B129)</f>
        <v>0</v>
      </c>
      <c r="C131" s="670"/>
      <c r="D131" s="1122"/>
      <c r="E131" s="1122"/>
      <c r="F131" s="1122"/>
      <c r="G131" s="1122"/>
      <c r="H131" s="1122"/>
      <c r="I131" s="670"/>
      <c r="J131" s="1122"/>
      <c r="K131" s="1122"/>
      <c r="L131" s="1122"/>
      <c r="M131" s="1122"/>
      <c r="N131" s="670"/>
      <c r="O131" s="670"/>
      <c r="P131" s="670"/>
      <c r="Q131" s="670"/>
      <c r="R131" s="670"/>
      <c r="S131" s="670"/>
      <c r="U131" s="220"/>
    </row>
    <row r="132" spans="1:21" s="217" customFormat="1" ht="12.75">
      <c r="A132" s="911"/>
      <c r="B132" s="670"/>
      <c r="C132" s="670"/>
      <c r="D132" s="945" t="s">
        <v>1752</v>
      </c>
      <c r="E132" s="945"/>
      <c r="F132" s="945"/>
      <c r="G132" s="945"/>
      <c r="H132" s="945"/>
      <c r="I132" s="670"/>
      <c r="J132" s="945" t="s">
        <v>1753</v>
      </c>
      <c r="K132" s="945"/>
      <c r="L132" s="945"/>
      <c r="M132" s="945"/>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1754</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1755</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1"/>
      <c r="B138" s="1505"/>
      <c r="C138" s="1505"/>
      <c r="D138" s="288"/>
      <c r="E138" s="1506"/>
      <c r="F138" s="1506"/>
      <c r="G138" s="670"/>
      <c r="H138" s="670"/>
      <c r="I138" s="670"/>
      <c r="J138" s="670"/>
      <c r="K138" s="670"/>
      <c r="L138" s="670"/>
      <c r="M138" s="670"/>
      <c r="N138" s="670"/>
      <c r="O138" s="670"/>
      <c r="P138" s="670"/>
      <c r="Q138" s="670"/>
      <c r="R138" s="670"/>
      <c r="S138" s="670"/>
    </row>
    <row r="139" spans="1:21" ht="12" customHeight="1">
      <c r="A139" s="1509" t="s">
        <v>1756</v>
      </c>
      <c r="B139" s="1509"/>
      <c r="C139" s="1509"/>
      <c r="D139" s="288"/>
      <c r="E139" s="670" t="s">
        <v>1750</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30" t="s">
        <v>1757</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row>
    <row r="2" spans="1:40" ht="12.95"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t="s">
        <v>1758</v>
      </c>
    </row>
    <row r="7" spans="1:40" ht="12.95" customHeight="1">
      <c r="B7" s="6"/>
      <c r="C7" s="7"/>
      <c r="D7" s="7"/>
      <c r="E7" s="7"/>
      <c r="F7" s="7"/>
      <c r="G7" s="7"/>
      <c r="H7" s="7"/>
      <c r="I7" s="7"/>
      <c r="J7" s="7"/>
      <c r="K7" s="7"/>
      <c r="L7" s="7"/>
      <c r="M7" s="7"/>
      <c r="N7" s="7"/>
      <c r="O7" s="7"/>
      <c r="P7" s="7"/>
      <c r="Q7" s="7"/>
      <c r="R7" s="7"/>
      <c r="S7" s="7"/>
      <c r="T7" s="1519" t="str">
        <f>IF(T25=100%,'Sources and Basis Breakdown'!G2,'Sources and Basis Breakdown'!F2)</f>
        <v>70% PVC for New Const/
Rehabilitation
DDA/QCT
Building(s)</v>
      </c>
      <c r="U7" s="1519"/>
      <c r="V7" s="1519"/>
      <c r="W7" s="1519"/>
      <c r="X7" s="1519"/>
      <c r="Y7" s="1519" t="str">
        <f>IF(T25=100%,"",'Sources and Basis Breakdown'!G2)</f>
        <v>70% PVC for New Const/
Rehabilitation
NON-DDA/
NON-QCT Building(s)</v>
      </c>
      <c r="Z7" s="1519"/>
      <c r="AA7" s="1519"/>
      <c r="AB7" s="1519"/>
      <c r="AC7" s="1519"/>
      <c r="AD7" s="1519" t="str">
        <f>IF(T25=100%,'Sources and Basis Breakdown'!J2,'Sources and Basis Breakdown'!I2)</f>
        <v>30% PVC for Acquisition
DDA/QCT Building(s)</v>
      </c>
      <c r="AE7" s="1519"/>
      <c r="AF7" s="1519"/>
      <c r="AG7" s="1519"/>
      <c r="AH7" s="1519"/>
      <c r="AI7" s="1519" t="str">
        <f>IF(T25=100%,"",'Sources and Basis Breakdown'!J2)</f>
        <v>30% PVC for Acquisition
NON-DDA/
NON-QCT Building(s)</v>
      </c>
      <c r="AJ7" s="1519"/>
      <c r="AK7" s="1519"/>
      <c r="AL7" s="1519"/>
      <c r="AM7" s="1519"/>
    </row>
    <row r="8" spans="1:40" ht="12.95" customHeight="1">
      <c r="B8" s="173"/>
      <c r="T8" s="1519"/>
      <c r="U8" s="1519"/>
      <c r="V8" s="1519"/>
      <c r="W8" s="1519"/>
      <c r="X8" s="1519"/>
      <c r="Y8" s="1519"/>
      <c r="Z8" s="1519"/>
      <c r="AA8" s="1519"/>
      <c r="AB8" s="1519"/>
      <c r="AC8" s="1519"/>
      <c r="AD8" s="1519"/>
      <c r="AE8" s="1519"/>
      <c r="AF8" s="1519"/>
      <c r="AG8" s="1519"/>
      <c r="AH8" s="1519"/>
      <c r="AI8" s="1519"/>
      <c r="AJ8" s="1519"/>
      <c r="AK8" s="1519"/>
      <c r="AL8" s="1519"/>
      <c r="AM8" s="1519"/>
    </row>
    <row r="9" spans="1:40" ht="12.95" customHeight="1">
      <c r="B9" s="173"/>
      <c r="T9" s="1519"/>
      <c r="U9" s="1519"/>
      <c r="V9" s="1519"/>
      <c r="W9" s="1519"/>
      <c r="X9" s="1519"/>
      <c r="Y9" s="1519"/>
      <c r="Z9" s="1519"/>
      <c r="AA9" s="1519"/>
      <c r="AB9" s="1519"/>
      <c r="AC9" s="1519"/>
      <c r="AD9" s="1519"/>
      <c r="AE9" s="1519"/>
      <c r="AF9" s="1519"/>
      <c r="AG9" s="1519"/>
      <c r="AH9" s="1519"/>
      <c r="AI9" s="1519"/>
      <c r="AJ9" s="1519"/>
      <c r="AK9" s="1519"/>
      <c r="AL9" s="1519"/>
      <c r="AM9" s="1519"/>
    </row>
    <row r="10" spans="1:40" ht="12.95" customHeight="1">
      <c r="B10" s="46"/>
      <c r="C10" s="47"/>
      <c r="D10" s="47"/>
      <c r="E10" s="47"/>
      <c r="F10" s="47"/>
      <c r="G10" s="47"/>
      <c r="H10" s="47"/>
      <c r="I10" s="47"/>
      <c r="J10" s="47"/>
      <c r="K10" s="47"/>
      <c r="L10" s="47"/>
      <c r="M10" s="47"/>
      <c r="N10" s="47"/>
      <c r="O10" s="47"/>
      <c r="P10" s="47"/>
      <c r="Q10" s="47"/>
      <c r="R10" s="47"/>
      <c r="S10" s="47"/>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2.95" customHeight="1">
      <c r="B11" s="1077" t="s">
        <v>1759</v>
      </c>
      <c r="C11" s="1078"/>
      <c r="D11" s="1078"/>
      <c r="E11" s="1078"/>
      <c r="F11" s="1078"/>
      <c r="G11" s="1078"/>
      <c r="H11" s="1078"/>
      <c r="I11" s="1078"/>
      <c r="J11" s="1078"/>
      <c r="K11" s="1078"/>
      <c r="L11" s="1078"/>
      <c r="M11" s="1078"/>
      <c r="N11" s="1078"/>
      <c r="O11" s="1078"/>
      <c r="P11" s="1078"/>
      <c r="Q11" s="1078"/>
      <c r="R11" s="1078"/>
      <c r="S11" s="1080"/>
      <c r="T11" s="1544">
        <f>IF('Sources and Basis Breakdown'!F105=0,'Sources and Basis Breakdown'!E105,'Sources and Basis Breakdown'!F105)</f>
        <v>19273054</v>
      </c>
      <c r="U11" s="1535"/>
      <c r="V11" s="1535"/>
      <c r="W11" s="1535"/>
      <c r="X11" s="1535"/>
      <c r="Y11" s="1534">
        <f>IF(Y7="",0,IF('Sources and Basis Breakdown'!G105+'Sources and Basis Breakdown'!F105='Sources and Basis Breakdown'!E105,'Sources and Basis Breakdown'!G105,0))</f>
        <v>0</v>
      </c>
      <c r="Z11" s="1535"/>
      <c r="AA11" s="1535"/>
      <c r="AB11" s="1535"/>
      <c r="AC11" s="1535"/>
      <c r="AD11" s="1535">
        <f>IF('Sources and Basis Breakdown'!I105=0,'Sources and Basis Breakdown'!H105,'Sources and Basis Breakdown'!I105)</f>
        <v>0</v>
      </c>
      <c r="AE11" s="1535"/>
      <c r="AF11" s="1535"/>
      <c r="AG11" s="1535"/>
      <c r="AH11" s="1535"/>
      <c r="AI11" s="1535">
        <f>IF(AI7="",0,IF('Sources and Basis Breakdown'!I105+'Sources and Basis Breakdown'!J105='Sources and Basis Breakdown'!H105,'Sources and Basis Breakdown'!J105,0))</f>
        <v>0</v>
      </c>
      <c r="AJ11" s="1535"/>
      <c r="AK11" s="1535"/>
      <c r="AL11" s="1535"/>
      <c r="AM11" s="1535"/>
    </row>
    <row r="12" spans="1:40" ht="12.95" customHeight="1">
      <c r="B12" s="1540" t="s">
        <v>1760</v>
      </c>
      <c r="C12" s="967"/>
      <c r="D12" s="967"/>
      <c r="E12" s="967"/>
      <c r="F12" s="967"/>
      <c r="G12" s="967"/>
      <c r="H12" s="967"/>
      <c r="I12" s="967"/>
      <c r="J12" s="967"/>
      <c r="K12" s="967"/>
      <c r="L12" s="967"/>
      <c r="M12" s="967"/>
      <c r="N12" s="967"/>
      <c r="O12" s="967"/>
      <c r="P12" s="967"/>
      <c r="Q12" s="967"/>
      <c r="R12" s="967"/>
      <c r="S12" s="154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2.95" customHeight="1">
      <c r="B13" s="8"/>
      <c r="C13" s="1542" t="s">
        <v>1761</v>
      </c>
      <c r="D13" s="1542"/>
      <c r="E13" s="1542"/>
      <c r="F13" s="1542"/>
      <c r="G13" s="1542"/>
      <c r="H13" s="1542"/>
      <c r="I13" s="1542"/>
      <c r="J13" s="1542"/>
      <c r="K13" s="1542"/>
      <c r="L13" s="1542"/>
      <c r="M13" s="1542"/>
      <c r="N13" s="1542"/>
      <c r="O13" s="1542"/>
      <c r="P13" s="1542"/>
      <c r="Q13" s="1542"/>
      <c r="R13" s="1542"/>
      <c r="S13" s="1543"/>
      <c r="T13" s="1536"/>
      <c r="U13" s="1533"/>
      <c r="V13" s="1533"/>
      <c r="W13" s="1533"/>
      <c r="X13" s="1533"/>
      <c r="Y13" s="1536"/>
      <c r="Z13" s="1533"/>
      <c r="AA13" s="1533"/>
      <c r="AB13" s="1533"/>
      <c r="AC13" s="1533"/>
      <c r="AD13" s="1533"/>
      <c r="AE13" s="1533"/>
      <c r="AF13" s="1533"/>
      <c r="AG13" s="1533"/>
      <c r="AH13" s="1533"/>
      <c r="AI13" s="1533"/>
      <c r="AJ13" s="1533"/>
      <c r="AK13" s="1533"/>
      <c r="AL13" s="1533"/>
      <c r="AM13" s="1533"/>
    </row>
    <row r="14" spans="1:40" ht="12.95" customHeight="1">
      <c r="B14" s="8"/>
      <c r="C14" s="1542" t="s">
        <v>1762</v>
      </c>
      <c r="D14" s="1542"/>
      <c r="E14" s="1542"/>
      <c r="F14" s="1542"/>
      <c r="G14" s="1542"/>
      <c r="H14" s="1542"/>
      <c r="I14" s="1542"/>
      <c r="J14" s="1542"/>
      <c r="K14" s="1542"/>
      <c r="L14" s="1542"/>
      <c r="M14" s="1542"/>
      <c r="N14" s="1542"/>
      <c r="O14" s="1542"/>
      <c r="P14" s="1542"/>
      <c r="Q14" s="1542"/>
      <c r="R14" s="1542"/>
      <c r="S14" s="1543"/>
      <c r="T14" s="1137"/>
      <c r="U14" s="1151"/>
      <c r="V14" s="1151"/>
      <c r="W14" s="1151"/>
      <c r="X14" s="1151"/>
      <c r="Y14" s="1137"/>
      <c r="Z14" s="1151"/>
      <c r="AA14" s="1151"/>
      <c r="AB14" s="1151"/>
      <c r="AC14" s="1151"/>
      <c r="AD14" s="1151"/>
      <c r="AE14" s="1151"/>
      <c r="AF14" s="1151"/>
      <c r="AG14" s="1151"/>
      <c r="AH14" s="1151"/>
      <c r="AI14" s="1151"/>
      <c r="AJ14" s="1151"/>
      <c r="AK14" s="1151"/>
      <c r="AL14" s="1151"/>
      <c r="AM14" s="1151"/>
    </row>
    <row r="15" spans="1:40" ht="12.95" customHeight="1">
      <c r="B15" s="8"/>
      <c r="C15" s="1542" t="s">
        <v>1763</v>
      </c>
      <c r="D15" s="1542"/>
      <c r="E15" s="1542"/>
      <c r="F15" s="1542"/>
      <c r="G15" s="1542"/>
      <c r="H15" s="1542"/>
      <c r="I15" s="1542"/>
      <c r="J15" s="1542"/>
      <c r="K15" s="1542"/>
      <c r="L15" s="1542"/>
      <c r="M15" s="1542"/>
      <c r="N15" s="1542"/>
      <c r="O15" s="1542"/>
      <c r="P15" s="1542"/>
      <c r="Q15" s="1542"/>
      <c r="R15" s="1542"/>
      <c r="S15" s="1543"/>
      <c r="T15" s="1137"/>
      <c r="U15" s="1151"/>
      <c r="V15" s="1151"/>
      <c r="W15" s="1151"/>
      <c r="X15" s="1151"/>
      <c r="Y15" s="1137"/>
      <c r="Z15" s="1151"/>
      <c r="AA15" s="1151"/>
      <c r="AB15" s="1151"/>
      <c r="AC15" s="1151"/>
      <c r="AD15" s="1151"/>
      <c r="AE15" s="1151"/>
      <c r="AF15" s="1151"/>
      <c r="AG15" s="1151"/>
      <c r="AH15" s="1151"/>
      <c r="AI15" s="1151"/>
      <c r="AJ15" s="1151"/>
      <c r="AK15" s="1151"/>
      <c r="AL15" s="1151"/>
      <c r="AM15" s="1151"/>
    </row>
    <row r="16" spans="1:40" ht="12.95" customHeight="1">
      <c r="B16" s="8"/>
      <c r="C16" s="1542" t="s">
        <v>1764</v>
      </c>
      <c r="D16" s="1542"/>
      <c r="E16" s="1542"/>
      <c r="F16" s="1542"/>
      <c r="G16" s="1542"/>
      <c r="H16" s="1542"/>
      <c r="I16" s="1542"/>
      <c r="J16" s="1542"/>
      <c r="K16" s="1542"/>
      <c r="L16" s="1542"/>
      <c r="M16" s="1542"/>
      <c r="N16" s="1542"/>
      <c r="O16" s="1542"/>
      <c r="P16" s="1542"/>
      <c r="Q16" s="1542"/>
      <c r="R16" s="1542"/>
      <c r="S16" s="1543"/>
      <c r="T16" s="1137"/>
      <c r="U16" s="1151"/>
      <c r="V16" s="1151"/>
      <c r="W16" s="1151"/>
      <c r="X16" s="1151"/>
      <c r="Y16" s="1137"/>
      <c r="Z16" s="1151"/>
      <c r="AA16" s="1151"/>
      <c r="AB16" s="1151"/>
      <c r="AC16" s="1151"/>
      <c r="AD16" s="1151"/>
      <c r="AE16" s="1151"/>
      <c r="AF16" s="1151"/>
      <c r="AG16" s="1151"/>
      <c r="AH16" s="1151"/>
      <c r="AI16" s="1151"/>
      <c r="AJ16" s="1151"/>
      <c r="AK16" s="1151"/>
      <c r="AL16" s="1151"/>
      <c r="AM16" s="1151"/>
    </row>
    <row r="17" spans="1:39" ht="12.95" customHeight="1">
      <c r="B17" s="8"/>
      <c r="C17" s="1542" t="s">
        <v>1765</v>
      </c>
      <c r="D17" s="1542"/>
      <c r="E17" s="1542"/>
      <c r="F17" s="1542"/>
      <c r="G17" s="1542"/>
      <c r="H17" s="1542"/>
      <c r="I17" s="1542"/>
      <c r="J17" s="1542"/>
      <c r="K17" s="1542"/>
      <c r="L17" s="1542"/>
      <c r="M17" s="1542"/>
      <c r="N17" s="1542"/>
      <c r="O17" s="1542"/>
      <c r="P17" s="1542"/>
      <c r="Q17" s="1542"/>
      <c r="R17" s="1542"/>
      <c r="S17" s="1543"/>
      <c r="T17" s="1137"/>
      <c r="U17" s="1151"/>
      <c r="V17" s="1151"/>
      <c r="W17" s="1151"/>
      <c r="X17" s="1151"/>
      <c r="Y17" s="1137"/>
      <c r="Z17" s="1151"/>
      <c r="AA17" s="1151"/>
      <c r="AB17" s="1151"/>
      <c r="AC17" s="1151"/>
      <c r="AD17" s="1151"/>
      <c r="AE17" s="1151"/>
      <c r="AF17" s="1151"/>
      <c r="AG17" s="1151"/>
      <c r="AH17" s="1151"/>
      <c r="AI17" s="1151"/>
      <c r="AJ17" s="1151"/>
      <c r="AK17" s="1151"/>
      <c r="AL17" s="1151"/>
      <c r="AM17" s="1151"/>
    </row>
    <row r="18" spans="1:39" ht="12.95" customHeight="1">
      <c r="B18" s="829"/>
      <c r="C18" s="1330" t="s">
        <v>1766</v>
      </c>
      <c r="D18" s="1330"/>
      <c r="E18" s="1330"/>
      <c r="F18" s="1330"/>
      <c r="G18" s="1330"/>
      <c r="H18" s="1330"/>
      <c r="I18" s="1330"/>
      <c r="J18" s="1330"/>
      <c r="K18" s="1330"/>
      <c r="L18" s="1330"/>
      <c r="M18" s="1330"/>
      <c r="N18" s="1330"/>
      <c r="O18" s="1330"/>
      <c r="P18" s="1330"/>
      <c r="Q18" s="1330"/>
      <c r="R18" s="1330"/>
      <c r="S18" s="1331"/>
      <c r="T18" s="1135"/>
      <c r="U18" s="1136"/>
      <c r="V18" s="1136"/>
      <c r="W18" s="1136"/>
      <c r="X18" s="1137"/>
      <c r="Y18" s="1137"/>
      <c r="Z18" s="1151"/>
      <c r="AA18" s="1151"/>
      <c r="AB18" s="1151"/>
      <c r="AC18" s="1151"/>
      <c r="AD18" s="1151"/>
      <c r="AE18" s="1151"/>
      <c r="AF18" s="1151"/>
      <c r="AG18" s="1151"/>
      <c r="AH18" s="1151"/>
      <c r="AI18" s="1151"/>
      <c r="AJ18" s="1151"/>
      <c r="AK18" s="1151"/>
      <c r="AL18" s="1151"/>
      <c r="AM18" s="1151"/>
    </row>
    <row r="19" spans="1:39" ht="12.95" customHeight="1">
      <c r="B19" s="398"/>
      <c r="C19" s="1330" t="s">
        <v>1766</v>
      </c>
      <c r="D19" s="1330"/>
      <c r="E19" s="1330"/>
      <c r="F19" s="1330"/>
      <c r="G19" s="1330"/>
      <c r="H19" s="1330"/>
      <c r="I19" s="1330"/>
      <c r="J19" s="1330"/>
      <c r="K19" s="1330"/>
      <c r="L19" s="1330"/>
      <c r="M19" s="1330"/>
      <c r="N19" s="1330"/>
      <c r="O19" s="1330"/>
      <c r="P19" s="1330"/>
      <c r="Q19" s="1330"/>
      <c r="R19" s="1330"/>
      <c r="S19" s="1331"/>
      <c r="T19" s="1137"/>
      <c r="U19" s="1151"/>
      <c r="V19" s="1151"/>
      <c r="W19" s="1151"/>
      <c r="X19" s="1151"/>
      <c r="Y19" s="1137"/>
      <c r="Z19" s="1151"/>
      <c r="AA19" s="1151"/>
      <c r="AB19" s="1151"/>
      <c r="AC19" s="1151"/>
      <c r="AD19" s="1151"/>
      <c r="AE19" s="1151"/>
      <c r="AF19" s="1151"/>
      <c r="AG19" s="1151"/>
      <c r="AH19" s="1151"/>
      <c r="AI19" s="1151"/>
      <c r="AJ19" s="1151"/>
      <c r="AK19" s="1151"/>
      <c r="AL19" s="1151"/>
      <c r="AM19" s="1151"/>
    </row>
    <row r="20" spans="1:39" ht="12.95" customHeight="1">
      <c r="B20" s="1077" t="s">
        <v>1767</v>
      </c>
      <c r="C20" s="1078"/>
      <c r="D20" s="1078"/>
      <c r="E20" s="1078"/>
      <c r="F20" s="1078"/>
      <c r="G20" s="1078"/>
      <c r="H20" s="1078"/>
      <c r="I20" s="1078"/>
      <c r="J20" s="1078"/>
      <c r="K20" s="1078"/>
      <c r="L20" s="1078"/>
      <c r="M20" s="1078"/>
      <c r="N20" s="1078"/>
      <c r="O20" s="1078"/>
      <c r="P20" s="1078"/>
      <c r="Q20" s="1078"/>
      <c r="R20" s="1078"/>
      <c r="S20" s="1080"/>
      <c r="T20" s="1516">
        <f>SUM(T13:X19)</f>
        <v>0</v>
      </c>
      <c r="U20" s="1181"/>
      <c r="V20" s="1181"/>
      <c r="W20" s="1181"/>
      <c r="X20" s="1181"/>
      <c r="Y20" s="1516">
        <f>SUM(Y13:AC19)</f>
        <v>0</v>
      </c>
      <c r="Z20" s="1181"/>
      <c r="AA20" s="1181"/>
      <c r="AB20" s="1181"/>
      <c r="AC20" s="1181"/>
      <c r="AD20" s="1181">
        <f>SUM(AD13:AH19)</f>
        <v>0</v>
      </c>
      <c r="AE20" s="1181"/>
      <c r="AF20" s="1181"/>
      <c r="AG20" s="1181"/>
      <c r="AH20" s="1181"/>
      <c r="AI20" s="1181">
        <f>SUM(AI13:AM19)</f>
        <v>0</v>
      </c>
      <c r="AJ20" s="1181"/>
      <c r="AK20" s="1181"/>
      <c r="AL20" s="1181"/>
      <c r="AM20" s="1181"/>
    </row>
    <row r="21" spans="1:39" ht="12.95" customHeight="1">
      <c r="B21" s="1077" t="s">
        <v>1768</v>
      </c>
      <c r="C21" s="1078"/>
      <c r="D21" s="1078"/>
      <c r="E21" s="1078"/>
      <c r="F21" s="1078"/>
      <c r="G21" s="1078"/>
      <c r="H21" s="1078"/>
      <c r="I21" s="1078"/>
      <c r="J21" s="1078"/>
      <c r="K21" s="1078"/>
      <c r="L21" s="1078"/>
      <c r="M21" s="1078"/>
      <c r="N21" s="1078"/>
      <c r="O21" s="1078"/>
      <c r="P21" s="1078"/>
      <c r="Q21" s="1078"/>
      <c r="R21" s="1078"/>
      <c r="S21" s="1080"/>
      <c r="T21" s="1137">
        <v>4773804</v>
      </c>
      <c r="U21" s="1151"/>
      <c r="V21" s="1151"/>
      <c r="W21" s="1151"/>
      <c r="X21" s="1151"/>
      <c r="Y21" s="1137"/>
      <c r="Z21" s="1151"/>
      <c r="AA21" s="1151"/>
      <c r="AB21" s="1151"/>
      <c r="AC21" s="1151"/>
      <c r="AD21" s="1137"/>
      <c r="AE21" s="1151"/>
      <c r="AF21" s="1151"/>
      <c r="AG21" s="1151"/>
      <c r="AH21" s="1151"/>
      <c r="AI21" s="1137"/>
      <c r="AJ21" s="1151"/>
      <c r="AK21" s="1151"/>
      <c r="AL21" s="1151"/>
      <c r="AM21" s="1151"/>
    </row>
    <row r="22" spans="1:39" ht="12.95" customHeight="1">
      <c r="B22" s="1077" t="s">
        <v>1769</v>
      </c>
      <c r="C22" s="1078"/>
      <c r="D22" s="1078"/>
      <c r="E22" s="1078"/>
      <c r="F22" s="1078"/>
      <c r="G22" s="1078"/>
      <c r="H22" s="1078"/>
      <c r="I22" s="1078"/>
      <c r="J22" s="1078"/>
      <c r="K22" s="1078"/>
      <c r="L22" s="1078"/>
      <c r="M22" s="1078"/>
      <c r="N22" s="1078"/>
      <c r="O22" s="1078"/>
      <c r="P22" s="1078"/>
      <c r="Q22" s="1078"/>
      <c r="R22" s="1078"/>
      <c r="S22" s="1080"/>
      <c r="T22" s="1545">
        <f>(ABS(T20)+ABS(T21))*-1</f>
        <v>-4773804</v>
      </c>
      <c r="U22" s="1546"/>
      <c r="V22" s="1546"/>
      <c r="W22" s="1546"/>
      <c r="X22" s="1546"/>
      <c r="Y22" s="1545">
        <f>(ABS(Y20)+ABS(Y21))*-1</f>
        <v>0</v>
      </c>
      <c r="Z22" s="1546"/>
      <c r="AA22" s="1546"/>
      <c r="AB22" s="1546"/>
      <c r="AC22" s="1546"/>
      <c r="AD22" s="1545">
        <f>(ABS(AD20)+ABS(AD21))*-1</f>
        <v>0</v>
      </c>
      <c r="AE22" s="1546"/>
      <c r="AF22" s="1546"/>
      <c r="AG22" s="1546"/>
      <c r="AH22" s="1546"/>
      <c r="AI22" s="1545">
        <f>(ABS(AI20)+ABS(AI21))*-1</f>
        <v>0</v>
      </c>
      <c r="AJ22" s="1546"/>
      <c r="AK22" s="1546"/>
      <c r="AL22" s="1546"/>
      <c r="AM22" s="1546"/>
    </row>
    <row r="23" spans="1:39" ht="12.95" customHeight="1">
      <c r="B23" s="1077" t="s">
        <v>1770</v>
      </c>
      <c r="C23" s="1078"/>
      <c r="D23" s="1078"/>
      <c r="E23" s="1078"/>
      <c r="F23" s="1078"/>
      <c r="G23" s="1078"/>
      <c r="H23" s="1078"/>
      <c r="I23" s="1078"/>
      <c r="J23" s="1078"/>
      <c r="K23" s="1078"/>
      <c r="L23" s="1078"/>
      <c r="M23" s="1078"/>
      <c r="N23" s="1078"/>
      <c r="O23" s="1078"/>
      <c r="P23" s="1078"/>
      <c r="Q23" s="1078"/>
      <c r="R23" s="1078"/>
      <c r="S23" s="1080"/>
      <c r="T23" s="1516">
        <f>T11+T22</f>
        <v>14499250</v>
      </c>
      <c r="U23" s="1181"/>
      <c r="V23" s="1181"/>
      <c r="W23" s="1181"/>
      <c r="X23" s="1181"/>
      <c r="Y23" s="1516">
        <f>Y11+Y22</f>
        <v>0</v>
      </c>
      <c r="Z23" s="1181"/>
      <c r="AA23" s="1181"/>
      <c r="AB23" s="1181"/>
      <c r="AC23" s="1181"/>
      <c r="AD23" s="1516">
        <f>IF(AD11=AD21,0,AD11)</f>
        <v>0</v>
      </c>
      <c r="AE23" s="1181"/>
      <c r="AF23" s="1181"/>
      <c r="AG23" s="1181"/>
      <c r="AH23" s="1181"/>
      <c r="AI23" s="1516">
        <f>IF(AI11=AI21,0,AI11)</f>
        <v>0</v>
      </c>
      <c r="AJ23" s="1181"/>
      <c r="AK23" s="1181"/>
      <c r="AL23" s="1181"/>
      <c r="AM23" s="1181"/>
    </row>
    <row r="24" spans="1:39" ht="12.95" customHeight="1">
      <c r="B24" s="1077" t="s">
        <v>1771</v>
      </c>
      <c r="C24" s="1078"/>
      <c r="D24" s="1078"/>
      <c r="E24" s="1078"/>
      <c r="F24" s="1078"/>
      <c r="G24" s="1078"/>
      <c r="H24" s="1078"/>
      <c r="I24" s="1078"/>
      <c r="J24" s="1078"/>
      <c r="K24" s="1078"/>
      <c r="L24" s="1078"/>
      <c r="M24" s="1078"/>
      <c r="N24" s="1078"/>
      <c r="O24" s="1078"/>
      <c r="P24" s="1078"/>
      <c r="Q24" s="1078"/>
      <c r="R24" s="1078"/>
      <c r="S24" s="1080"/>
      <c r="T24" s="1517">
        <f>Application!AJ1029</f>
        <v>44403661</v>
      </c>
      <c r="U24" s="1518"/>
      <c r="V24" s="1518"/>
      <c r="W24" s="1518"/>
      <c r="X24" s="1518"/>
      <c r="Y24" s="1518"/>
      <c r="Z24" s="1518"/>
      <c r="AA24" s="1518"/>
      <c r="AB24" s="1518"/>
      <c r="AC24" s="1518"/>
      <c r="AD24" s="1518"/>
      <c r="AE24" s="1518"/>
      <c r="AF24" s="1518"/>
      <c r="AG24" s="1518"/>
      <c r="AH24" s="1518"/>
      <c r="AI24" s="1518"/>
      <c r="AJ24" s="1518"/>
      <c r="AK24" s="1518"/>
      <c r="AL24" s="1518"/>
      <c r="AM24" s="1516"/>
    </row>
    <row r="25" spans="1:39" ht="12.95" customHeight="1">
      <c r="B25" s="1552" t="s">
        <v>1772</v>
      </c>
      <c r="C25" s="1553"/>
      <c r="D25" s="1553"/>
      <c r="E25" s="1553"/>
      <c r="F25" s="1553"/>
      <c r="G25" s="1553"/>
      <c r="H25" s="1553"/>
      <c r="I25" s="1553"/>
      <c r="J25" s="1553"/>
      <c r="K25" s="1553"/>
      <c r="L25" s="1553"/>
      <c r="M25" s="1553"/>
      <c r="N25" s="1553"/>
      <c r="O25" s="1553"/>
      <c r="P25" s="1553"/>
      <c r="Q25" s="1553"/>
      <c r="R25" s="1553"/>
      <c r="S25" s="1554"/>
      <c r="T25" s="1547">
        <f>IF(OR(AND(Application!T193="no",Application!T194="no",Application!T196="no",Application!Y211="no"),Application!T195="yes"),1,1.3)</f>
        <v>1.3</v>
      </c>
      <c r="U25" s="1548"/>
      <c r="V25" s="1548"/>
      <c r="W25" s="1548"/>
      <c r="X25" s="1548"/>
      <c r="Y25" s="1547">
        <v>1</v>
      </c>
      <c r="Z25" s="1548"/>
      <c r="AA25" s="1548"/>
      <c r="AB25" s="1548"/>
      <c r="AC25" s="1551"/>
      <c r="AD25" s="1547">
        <v>1</v>
      </c>
      <c r="AE25" s="1548"/>
      <c r="AF25" s="1548"/>
      <c r="AG25" s="1548"/>
      <c r="AH25" s="1551"/>
      <c r="AI25" s="1547">
        <v>1</v>
      </c>
      <c r="AJ25" s="1548"/>
      <c r="AK25" s="1548"/>
      <c r="AL25" s="1548"/>
      <c r="AM25" s="1551"/>
    </row>
    <row r="26" spans="1:39" ht="12.95" customHeight="1">
      <c r="B26" s="1077" t="s">
        <v>1773</v>
      </c>
      <c r="C26" s="1078"/>
      <c r="D26" s="1078"/>
      <c r="E26" s="1078"/>
      <c r="F26" s="1078"/>
      <c r="G26" s="1078"/>
      <c r="H26" s="1078"/>
      <c r="I26" s="1078"/>
      <c r="J26" s="1078"/>
      <c r="K26" s="1078"/>
      <c r="L26" s="1078"/>
      <c r="M26" s="1078"/>
      <c r="N26" s="1078"/>
      <c r="O26" s="1078"/>
      <c r="P26" s="1078"/>
      <c r="Q26" s="1078"/>
      <c r="R26" s="1078"/>
      <c r="S26" s="1080"/>
      <c r="T26" s="1054">
        <f>T23*T25</f>
        <v>18849025</v>
      </c>
      <c r="U26" s="1416"/>
      <c r="V26" s="1416"/>
      <c r="W26" s="1416"/>
      <c r="X26" s="1416"/>
      <c r="Y26" s="1054">
        <f>Y23*Y25</f>
        <v>0</v>
      </c>
      <c r="Z26" s="1416"/>
      <c r="AA26" s="1416"/>
      <c r="AB26" s="1416"/>
      <c r="AC26" s="1416"/>
      <c r="AD26" s="1054">
        <f>AD23*AD25</f>
        <v>0</v>
      </c>
      <c r="AE26" s="1416"/>
      <c r="AF26" s="1416"/>
      <c r="AG26" s="1416"/>
      <c r="AH26" s="1416"/>
      <c r="AI26" s="1054">
        <f>AI23*AI25</f>
        <v>0</v>
      </c>
      <c r="AJ26" s="1416"/>
      <c r="AK26" s="1416"/>
      <c r="AL26" s="1416"/>
      <c r="AM26" s="1416"/>
    </row>
    <row r="27" spans="1:39" ht="12.95" customHeight="1">
      <c r="A27" s="4"/>
      <c r="B27" s="1552" t="s">
        <v>1774</v>
      </c>
      <c r="C27" s="1553"/>
      <c r="D27" s="1553"/>
      <c r="E27" s="1553"/>
      <c r="F27" s="1553"/>
      <c r="G27" s="1553"/>
      <c r="H27" s="1553"/>
      <c r="I27" s="1553"/>
      <c r="J27" s="1553"/>
      <c r="K27" s="1553"/>
      <c r="L27" s="1553"/>
      <c r="M27" s="1553"/>
      <c r="N27" s="1553"/>
      <c r="O27" s="1553"/>
      <c r="P27" s="1553"/>
      <c r="Q27" s="1553"/>
      <c r="R27" s="1553"/>
      <c r="S27" s="1554"/>
      <c r="T27" s="1549">
        <f>Application!AG446</f>
        <v>1</v>
      </c>
      <c r="U27" s="1550"/>
      <c r="V27" s="1550"/>
      <c r="W27" s="1550"/>
      <c r="X27" s="1550"/>
      <c r="Y27" s="1549">
        <f>Application!AG446</f>
        <v>1</v>
      </c>
      <c r="Z27" s="1550"/>
      <c r="AA27" s="1550"/>
      <c r="AB27" s="1550"/>
      <c r="AC27" s="1550"/>
      <c r="AD27" s="1549">
        <f>Application!AG446</f>
        <v>1</v>
      </c>
      <c r="AE27" s="1550"/>
      <c r="AF27" s="1550"/>
      <c r="AG27" s="1550"/>
      <c r="AH27" s="1550"/>
      <c r="AI27" s="1549">
        <f>Application!AG446</f>
        <v>1</v>
      </c>
      <c r="AJ27" s="1550"/>
      <c r="AK27" s="1550"/>
      <c r="AL27" s="1550"/>
      <c r="AM27" s="1550"/>
    </row>
    <row r="28" spans="1:39" ht="12.95" customHeight="1">
      <c r="A28" s="3"/>
      <c r="B28" s="1077" t="s">
        <v>1775</v>
      </c>
      <c r="C28" s="1078"/>
      <c r="D28" s="1078"/>
      <c r="E28" s="1078"/>
      <c r="F28" s="1078"/>
      <c r="G28" s="1078"/>
      <c r="H28" s="1078"/>
      <c r="I28" s="1078"/>
      <c r="J28" s="1078"/>
      <c r="K28" s="1078"/>
      <c r="L28" s="1078"/>
      <c r="M28" s="1078"/>
      <c r="N28" s="1078"/>
      <c r="O28" s="1078"/>
      <c r="P28" s="1078"/>
      <c r="Q28" s="1078"/>
      <c r="R28" s="1078"/>
      <c r="S28" s="1080"/>
      <c r="T28" s="1054">
        <f>IF(ISERROR((T26*T27)),0,(T26*T27))</f>
        <v>18849025</v>
      </c>
      <c r="U28" s="1416"/>
      <c r="V28" s="1416"/>
      <c r="W28" s="1416"/>
      <c r="X28" s="1416"/>
      <c r="Y28" s="1054">
        <f>IF(ISERROR((Y26*Y27)),0,(Y26*Y27))</f>
        <v>0</v>
      </c>
      <c r="Z28" s="1416"/>
      <c r="AA28" s="1416"/>
      <c r="AB28" s="1416"/>
      <c r="AC28" s="1416"/>
      <c r="AD28" s="1054">
        <f>IF(ISERROR((AD26*AD27)),0,(AD26*AD27))</f>
        <v>0</v>
      </c>
      <c r="AE28" s="1416"/>
      <c r="AF28" s="1416"/>
      <c r="AG28" s="1416"/>
      <c r="AH28" s="1416"/>
      <c r="AI28" s="1054">
        <f>IF(ISERROR((AI26*AI27)),0,(AI26*AI27))</f>
        <v>0</v>
      </c>
      <c r="AJ28" s="1416"/>
      <c r="AK28" s="1416"/>
      <c r="AL28" s="1416"/>
      <c r="AM28" s="1416"/>
    </row>
    <row r="29" spans="1:39" ht="12.95" customHeight="1">
      <c r="B29" s="1077" t="s">
        <v>1776</v>
      </c>
      <c r="C29" s="1078"/>
      <c r="D29" s="1078"/>
      <c r="E29" s="1078"/>
      <c r="F29" s="1078"/>
      <c r="G29" s="1078"/>
      <c r="H29" s="1078"/>
      <c r="I29" s="1078"/>
      <c r="J29" s="1078"/>
      <c r="K29" s="1078"/>
      <c r="L29" s="1078"/>
      <c r="M29" s="1078"/>
      <c r="N29" s="1078"/>
      <c r="O29" s="1078"/>
      <c r="P29" s="1078"/>
      <c r="Q29" s="1078"/>
      <c r="R29" s="1078"/>
      <c r="S29" s="1080"/>
      <c r="T29" s="1517">
        <f>T28+Y28+AD28+AI28</f>
        <v>18849025</v>
      </c>
      <c r="U29" s="1518"/>
      <c r="V29" s="1518"/>
      <c r="W29" s="1518"/>
      <c r="X29" s="1518"/>
      <c r="Y29" s="1518"/>
      <c r="Z29" s="1518"/>
      <c r="AA29" s="1518"/>
      <c r="AB29" s="1518"/>
      <c r="AC29" s="1518"/>
      <c r="AD29" s="1518"/>
      <c r="AE29" s="1518"/>
      <c r="AF29" s="1518"/>
      <c r="AG29" s="1518"/>
      <c r="AH29" s="1518"/>
      <c r="AI29" s="1518"/>
      <c r="AJ29" s="1518"/>
      <c r="AK29" s="1518"/>
      <c r="AL29" s="1518"/>
      <c r="AM29" s="1516"/>
    </row>
    <row r="30" spans="1:39" ht="12.95" customHeight="1">
      <c r="B30" s="1529" t="s">
        <v>1777</v>
      </c>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row>
    <row r="31" spans="1:39" ht="12.95" customHeight="1">
      <c r="B31" s="1512" t="s">
        <v>1778</v>
      </c>
      <c r="C31" s="1512"/>
      <c r="D31" s="1512"/>
      <c r="E31" s="1512"/>
      <c r="F31" s="1512"/>
      <c r="G31" s="1512"/>
      <c r="H31" s="1512"/>
      <c r="I31" s="1512"/>
      <c r="J31" s="1512"/>
      <c r="K31" s="1512"/>
      <c r="L31" s="1512"/>
      <c r="M31" s="1512"/>
      <c r="N31" s="1512"/>
      <c r="O31" s="1512"/>
      <c r="P31" s="1512"/>
      <c r="Q31" s="1512"/>
      <c r="R31" s="1512"/>
      <c r="S31" s="1512"/>
      <c r="T31" s="1512"/>
      <c r="U31" s="1512"/>
      <c r="V31" s="1512"/>
      <c r="W31" s="1512"/>
      <c r="X31" s="1512"/>
      <c r="Y31" s="1512"/>
      <c r="Z31" s="1512"/>
      <c r="AA31" s="1512"/>
      <c r="AB31" s="1512"/>
      <c r="AC31" s="1512"/>
      <c r="AD31" s="1512"/>
      <c r="AE31" s="1512"/>
      <c r="AF31" s="1512"/>
      <c r="AG31" s="1512"/>
      <c r="AH31" s="1512"/>
      <c r="AI31" s="1512"/>
      <c r="AJ31" s="1512"/>
      <c r="AK31" s="1512"/>
      <c r="AL31" s="1512"/>
      <c r="AM31" s="1512"/>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828</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19" t="s">
        <v>1779</v>
      </c>
      <c r="Z35" s="1519"/>
      <c r="AA35" s="1519"/>
      <c r="AB35" s="1519"/>
      <c r="AC35" s="1519"/>
      <c r="AD35" s="1171" t="s">
        <v>1780</v>
      </c>
      <c r="AE35" s="1171"/>
      <c r="AF35" s="1171"/>
      <c r="AG35" s="1171"/>
      <c r="AH35" s="1171"/>
    </row>
    <row r="36" spans="1:44" ht="12.95" customHeight="1">
      <c r="B36" s="173"/>
      <c r="X36" s="63"/>
      <c r="Y36" s="1519"/>
      <c r="Z36" s="1519"/>
      <c r="AA36" s="1519"/>
      <c r="AB36" s="1519"/>
      <c r="AC36" s="1519"/>
      <c r="AD36" s="1171"/>
      <c r="AE36" s="1171"/>
      <c r="AF36" s="1171"/>
      <c r="AG36" s="1171"/>
      <c r="AH36" s="1171"/>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9"/>
      <c r="Z37" s="1519"/>
      <c r="AA37" s="1519"/>
      <c r="AB37" s="1519"/>
      <c r="AC37" s="1519"/>
      <c r="AD37" s="1171"/>
      <c r="AE37" s="1171"/>
      <c r="AF37" s="1171"/>
      <c r="AG37" s="1171"/>
      <c r="AH37" s="1171"/>
    </row>
    <row r="38" spans="1:44" ht="12.95" customHeight="1">
      <c r="A38" s="3"/>
      <c r="B38" s="1077" t="s">
        <v>1775</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80"/>
      <c r="Y38" s="1181">
        <f>IF(T24&gt;=(T23+Y23+AD23+AI23),T28+Y28,0)</f>
        <v>18849025</v>
      </c>
      <c r="Z38" s="1181"/>
      <c r="AA38" s="1181"/>
      <c r="AB38" s="1181"/>
      <c r="AC38" s="1181"/>
      <c r="AD38" s="1181">
        <f>IF(T24&gt;=(T23+Y23+AD23+AI23),AD28+AI28,0)</f>
        <v>0</v>
      </c>
      <c r="AE38" s="1181"/>
      <c r="AF38" s="1181"/>
      <c r="AG38" s="1181"/>
      <c r="AH38" s="1181"/>
    </row>
    <row r="39" spans="1:44" ht="12.95" customHeight="1">
      <c r="B39" s="1077" t="s">
        <v>1781</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80"/>
      <c r="Y39" s="1515">
        <v>0.09</v>
      </c>
      <c r="Z39" s="1515"/>
      <c r="AA39" s="1515"/>
      <c r="AB39" s="1515"/>
      <c r="AC39" s="1515"/>
      <c r="AD39" s="1515">
        <v>0.04</v>
      </c>
      <c r="AE39" s="1515"/>
      <c r="AF39" s="1515"/>
      <c r="AG39" s="1515"/>
      <c r="AH39" s="1515"/>
    </row>
    <row r="40" spans="1:44" ht="12.95" customHeight="1">
      <c r="A40" s="3"/>
      <c r="B40" s="1077" t="s">
        <v>1782</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80"/>
      <c r="Y40" s="1181">
        <f>ROUND(Y38*Y39,0)</f>
        <v>1696412</v>
      </c>
      <c r="Z40" s="1181"/>
      <c r="AA40" s="1181"/>
      <c r="AB40" s="1181"/>
      <c r="AC40" s="1181"/>
      <c r="AD40" s="1516">
        <f>ROUND(AD38*AD39,0)</f>
        <v>0</v>
      </c>
      <c r="AE40" s="1181"/>
      <c r="AF40" s="1181"/>
      <c r="AG40" s="1181"/>
      <c r="AH40" s="1181"/>
    </row>
    <row r="41" spans="1:44" ht="12.95" customHeight="1">
      <c r="B41" s="1077" t="s">
        <v>1783</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80"/>
      <c r="Y41" s="1517">
        <f>IF(Application!Y211="No",'Basis &amp; Credits'!AR42,AR43)</f>
        <v>1696412</v>
      </c>
      <c r="Z41" s="1518"/>
      <c r="AA41" s="1518"/>
      <c r="AB41" s="1518"/>
      <c r="AC41" s="1518"/>
      <c r="AD41" s="1518"/>
      <c r="AE41" s="1518"/>
      <c r="AF41" s="1518"/>
      <c r="AG41" s="1518"/>
      <c r="AH41" s="1516"/>
    </row>
    <row r="42" spans="1:44" ht="12.95" customHeight="1">
      <c r="A42" s="3"/>
      <c r="B42" s="1527" t="s">
        <v>1784</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c r="AR42">
        <f>IF((Y40+AD40)&gt;2800000,2800000,Y40+AD40)</f>
        <v>1696412</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1696412</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908</v>
      </c>
      <c r="C45" s="3" t="s">
        <v>280</v>
      </c>
    </row>
    <row r="46" spans="1:44" ht="12.95" customHeight="1">
      <c r="D46" s="3" t="s">
        <v>1785</v>
      </c>
      <c r="AB46" s="1172">
        <f>'Sources and Uses Budget'!B104-(MAX(IF('Sources and Uses Budget'!B15="",0,'Sources and Uses Budget'!B15),IF(Application!AG395="",0,Application!AG395)))</f>
        <v>31546077</v>
      </c>
      <c r="AC46" s="1173"/>
      <c r="AD46" s="1173"/>
      <c r="AE46" s="1173"/>
      <c r="AF46" s="1174"/>
    </row>
    <row r="47" spans="1:44" ht="12.95" customHeight="1">
      <c r="D47" s="3" t="s">
        <v>185</v>
      </c>
      <c r="AB47" s="1172">
        <f>Application!AO641-MAX(IF('Sources and Uses Budget'!B15="",0,'Sources and Uses Budget'!B15),IF(Application!AG395="",0,Application!AG395))</f>
        <v>16834145</v>
      </c>
      <c r="AC47" s="1173"/>
      <c r="AD47" s="1173"/>
      <c r="AE47" s="1173"/>
      <c r="AF47" s="1174"/>
    </row>
    <row r="48" spans="1:44" ht="12.95" customHeight="1">
      <c r="D48" s="3" t="s">
        <v>1786</v>
      </c>
      <c r="AB48" s="1172">
        <f>AB46-AB47</f>
        <v>14711932</v>
      </c>
      <c r="AC48" s="1173"/>
      <c r="AD48" s="1173"/>
      <c r="AE48" s="1173"/>
      <c r="AF48" s="1174"/>
    </row>
    <row r="49" spans="1:40" ht="12.95" customHeight="1">
      <c r="D49" s="3" t="s">
        <v>1787</v>
      </c>
      <c r="AA49" s="31"/>
      <c r="AB49" s="1522">
        <f>Application!AO642/('Basis &amp; Credits'!Y40*10)</f>
        <v>0.86723814733684979</v>
      </c>
      <c r="AC49" s="1523"/>
      <c r="AD49" s="1523"/>
      <c r="AE49" s="1523"/>
      <c r="AF49" s="1524"/>
    </row>
    <row r="50" spans="1:40" s="269" customFormat="1" ht="12.95" customHeight="1">
      <c r="A50"/>
      <c r="B50"/>
      <c r="C50"/>
      <c r="D50"/>
      <c r="E50" s="1528" t="s">
        <v>1788</v>
      </c>
      <c r="F50" s="1528"/>
      <c r="G50" s="1528"/>
      <c r="H50" s="1528"/>
      <c r="I50" s="1528"/>
      <c r="J50" s="1528"/>
      <c r="K50" s="1528"/>
      <c r="L50" s="1528"/>
      <c r="M50" s="1528"/>
      <c r="N50" s="1528"/>
      <c r="O50" s="1528"/>
      <c r="P50" s="1528"/>
      <c r="Q50" s="1528"/>
      <c r="R50" s="1528"/>
      <c r="S50" s="1528"/>
      <c r="T50" s="1528"/>
      <c r="U50" s="1528"/>
      <c r="V50" s="1528"/>
      <c r="W50" s="1528"/>
      <c r="X50" s="1528"/>
      <c r="Y50" s="1528"/>
      <c r="Z50" s="1528"/>
      <c r="AA50" s="705"/>
      <c r="AB50" s="705"/>
      <c r="AC50" s="705"/>
      <c r="AD50" s="705"/>
      <c r="AE50" s="705"/>
      <c r="AF50" s="705"/>
      <c r="AG50"/>
      <c r="AH50"/>
      <c r="AI50"/>
      <c r="AJ50"/>
      <c r="AK50"/>
      <c r="AL50"/>
      <c r="AM50"/>
      <c r="AN50"/>
    </row>
    <row r="51" spans="1:40" s="269" customFormat="1" ht="12.95" customHeight="1">
      <c r="A51"/>
      <c r="B51"/>
      <c r="C51"/>
      <c r="D51"/>
      <c r="E51" s="1528"/>
      <c r="F51" s="1528"/>
      <c r="G51" s="1528"/>
      <c r="H51" s="1528"/>
      <c r="I51" s="1528"/>
      <c r="J51" s="1528"/>
      <c r="K51" s="1528"/>
      <c r="L51" s="1528"/>
      <c r="M51" s="1528"/>
      <c r="N51" s="1528"/>
      <c r="O51" s="1528"/>
      <c r="P51" s="1528"/>
      <c r="Q51" s="1528"/>
      <c r="R51" s="1528"/>
      <c r="S51" s="1528"/>
      <c r="T51" s="1528"/>
      <c r="U51" s="1528"/>
      <c r="V51" s="1528"/>
      <c r="W51" s="1528"/>
      <c r="X51" s="1528"/>
      <c r="Y51" s="1528"/>
      <c r="Z51" s="152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1789</v>
      </c>
      <c r="AB53" s="1172">
        <f>ROUND(IF(ISERROR((AB48/AB49)),0,(AB48/AB49)),0)</f>
        <v>16964120</v>
      </c>
      <c r="AC53" s="1173"/>
      <c r="AD53" s="1173"/>
      <c r="AE53" s="1173"/>
      <c r="AF53" s="1174"/>
    </row>
    <row r="54" spans="1:40" ht="12.95" customHeight="1">
      <c r="D54" s="3" t="s">
        <v>1790</v>
      </c>
      <c r="AB54" s="1172">
        <f>(AB53/10)</f>
        <v>1696412</v>
      </c>
      <c r="AC54" s="1173"/>
      <c r="AD54" s="1173"/>
      <c r="AE54" s="1173"/>
      <c r="AF54" s="1174"/>
    </row>
    <row r="55" spans="1:40" ht="12.95" customHeight="1">
      <c r="D55" s="3" t="s">
        <v>1791</v>
      </c>
      <c r="AB55" s="1172">
        <f>(IF((Y41&lt;AB54),Y41,AB54))</f>
        <v>1696412</v>
      </c>
      <c r="AC55" s="1173"/>
      <c r="AD55" s="1173"/>
      <c r="AE55" s="1173"/>
      <c r="AF55" s="1174"/>
    </row>
    <row r="56" spans="1:40" ht="12.95" customHeight="1">
      <c r="D56" s="3" t="s">
        <v>1792</v>
      </c>
      <c r="AB56" s="1172">
        <f>ROUND((10*AB55*AB49),0)</f>
        <v>14711932</v>
      </c>
      <c r="AC56" s="1173"/>
      <c r="AD56" s="1173"/>
      <c r="AE56" s="1173"/>
      <c r="AF56" s="1174"/>
    </row>
    <row r="57" spans="1:40" ht="12.95" customHeight="1">
      <c r="D57" s="3"/>
      <c r="AB57" s="236"/>
      <c r="AC57" s="236"/>
      <c r="AD57" s="236"/>
      <c r="AE57" s="236"/>
      <c r="AF57" s="236"/>
    </row>
    <row r="58" spans="1:40" ht="12.95" customHeight="1">
      <c r="D58" s="3" t="s">
        <v>1793</v>
      </c>
      <c r="AB58" s="1185">
        <f>AB48-AB56</f>
        <v>0</v>
      </c>
      <c r="AC58" s="1185"/>
      <c r="AD58" s="1185"/>
      <c r="AE58" s="1185"/>
      <c r="AF58" s="1185"/>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513" t="s">
        <v>1794</v>
      </c>
      <c r="B60" s="1513"/>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513"/>
      <c r="AM60" s="1513"/>
      <c r="AN60" s="1513"/>
    </row>
    <row r="61" spans="1:40" ht="12.95" customHeight="1" thickTop="1">
      <c r="A61" s="1141"/>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row>
    <row r="62" spans="1:40" ht="12.95" customHeight="1">
      <c r="A62" s="3" t="s">
        <v>930</v>
      </c>
      <c r="C62" s="3" t="s">
        <v>286</v>
      </c>
      <c r="Y62" s="1475" t="s">
        <v>1795</v>
      </c>
      <c r="Z62" s="1475"/>
      <c r="AA62" s="1475"/>
      <c r="AB62" s="1475"/>
      <c r="AC62" s="1475"/>
      <c r="AD62" s="1475" t="s">
        <v>1780</v>
      </c>
      <c r="AE62" s="1475"/>
      <c r="AF62" s="1475"/>
      <c r="AG62" s="1475"/>
      <c r="AH62" s="1475"/>
    </row>
    <row r="63" spans="1:40" ht="12.95" customHeight="1">
      <c r="C63" s="3"/>
      <c r="D63" s="105" t="s">
        <v>1796</v>
      </c>
      <c r="E63" s="15"/>
      <c r="F63" s="15"/>
      <c r="G63" s="15"/>
      <c r="H63" s="15"/>
      <c r="I63" s="15"/>
      <c r="J63" s="15"/>
      <c r="K63" s="15"/>
      <c r="L63" s="15"/>
      <c r="M63" s="15"/>
      <c r="N63" s="15"/>
      <c r="O63" s="15"/>
      <c r="P63" s="15"/>
      <c r="Q63" s="15"/>
      <c r="R63" s="15"/>
      <c r="S63" s="15"/>
      <c r="T63" s="15"/>
      <c r="U63" s="15"/>
      <c r="V63" s="15"/>
      <c r="W63" s="15"/>
      <c r="X63" s="15"/>
      <c r="Y63" s="1416">
        <f>IF(AND(Application!T193="No",Application!T194="No"),T28,IF(OR(AND(T25=1.3,Application!T196="Yes",Application!D214="Special Needs"),T25=1),(T23*T27)+Y28,Y28))</f>
        <v>18849025</v>
      </c>
      <c r="Z63" s="1525"/>
      <c r="AA63" s="1525"/>
      <c r="AB63" s="1525"/>
      <c r="AC63" s="1525"/>
      <c r="AD63" s="1181">
        <f>IF(AND(T25=1.3,Application!D214="At-Risk"),AI28,IF(Application!D214&lt;&gt;"At-Risk",0,AD28))</f>
        <v>0</v>
      </c>
      <c r="AE63" s="1525"/>
      <c r="AF63" s="1525"/>
      <c r="AG63" s="1525"/>
      <c r="AH63" s="1525"/>
    </row>
    <row r="64" spans="1:40" ht="12.95" customHeight="1">
      <c r="C64" s="3"/>
      <c r="E64" s="1514" t="s">
        <v>1797</v>
      </c>
      <c r="F64" s="1514"/>
      <c r="G64" s="1514"/>
      <c r="H64" s="1514"/>
      <c r="I64" s="1514"/>
      <c r="J64" s="1514"/>
      <c r="K64" s="1514"/>
      <c r="L64" s="1514"/>
      <c r="M64" s="1514"/>
      <c r="N64" s="1514"/>
      <c r="O64" s="1514"/>
      <c r="P64" s="1514"/>
      <c r="Q64" s="1514"/>
      <c r="R64" s="1514"/>
      <c r="S64" s="1514"/>
      <c r="T64" s="1514"/>
      <c r="U64" s="1514"/>
      <c r="V64" s="1514"/>
      <c r="W64" s="1514"/>
      <c r="X64" s="1514"/>
      <c r="Y64" s="1514"/>
      <c r="Z64" s="1514"/>
      <c r="AA64" s="1514"/>
      <c r="AB64" s="1514"/>
      <c r="AC64" s="1514"/>
      <c r="AD64" s="1514"/>
      <c r="AE64" s="1514"/>
      <c r="AF64" s="1514"/>
      <c r="AG64" s="1514"/>
      <c r="AH64" s="1514"/>
    </row>
    <row r="65" spans="1:34" ht="21.75" customHeight="1">
      <c r="C65" s="3"/>
      <c r="E65" s="1514"/>
      <c r="F65" s="1514"/>
      <c r="G65" s="1514"/>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row>
    <row r="66" spans="1:34" ht="12.95" customHeight="1">
      <c r="C66" s="3"/>
      <c r="D66" s="3" t="s">
        <v>1798</v>
      </c>
      <c r="E66" s="81"/>
      <c r="F66" s="81"/>
      <c r="G66" s="81"/>
      <c r="H66" s="81"/>
      <c r="I66" s="81"/>
      <c r="J66" s="81"/>
      <c r="K66" s="81"/>
      <c r="L66" s="81"/>
      <c r="M66" s="81"/>
      <c r="N66" s="81"/>
      <c r="O66" s="81"/>
      <c r="P66" s="81"/>
      <c r="Q66" s="81"/>
      <c r="R66" s="81"/>
      <c r="S66" s="81"/>
      <c r="T66" s="81"/>
      <c r="U66" s="81"/>
      <c r="V66" s="81"/>
      <c r="W66" s="81"/>
      <c r="X66" s="81"/>
      <c r="Y66" s="1521">
        <f>IF(Application!W198="Yes",95%, 30%)</f>
        <v>0.3</v>
      </c>
      <c r="Z66" s="1521"/>
      <c r="AA66" s="1521"/>
      <c r="AB66" s="1521"/>
      <c r="AC66" s="1521"/>
      <c r="AD66" s="1521">
        <f>IF(OR(Application!D211="At-Risk",Application!D214="At-Risk"),IF(Application!W198="Yes",95%, 13%),0)</f>
        <v>0</v>
      </c>
      <c r="AE66" s="1521"/>
      <c r="AF66" s="1521"/>
      <c r="AG66" s="1521"/>
      <c r="AH66" s="1521"/>
    </row>
    <row r="67" spans="1:34" ht="12.95" customHeight="1">
      <c r="C67" s="3"/>
      <c r="D67" s="3" t="s">
        <v>1799</v>
      </c>
      <c r="Y67" s="1181">
        <f>IF(AND(T25=1.3,NOT(Application!V215&gt;=50%)),0,ROUND(Y63*Y66,0))</f>
        <v>5654708</v>
      </c>
      <c r="Z67" s="1525"/>
      <c r="AA67" s="1525"/>
      <c r="AB67" s="1525"/>
      <c r="AC67" s="1525"/>
      <c r="AD67" s="1181">
        <f>IF(AND(T25=1.3,NOT(Application!T212&gt;=50%)),0,ROUND(AD63*AD66,0))</f>
        <v>0</v>
      </c>
      <c r="AE67" s="1181"/>
      <c r="AF67" s="1181"/>
      <c r="AG67" s="1181"/>
      <c r="AH67" s="1181"/>
    </row>
    <row r="68" spans="1:34" ht="12.95" customHeight="1">
      <c r="C68" s="3"/>
      <c r="E68" s="688" t="s">
        <v>1800</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942</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1801</v>
      </c>
      <c r="AB70" s="1522"/>
      <c r="AC70" s="1523"/>
      <c r="AD70" s="1523"/>
      <c r="AE70" s="1523"/>
      <c r="AF70" s="1524"/>
    </row>
    <row r="71" spans="1:34" ht="12.95" customHeight="1">
      <c r="A71" s="3"/>
      <c r="C71" s="3"/>
      <c r="D71" s="3"/>
      <c r="E71" s="1526" t="s">
        <v>1802</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7"/>
      <c r="AB71" s="217"/>
      <c r="AC71" s="217"/>
    </row>
    <row r="72" spans="1:34" ht="12.95"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7"/>
      <c r="AB72" s="217"/>
      <c r="AC72" s="217"/>
    </row>
    <row r="73" spans="1:34" ht="12.95"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1803</v>
      </c>
      <c r="AB75" s="1894">
        <f>ROUND(IF(ISERROR((AB58/AB70)),0,(AB58/AB70)),0)</f>
        <v>0</v>
      </c>
      <c r="AC75" s="1894"/>
      <c r="AD75" s="1894"/>
      <c r="AE75" s="1894"/>
      <c r="AF75" s="1894"/>
    </row>
    <row r="76" spans="1:34" ht="12.95" customHeight="1">
      <c r="C76" s="3"/>
      <c r="D76" s="3" t="s">
        <v>1804</v>
      </c>
      <c r="AB76" s="1898">
        <f>ROUNDUP(MIN((Y67+AD67),AB75),0)</f>
        <v>0</v>
      </c>
      <c r="AC76" s="1899"/>
      <c r="AD76" s="1899"/>
      <c r="AE76" s="1899"/>
      <c r="AF76" s="1900"/>
    </row>
    <row r="77" spans="1:34" ht="12.95" customHeight="1">
      <c r="C77" s="3"/>
      <c r="D77" s="3" t="s">
        <v>1805</v>
      </c>
      <c r="AB77" s="1520">
        <f>AB76*AB70</f>
        <v>0</v>
      </c>
      <c r="AC77" s="1520"/>
      <c r="AD77" s="1520"/>
      <c r="AE77" s="1520"/>
      <c r="AF77" s="1520"/>
    </row>
    <row r="78" spans="1:34" ht="12.95" customHeight="1">
      <c r="C78" s="3"/>
      <c r="D78" s="3"/>
      <c r="AB78" s="506"/>
      <c r="AC78" s="506"/>
      <c r="AD78" s="506"/>
      <c r="AE78" s="506"/>
      <c r="AF78" s="506"/>
    </row>
    <row r="79" spans="1:34" ht="12.95" customHeight="1">
      <c r="D79" s="3" t="s">
        <v>1793</v>
      </c>
      <c r="AB79" s="1185">
        <f>AB48-(AB56+AB77)</f>
        <v>0</v>
      </c>
      <c r="AC79" s="1185"/>
      <c r="AD79" s="1185"/>
      <c r="AE79" s="1185"/>
      <c r="AF79" s="1185"/>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1" workbookViewId="0">
      <selection activeCell="B96" sqref="B96"/>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55" t="s">
        <v>1806</v>
      </c>
      <c r="B1" s="1556"/>
      <c r="C1" s="1556"/>
      <c r="D1" s="1556"/>
      <c r="E1" s="1556"/>
      <c r="F1" s="1556"/>
      <c r="G1" s="1556"/>
      <c r="H1" s="1556"/>
      <c r="I1" s="1556"/>
      <c r="J1" s="1557"/>
      <c r="K1" s="487"/>
    </row>
    <row r="2" spans="1:11" s="505" customFormat="1" ht="72">
      <c r="A2" s="503"/>
      <c r="B2" s="196" t="s">
        <v>1807</v>
      </c>
      <c r="C2" s="196" t="s">
        <v>1808</v>
      </c>
      <c r="D2" s="196" t="s">
        <v>1809</v>
      </c>
      <c r="E2" s="196" t="s">
        <v>1810</v>
      </c>
      <c r="F2" s="196" t="s">
        <v>1811</v>
      </c>
      <c r="G2" s="196" t="s">
        <v>1812</v>
      </c>
      <c r="H2" s="196" t="s">
        <v>1813</v>
      </c>
      <c r="I2" s="196" t="s">
        <v>1814</v>
      </c>
      <c r="J2" s="566" t="s">
        <v>1815</v>
      </c>
      <c r="K2" s="504"/>
    </row>
    <row r="3" spans="1:11" s="217" customFormat="1">
      <c r="A3" s="199" t="s">
        <v>1639</v>
      </c>
      <c r="B3" s="492"/>
      <c r="C3" s="492"/>
      <c r="D3" s="492"/>
      <c r="E3" s="492"/>
      <c r="F3" s="492"/>
      <c r="G3" s="492"/>
      <c r="H3" s="492"/>
      <c r="I3" s="492"/>
      <c r="J3" s="492"/>
      <c r="K3" s="488"/>
    </row>
    <row r="4" spans="1:11" s="217" customFormat="1" ht="13.5">
      <c r="A4" s="254" t="s">
        <v>1640</v>
      </c>
      <c r="B4" s="493">
        <f>'Sources and Uses Budget'!C4</f>
        <v>0</v>
      </c>
      <c r="C4" s="494"/>
      <c r="D4" s="494"/>
      <c r="E4" s="495"/>
      <c r="F4" s="495"/>
      <c r="G4" s="495"/>
      <c r="H4" s="495"/>
      <c r="I4" s="495"/>
      <c r="J4" s="495"/>
      <c r="K4" s="488"/>
    </row>
    <row r="5" spans="1:11" s="217" customFormat="1" ht="13.5">
      <c r="A5" s="254" t="s">
        <v>1641</v>
      </c>
      <c r="B5" s="493">
        <f>'Sources and Uses Budget'!C5</f>
        <v>325000</v>
      </c>
      <c r="C5" s="494"/>
      <c r="D5" s="494"/>
      <c r="E5" s="495"/>
      <c r="F5" s="495"/>
      <c r="G5" s="495"/>
      <c r="H5" s="495"/>
      <c r="I5" s="495"/>
      <c r="J5" s="495"/>
      <c r="K5" s="488"/>
    </row>
    <row r="6" spans="1:11" s="217" customFormat="1">
      <c r="A6" s="203" t="s">
        <v>1642</v>
      </c>
      <c r="B6" s="493">
        <f>'Sources and Uses Budget'!C6</f>
        <v>200</v>
      </c>
      <c r="C6" s="494"/>
      <c r="D6" s="494"/>
      <c r="E6" s="495"/>
      <c r="F6" s="495"/>
      <c r="G6" s="495"/>
      <c r="H6" s="495"/>
      <c r="I6" s="495"/>
      <c r="J6" s="495"/>
      <c r="K6" s="488"/>
    </row>
    <row r="7" spans="1:11" s="217" customFormat="1">
      <c r="A7" s="203" t="s">
        <v>1643</v>
      </c>
      <c r="B7" s="493">
        <f>'Sources and Uses Budget'!C7</f>
        <v>0</v>
      </c>
      <c r="C7" s="494"/>
      <c r="D7" s="494"/>
      <c r="E7" s="495"/>
      <c r="F7" s="495"/>
      <c r="G7" s="495"/>
      <c r="H7" s="495"/>
      <c r="I7" s="495"/>
      <c r="J7" s="495"/>
      <c r="K7" s="488"/>
    </row>
    <row r="8" spans="1:11" s="217" customFormat="1" ht="13.5">
      <c r="A8" s="255" t="s">
        <v>1644</v>
      </c>
      <c r="B8" s="493">
        <f>'Sources and Uses Budget'!C8</f>
        <v>325200</v>
      </c>
      <c r="C8" s="493">
        <f>SUM(C4:C7)</f>
        <v>0</v>
      </c>
      <c r="D8" s="493">
        <f>SUM(D4:D7)</f>
        <v>0</v>
      </c>
      <c r="E8" s="495"/>
      <c r="F8" s="495"/>
      <c r="G8" s="495"/>
      <c r="H8" s="495"/>
      <c r="I8" s="495"/>
      <c r="J8" s="495"/>
      <c r="K8" s="488"/>
    </row>
    <row r="9" spans="1:11" s="217" customFormat="1">
      <c r="A9" s="203" t="s">
        <v>1645</v>
      </c>
      <c r="B9" s="493">
        <f>'Sources and Uses Budget'!C9</f>
        <v>10250000</v>
      </c>
      <c r="C9" s="494"/>
      <c r="D9" s="494"/>
      <c r="E9" s="495"/>
      <c r="F9" s="495"/>
      <c r="G9" s="495"/>
      <c r="H9" s="493">
        <f>'Sources and Uses Budget'!T9</f>
        <v>0</v>
      </c>
      <c r="I9" s="494"/>
      <c r="J9" s="494"/>
      <c r="K9" s="488"/>
    </row>
    <row r="10" spans="1:11" s="217" customFormat="1" ht="13.5">
      <c r="A10" s="254" t="s">
        <v>1646</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1647</v>
      </c>
      <c r="B11" s="493">
        <f>'Sources and Uses Budget'!C11</f>
        <v>10250000</v>
      </c>
      <c r="C11" s="493">
        <f>SUM(C9:C10)</f>
        <v>0</v>
      </c>
      <c r="D11" s="493">
        <f>SUM(D9:D10)</f>
        <v>0</v>
      </c>
      <c r="E11" s="495"/>
      <c r="F11" s="495"/>
      <c r="G11" s="495"/>
      <c r="H11" s="493">
        <f>'Sources and Uses Budget'!T11</f>
        <v>0</v>
      </c>
      <c r="I11" s="493">
        <f>SUM(I9:I10)</f>
        <v>0</v>
      </c>
      <c r="J11" s="493">
        <f>SUM(J9:J10)</f>
        <v>0</v>
      </c>
      <c r="K11" s="488"/>
    </row>
    <row r="12" spans="1:11" s="217" customFormat="1">
      <c r="A12" s="207" t="s">
        <v>1648</v>
      </c>
      <c r="B12" s="493">
        <f>'Sources and Uses Budget'!C12</f>
        <v>10575200</v>
      </c>
      <c r="C12" s="493">
        <f>SUM(C8+C11)</f>
        <v>0</v>
      </c>
      <c r="D12" s="493">
        <f>SUM(D8+D11)</f>
        <v>0</v>
      </c>
      <c r="E12" s="495"/>
      <c r="F12" s="495"/>
      <c r="G12" s="495"/>
      <c r="H12" s="495"/>
      <c r="I12" s="495"/>
      <c r="J12" s="495"/>
      <c r="K12" s="488"/>
    </row>
    <row r="13" spans="1:11" s="217" customFormat="1">
      <c r="A13" s="373" t="s">
        <v>1649</v>
      </c>
      <c r="B13" s="493">
        <f>'Sources and Uses Budget'!C13</f>
        <v>25000</v>
      </c>
      <c r="C13" s="494"/>
      <c r="D13" s="494"/>
      <c r="E13" s="493">
        <f>'Sources and Uses Budget'!S13</f>
        <v>25000</v>
      </c>
      <c r="F13" s="494"/>
      <c r="G13" s="494"/>
      <c r="H13" s="493">
        <f>'Sources and Uses Budget'!T13</f>
        <v>0</v>
      </c>
      <c r="I13" s="494"/>
      <c r="J13" s="494"/>
      <c r="K13" s="488"/>
    </row>
    <row r="14" spans="1:11" s="217" customFormat="1" ht="24">
      <c r="A14" s="203" t="s">
        <v>1650</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1651</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1652</v>
      </c>
      <c r="B16" s="492"/>
      <c r="C16" s="492"/>
      <c r="D16" s="492"/>
      <c r="E16" s="492"/>
      <c r="F16" s="492"/>
      <c r="G16" s="492"/>
      <c r="H16" s="492"/>
      <c r="I16" s="492"/>
      <c r="J16" s="492"/>
      <c r="K16" s="488"/>
    </row>
    <row r="17" spans="1:11" s="217" customFormat="1">
      <c r="A17" s="203" t="s">
        <v>1653</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1654</v>
      </c>
      <c r="B18" s="493">
        <f>'Sources and Uses Budget'!C18</f>
        <v>9597144</v>
      </c>
      <c r="C18" s="494"/>
      <c r="D18" s="494"/>
      <c r="E18" s="493">
        <f>'Sources and Uses Budget'!S18</f>
        <v>9597144</v>
      </c>
      <c r="F18" s="494"/>
      <c r="G18" s="494"/>
      <c r="H18" s="493">
        <f>'Sources and Uses Budget'!T18</f>
        <v>0</v>
      </c>
      <c r="I18" s="494"/>
      <c r="J18" s="494"/>
      <c r="K18" s="488"/>
    </row>
    <row r="19" spans="1:11" s="217" customFormat="1">
      <c r="A19" s="203" t="s">
        <v>1655</v>
      </c>
      <c r="B19" s="493">
        <f>'Sources and Uses Budget'!C19</f>
        <v>316855</v>
      </c>
      <c r="C19" s="494"/>
      <c r="D19" s="494"/>
      <c r="E19" s="493">
        <f>'Sources and Uses Budget'!S19</f>
        <v>316855</v>
      </c>
      <c r="F19" s="494"/>
      <c r="G19" s="494"/>
      <c r="H19" s="493">
        <f>'Sources and Uses Budget'!T19</f>
        <v>0</v>
      </c>
      <c r="I19" s="494"/>
      <c r="J19" s="494"/>
      <c r="K19" s="488"/>
    </row>
    <row r="20" spans="1:11" s="217" customFormat="1">
      <c r="A20" s="203" t="s">
        <v>1656</v>
      </c>
      <c r="B20" s="493">
        <f>'Sources and Uses Budget'!C20</f>
        <v>119386</v>
      </c>
      <c r="C20" s="494"/>
      <c r="D20" s="494"/>
      <c r="E20" s="493">
        <f>'Sources and Uses Budget'!S20</f>
        <v>119386</v>
      </c>
      <c r="F20" s="494"/>
      <c r="G20" s="494"/>
      <c r="H20" s="493">
        <f>'Sources and Uses Budget'!T20</f>
        <v>0</v>
      </c>
      <c r="I20" s="494"/>
      <c r="J20" s="494"/>
      <c r="K20" s="488"/>
    </row>
    <row r="21" spans="1:11" s="217" customFormat="1">
      <c r="A21" s="203" t="s">
        <v>1657</v>
      </c>
      <c r="B21" s="493">
        <f>'Sources and Uses Budget'!C21</f>
        <v>358159</v>
      </c>
      <c r="C21" s="494"/>
      <c r="D21" s="494"/>
      <c r="E21" s="493">
        <f>'Sources and Uses Budget'!S21</f>
        <v>358159</v>
      </c>
      <c r="F21" s="494"/>
      <c r="G21" s="494"/>
      <c r="H21" s="493">
        <f>'Sources and Uses Budget'!T21</f>
        <v>0</v>
      </c>
      <c r="I21" s="494"/>
      <c r="J21" s="494"/>
      <c r="K21" s="488"/>
    </row>
    <row r="22" spans="1:11" s="217" customFormat="1">
      <c r="A22" s="203" t="s">
        <v>1658</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1659</v>
      </c>
      <c r="B23" s="493">
        <f>'Sources and Uses Budget'!C23</f>
        <v>191018</v>
      </c>
      <c r="C23" s="494"/>
      <c r="D23" s="494"/>
      <c r="E23" s="493">
        <f>'Sources and Uses Budget'!S23</f>
        <v>191018</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1662</v>
      </c>
      <c r="B25" s="493">
        <f>'Sources and Uses Budget'!C26</f>
        <v>10832562</v>
      </c>
      <c r="C25" s="493">
        <f>SUM(C17:C24)</f>
        <v>0</v>
      </c>
      <c r="D25" s="493">
        <f>SUM(D17:D24)</f>
        <v>0</v>
      </c>
      <c r="E25" s="493">
        <f>'Sources and Uses Budget'!S26</f>
        <v>10832562</v>
      </c>
      <c r="F25" s="496">
        <f>SUM(F17:F24)</f>
        <v>0</v>
      </c>
      <c r="G25" s="496">
        <f>SUM(G17:G24)</f>
        <v>0</v>
      </c>
      <c r="H25" s="493">
        <f>'Sources and Uses Budget'!T26</f>
        <v>0</v>
      </c>
      <c r="I25" s="496">
        <f>SUM(I17:I24)</f>
        <v>0</v>
      </c>
      <c r="J25" s="496">
        <f>SUM(J17:J24)</f>
        <v>0</v>
      </c>
      <c r="K25" s="488"/>
    </row>
    <row r="26" spans="1:11" s="217" customFormat="1">
      <c r="A26" s="207" t="s">
        <v>1663</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1664</v>
      </c>
      <c r="B27" s="492"/>
      <c r="C27" s="492"/>
      <c r="D27" s="492"/>
      <c r="E27" s="492"/>
      <c r="F27" s="492"/>
      <c r="G27" s="492"/>
      <c r="H27" s="492"/>
      <c r="I27" s="492"/>
      <c r="J27" s="492"/>
      <c r="K27" s="488"/>
    </row>
    <row r="28" spans="1:11" s="217" customFormat="1">
      <c r="A28" s="203" t="s">
        <v>1653</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1654</v>
      </c>
      <c r="B29" s="493">
        <f>'Sources and Uses Budget'!C30</f>
        <v>0</v>
      </c>
      <c r="C29" s="494"/>
      <c r="D29" s="494"/>
      <c r="E29" s="493">
        <f>'Sources and Uses Budget'!S30</f>
        <v>0</v>
      </c>
      <c r="F29" s="494"/>
      <c r="G29" s="494"/>
      <c r="H29" s="493">
        <f>'Sources and Uses Budget'!T30</f>
        <v>0</v>
      </c>
      <c r="I29" s="494"/>
      <c r="J29" s="494"/>
      <c r="K29" s="488"/>
    </row>
    <row r="30" spans="1:11" s="217" customFormat="1">
      <c r="A30" s="203" t="s">
        <v>1655</v>
      </c>
      <c r="B30" s="493">
        <f>'Sources and Uses Budget'!C31</f>
        <v>0</v>
      </c>
      <c r="C30" s="494"/>
      <c r="D30" s="494"/>
      <c r="E30" s="493">
        <f>'Sources and Uses Budget'!S31</f>
        <v>0</v>
      </c>
      <c r="F30" s="494"/>
      <c r="G30" s="494"/>
      <c r="H30" s="493">
        <f>'Sources and Uses Budget'!T31</f>
        <v>0</v>
      </c>
      <c r="I30" s="494"/>
      <c r="J30" s="494"/>
      <c r="K30" s="488"/>
    </row>
    <row r="31" spans="1:11" s="217" customFormat="1">
      <c r="A31" s="203" t="s">
        <v>1656</v>
      </c>
      <c r="B31" s="493">
        <f>'Sources and Uses Budget'!C32</f>
        <v>0</v>
      </c>
      <c r="C31" s="494"/>
      <c r="D31" s="494"/>
      <c r="E31" s="493">
        <f>'Sources and Uses Budget'!S32</f>
        <v>0</v>
      </c>
      <c r="F31" s="494"/>
      <c r="G31" s="494"/>
      <c r="H31" s="493">
        <f>'Sources and Uses Budget'!T32</f>
        <v>0</v>
      </c>
      <c r="I31" s="494"/>
      <c r="J31" s="494"/>
      <c r="K31" s="488"/>
    </row>
    <row r="32" spans="1:11" s="217" customFormat="1">
      <c r="A32" s="203" t="s">
        <v>1657</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1658</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1659</v>
      </c>
      <c r="B34" s="493">
        <f>'Sources and Uses Budget'!C35</f>
        <v>0</v>
      </c>
      <c r="C34" s="494"/>
      <c r="D34" s="494"/>
      <c r="E34" s="493">
        <f>'Sources and Uses Budget'!S35</f>
        <v>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1665</v>
      </c>
      <c r="B37" s="493">
        <f>'Sources and Uses Budget'!C38</f>
        <v>0</v>
      </c>
      <c r="C37" s="493">
        <f>SUM(C28:C36)</f>
        <v>0</v>
      </c>
      <c r="D37" s="493">
        <f>SUM(D28:D36)</f>
        <v>0</v>
      </c>
      <c r="E37" s="493">
        <f>'Sources and Uses Budget'!S38</f>
        <v>0</v>
      </c>
      <c r="F37" s="496">
        <f>SUM(F28:F36)</f>
        <v>0</v>
      </c>
      <c r="G37" s="496">
        <f>SUM(G28:G36)</f>
        <v>0</v>
      </c>
      <c r="H37" s="493">
        <f>'Sources and Uses Budget'!T38</f>
        <v>0</v>
      </c>
      <c r="I37" s="496">
        <f>SUM(I28:I36)</f>
        <v>0</v>
      </c>
      <c r="J37" s="496">
        <f>SUM(J28:J36)</f>
        <v>0</v>
      </c>
      <c r="K37" s="488"/>
    </row>
    <row r="38" spans="1:11" s="217" customFormat="1">
      <c r="A38" s="199" t="s">
        <v>1666</v>
      </c>
      <c r="B38" s="492"/>
      <c r="C38" s="492"/>
      <c r="D38" s="492"/>
      <c r="E38" s="492"/>
      <c r="F38" s="492"/>
      <c r="G38" s="492"/>
      <c r="H38" s="492"/>
      <c r="I38" s="492"/>
      <c r="J38" s="492"/>
      <c r="K38" s="488"/>
    </row>
    <row r="39" spans="1:11" s="217" customFormat="1">
      <c r="A39" s="203" t="s">
        <v>1667</v>
      </c>
      <c r="B39" s="493">
        <f>'Sources and Uses Budget'!C40</f>
        <v>689361</v>
      </c>
      <c r="C39" s="494"/>
      <c r="D39" s="494"/>
      <c r="E39" s="493">
        <f>'Sources and Uses Budget'!S40</f>
        <v>689361</v>
      </c>
      <c r="F39" s="494"/>
      <c r="G39" s="494"/>
      <c r="H39" s="493">
        <f>'Sources and Uses Budget'!T40</f>
        <v>0</v>
      </c>
      <c r="I39" s="494"/>
      <c r="J39" s="494"/>
      <c r="K39" s="488"/>
    </row>
    <row r="40" spans="1:11" s="217" customFormat="1">
      <c r="A40" s="203" t="s">
        <v>1668</v>
      </c>
      <c r="B40" s="493">
        <f>'Sources and Uses Budget'!C41</f>
        <v>188008</v>
      </c>
      <c r="C40" s="494"/>
      <c r="D40" s="494"/>
      <c r="E40" s="493">
        <f>'Sources and Uses Budget'!S41</f>
        <v>188008</v>
      </c>
      <c r="F40" s="494"/>
      <c r="G40" s="494"/>
      <c r="H40" s="493">
        <f>'Sources and Uses Budget'!T41</f>
        <v>0</v>
      </c>
      <c r="I40" s="494"/>
      <c r="J40" s="494"/>
      <c r="K40" s="488"/>
    </row>
    <row r="41" spans="1:11" s="217" customFormat="1">
      <c r="A41" s="207" t="s">
        <v>1669</v>
      </c>
      <c r="B41" s="493">
        <f>'Sources and Uses Budget'!C42</f>
        <v>877369</v>
      </c>
      <c r="C41" s="493">
        <f>SUM(C38:C40)</f>
        <v>0</v>
      </c>
      <c r="D41" s="493">
        <f>SUM(D38:D40)</f>
        <v>0</v>
      </c>
      <c r="E41" s="493">
        <f>'Sources and Uses Budget'!S42</f>
        <v>877369</v>
      </c>
      <c r="F41" s="496">
        <f>SUM(F39:F40)</f>
        <v>0</v>
      </c>
      <c r="G41" s="496">
        <f>SUM(G39:G40)</f>
        <v>0</v>
      </c>
      <c r="H41" s="493">
        <f>'Sources and Uses Budget'!T42</f>
        <v>0</v>
      </c>
      <c r="I41" s="496">
        <f>SUM(I39:I40)</f>
        <v>0</v>
      </c>
      <c r="J41" s="496">
        <f>SUM(J39:J40)</f>
        <v>0</v>
      </c>
      <c r="K41" s="488"/>
    </row>
    <row r="42" spans="1:11" s="217" customFormat="1">
      <c r="A42" s="207" t="s">
        <v>1670</v>
      </c>
      <c r="B42" s="493">
        <f>'Sources and Uses Budget'!C43</f>
        <v>235000</v>
      </c>
      <c r="C42" s="494"/>
      <c r="D42" s="494"/>
      <c r="E42" s="493">
        <f>'Sources and Uses Budget'!S43</f>
        <v>235000</v>
      </c>
      <c r="F42" s="494"/>
      <c r="G42" s="494"/>
      <c r="H42" s="493">
        <f>'Sources and Uses Budget'!T43</f>
        <v>0</v>
      </c>
      <c r="I42" s="494"/>
      <c r="J42" s="494"/>
      <c r="K42" s="488"/>
    </row>
    <row r="43" spans="1:11" s="217" customFormat="1">
      <c r="A43" s="199" t="s">
        <v>1671</v>
      </c>
      <c r="B43" s="492"/>
      <c r="C43" s="492"/>
      <c r="D43" s="492"/>
      <c r="E43" s="492"/>
      <c r="F43" s="492"/>
      <c r="G43" s="492"/>
      <c r="H43" s="492"/>
      <c r="I43" s="492"/>
      <c r="J43" s="492"/>
      <c r="K43" s="488"/>
    </row>
    <row r="44" spans="1:11" s="217" customFormat="1">
      <c r="A44" s="203" t="s">
        <v>1672</v>
      </c>
      <c r="B44" s="493">
        <f>'Sources and Uses Budget'!C45</f>
        <v>940146</v>
      </c>
      <c r="C44" s="494"/>
      <c r="D44" s="494"/>
      <c r="E44" s="493">
        <f>'Sources and Uses Budget'!S45</f>
        <v>494780</v>
      </c>
      <c r="F44" s="494"/>
      <c r="G44" s="494"/>
      <c r="H44" s="493">
        <f>'Sources and Uses Budget'!T45</f>
        <v>0</v>
      </c>
      <c r="I44" s="494"/>
      <c r="J44" s="494"/>
      <c r="K44" s="488"/>
    </row>
    <row r="45" spans="1:11" s="217" customFormat="1">
      <c r="A45" s="203" t="s">
        <v>1673</v>
      </c>
      <c r="B45" s="493">
        <f>'Sources and Uses Budget'!C46</f>
        <v>123942</v>
      </c>
      <c r="C45" s="494"/>
      <c r="D45" s="494"/>
      <c r="E45" s="493">
        <f>'Sources and Uses Budget'!S46</f>
        <v>65228</v>
      </c>
      <c r="F45" s="494"/>
      <c r="G45" s="494"/>
      <c r="H45" s="493">
        <f>'Sources and Uses Budget'!T46</f>
        <v>0</v>
      </c>
      <c r="I45" s="494"/>
      <c r="J45" s="494"/>
      <c r="K45" s="488"/>
    </row>
    <row r="46" spans="1:11" s="217" customFormat="1" ht="12" customHeight="1">
      <c r="A46" s="203" t="s">
        <v>1674</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1675</v>
      </c>
      <c r="B47" s="493">
        <f>'Sources and Uses Budget'!C48</f>
        <v>81183</v>
      </c>
      <c r="C47" s="494"/>
      <c r="D47" s="494"/>
      <c r="E47" s="493">
        <f>'Sources and Uses Budget'!S48</f>
        <v>81183</v>
      </c>
      <c r="F47" s="494"/>
      <c r="G47" s="494"/>
      <c r="H47" s="493">
        <f>'Sources and Uses Budget'!T48</f>
        <v>0</v>
      </c>
      <c r="I47" s="494"/>
      <c r="J47" s="494"/>
      <c r="K47" s="488"/>
    </row>
    <row r="48" spans="1:11" s="217" customFormat="1">
      <c r="A48" s="203" t="s">
        <v>1676</v>
      </c>
      <c r="B48" s="493">
        <f>'Sources and Uses Budget'!C49</f>
        <v>35000</v>
      </c>
      <c r="C48" s="494"/>
      <c r="D48" s="494"/>
      <c r="E48" s="493">
        <f>'Sources and Uses Budget'!S49</f>
        <v>35000</v>
      </c>
      <c r="F48" s="494"/>
      <c r="G48" s="494"/>
      <c r="H48" s="493">
        <f>'Sources and Uses Budget'!T49</f>
        <v>0</v>
      </c>
      <c r="I48" s="494"/>
      <c r="J48" s="494"/>
      <c r="K48" s="488"/>
    </row>
    <row r="49" spans="1:11" s="217" customFormat="1">
      <c r="A49" s="203" t="s">
        <v>1677</v>
      </c>
      <c r="B49" s="493">
        <f>'Sources and Uses Budget'!C50</f>
        <v>0</v>
      </c>
      <c r="C49" s="494"/>
      <c r="D49" s="494"/>
      <c r="E49" s="493">
        <f>'Sources and Uses Budget'!S50</f>
        <v>0</v>
      </c>
      <c r="F49" s="494"/>
      <c r="G49" s="494"/>
      <c r="H49" s="493">
        <f>'Sources and Uses Budget'!T50</f>
        <v>0</v>
      </c>
      <c r="I49" s="494"/>
      <c r="J49" s="494"/>
      <c r="K49" s="488"/>
    </row>
    <row r="50" spans="1:11" s="217" customFormat="1">
      <c r="A50" s="203" t="s">
        <v>1469</v>
      </c>
      <c r="B50" s="493">
        <f>'Sources and Uses Budget'!C51</f>
        <v>600000</v>
      </c>
      <c r="C50" s="494"/>
      <c r="D50" s="494"/>
      <c r="E50" s="493">
        <f>'Sources and Uses Budget'!S51</f>
        <v>600000</v>
      </c>
      <c r="F50" s="494"/>
      <c r="G50" s="494"/>
      <c r="H50" s="493">
        <f>'Sources and Uses Budget'!T51</f>
        <v>0</v>
      </c>
      <c r="I50" s="494"/>
      <c r="J50" s="494"/>
      <c r="K50" s="488"/>
    </row>
    <row r="51" spans="1:11" s="217" customFormat="1">
      <c r="A51" s="203" t="str">
        <f>'Sources and Uses Budget'!$A52</f>
        <v>Other: Construction Lender Expenses</v>
      </c>
      <c r="B51" s="493">
        <f>'Sources and Uses Budget'!C52</f>
        <v>80000</v>
      </c>
      <c r="C51" s="494"/>
      <c r="D51" s="494"/>
      <c r="E51" s="493">
        <f>'Sources and Uses Budget'!S52</f>
        <v>42102</v>
      </c>
      <c r="F51" s="494"/>
      <c r="G51" s="494"/>
      <c r="H51" s="493">
        <f>'Sources and Uses Budget'!T52</f>
        <v>0</v>
      </c>
      <c r="I51" s="494"/>
      <c r="J51" s="494"/>
      <c r="K51" s="488"/>
    </row>
    <row r="52" spans="1:11" s="486" customFormat="1">
      <c r="A52" s="207" t="s">
        <v>1679</v>
      </c>
      <c r="B52" s="493">
        <f>'Sources and Uses Budget'!C53</f>
        <v>1860271</v>
      </c>
      <c r="C52" s="496">
        <f>SUM(C44:C51)</f>
        <v>0</v>
      </c>
      <c r="D52" s="496">
        <f>SUM(D44:D51)</f>
        <v>0</v>
      </c>
      <c r="E52" s="493">
        <f>'Sources and Uses Budget'!S53</f>
        <v>1318293</v>
      </c>
      <c r="F52" s="496">
        <f>SUM(F44:F51)</f>
        <v>0</v>
      </c>
      <c r="G52" s="496">
        <f>SUM(G44:G51)</f>
        <v>0</v>
      </c>
      <c r="H52" s="493">
        <f>'Sources and Uses Budget'!T53</f>
        <v>0</v>
      </c>
      <c r="I52" s="496">
        <f>SUM(I44:I51)</f>
        <v>0</v>
      </c>
      <c r="J52" s="496">
        <f>SUM(J44:J51)</f>
        <v>0</v>
      </c>
      <c r="K52" s="489"/>
    </row>
    <row r="53" spans="1:11" s="217" customFormat="1">
      <c r="A53" s="199" t="s">
        <v>1263</v>
      </c>
      <c r="B53" s="492"/>
      <c r="C53" s="492"/>
      <c r="D53" s="492"/>
      <c r="E53" s="492"/>
      <c r="F53" s="492"/>
      <c r="G53" s="492"/>
      <c r="H53" s="492"/>
      <c r="I53" s="492"/>
      <c r="J53" s="492"/>
      <c r="K53" s="488"/>
    </row>
    <row r="54" spans="1:11" s="217" customFormat="1">
      <c r="A54" s="203" t="s">
        <v>1680</v>
      </c>
      <c r="B54" s="493">
        <f>'Sources and Uses Budget'!C55</f>
        <v>11220</v>
      </c>
      <c r="C54" s="494"/>
      <c r="D54" s="494"/>
      <c r="E54" s="495"/>
      <c r="F54" s="495"/>
      <c r="G54" s="495"/>
      <c r="H54" s="495"/>
      <c r="I54" s="495"/>
      <c r="J54" s="495"/>
      <c r="K54" s="488"/>
    </row>
    <row r="55" spans="1:11" s="217" customFormat="1" ht="12" customHeight="1">
      <c r="A55" s="203" t="s">
        <v>1674</v>
      </c>
      <c r="B55" s="493">
        <f>'Sources and Uses Budget'!C56</f>
        <v>0</v>
      </c>
      <c r="C55" s="494"/>
      <c r="D55" s="494"/>
      <c r="E55" s="495"/>
      <c r="F55" s="495"/>
      <c r="G55" s="495"/>
      <c r="H55" s="495"/>
      <c r="I55" s="495"/>
      <c r="J55" s="495"/>
      <c r="K55" s="488"/>
    </row>
    <row r="56" spans="1:11" s="217" customFormat="1">
      <c r="A56" s="203" t="s">
        <v>1676</v>
      </c>
      <c r="B56" s="493">
        <f>'Sources and Uses Budget'!C57</f>
        <v>0</v>
      </c>
      <c r="C56" s="494"/>
      <c r="D56" s="494"/>
      <c r="E56" s="495"/>
      <c r="F56" s="495"/>
      <c r="G56" s="495"/>
      <c r="H56" s="495"/>
      <c r="I56" s="495"/>
      <c r="J56" s="495"/>
      <c r="K56" s="488"/>
    </row>
    <row r="57" spans="1:11" s="217" customFormat="1">
      <c r="A57" s="203" t="s">
        <v>1677</v>
      </c>
      <c r="B57" s="493">
        <f>'Sources and Uses Budget'!C58</f>
        <v>0</v>
      </c>
      <c r="C57" s="494"/>
      <c r="D57" s="494"/>
      <c r="E57" s="495"/>
      <c r="F57" s="495"/>
      <c r="G57" s="495"/>
      <c r="H57" s="495"/>
      <c r="I57" s="495"/>
      <c r="J57" s="495"/>
      <c r="K57" s="488"/>
    </row>
    <row r="58" spans="1:11" s="217" customFormat="1">
      <c r="A58" s="203" t="s">
        <v>1469</v>
      </c>
      <c r="B58" s="493">
        <f>'Sources and Uses Budget'!C59</f>
        <v>0</v>
      </c>
      <c r="C58" s="494"/>
      <c r="D58" s="494"/>
      <c r="E58" s="495"/>
      <c r="F58" s="495"/>
      <c r="G58" s="495"/>
      <c r="H58" s="495"/>
      <c r="I58" s="495"/>
      <c r="J58" s="495"/>
      <c r="K58" s="488"/>
    </row>
    <row r="59" spans="1:11" s="217" customFormat="1">
      <c r="A59" s="203" t="str">
        <f>'Sources and Uses Budget'!$A60</f>
        <v>Other: Perm Lender Expenses</v>
      </c>
      <c r="B59" s="493">
        <f>'Sources and Uses Budget'!C60</f>
        <v>20000</v>
      </c>
      <c r="C59" s="494"/>
      <c r="D59" s="494"/>
      <c r="E59" s="495"/>
      <c r="F59" s="495"/>
      <c r="G59" s="495"/>
      <c r="H59" s="495"/>
      <c r="I59" s="495"/>
      <c r="J59" s="495"/>
      <c r="K59" s="488"/>
    </row>
    <row r="60" spans="1:11" s="217" customFormat="1" ht="14.1" customHeight="1">
      <c r="A60" s="207" t="s">
        <v>1682</v>
      </c>
      <c r="B60" s="493">
        <f>'Sources and Uses Budget'!C61</f>
        <v>31220</v>
      </c>
      <c r="C60" s="493">
        <f>SUM(C54:C59)</f>
        <v>0</v>
      </c>
      <c r="D60" s="493">
        <f>SUM(D54:D59)</f>
        <v>0</v>
      </c>
      <c r="E60" s="495"/>
      <c r="F60" s="495"/>
      <c r="G60" s="495"/>
      <c r="H60" s="495"/>
      <c r="I60" s="495"/>
      <c r="J60" s="495"/>
      <c r="K60" s="488"/>
    </row>
    <row r="61" spans="1:11" s="217" customFormat="1">
      <c r="A61" s="213" t="s">
        <v>1683</v>
      </c>
      <c r="B61" s="493">
        <f>'Sources and Uses Budget'!C62</f>
        <v>24436622</v>
      </c>
      <c r="C61" s="493">
        <f>SUM(C8+C11+C13+C14+C15+C25+C26+C37+C41+C42+C52+C60)</f>
        <v>0</v>
      </c>
      <c r="D61" s="493">
        <f>SUM(D8+D11+D13+D14+D15+D25+D26+D37+D41+D42+D52+D60)</f>
        <v>0</v>
      </c>
      <c r="E61" s="493">
        <f>'Sources and Uses Budget'!S62</f>
        <v>13288224</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1684</v>
      </c>
      <c r="B62" s="492"/>
      <c r="C62" s="492"/>
      <c r="D62" s="492"/>
      <c r="E62" s="492"/>
      <c r="F62" s="492"/>
      <c r="G62" s="492"/>
      <c r="H62" s="492"/>
      <c r="I62" s="492"/>
      <c r="J62" s="492"/>
      <c r="K62" s="488"/>
    </row>
    <row r="63" spans="1:11" s="217" customFormat="1">
      <c r="A63" s="203" t="s">
        <v>1685</v>
      </c>
      <c r="B63" s="493">
        <f>'Sources and Uses Budget'!C64</f>
        <v>105000</v>
      </c>
      <c r="C63" s="494"/>
      <c r="D63" s="494"/>
      <c r="E63" s="493">
        <f>'Sources and Uses Budget'!S64</f>
        <v>39471</v>
      </c>
      <c r="F63" s="494"/>
      <c r="G63" s="494"/>
      <c r="H63" s="493">
        <f>'Sources and Uses Budget'!T64</f>
        <v>0</v>
      </c>
      <c r="I63" s="494"/>
      <c r="J63" s="494"/>
      <c r="K63" s="488"/>
    </row>
    <row r="64" spans="1:11" s="217" customFormat="1" ht="24">
      <c r="A64" s="203" t="s">
        <v>1686</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1687</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1688</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Owner Legal</v>
      </c>
      <c r="B67" s="493">
        <f>'Sources and Uses Budget'!C68</f>
        <v>145000</v>
      </c>
      <c r="C67" s="494"/>
      <c r="D67" s="494"/>
      <c r="E67" s="493">
        <f>'Sources and Uses Budget'!S68</f>
        <v>100000</v>
      </c>
      <c r="F67" s="494"/>
      <c r="G67" s="494"/>
      <c r="H67" s="493">
        <f>'Sources and Uses Budget'!T68</f>
        <v>0</v>
      </c>
      <c r="I67" s="494"/>
      <c r="J67" s="494"/>
      <c r="K67" s="488"/>
    </row>
    <row r="68" spans="1:11" s="217" customFormat="1">
      <c r="A68" s="207" t="s">
        <v>1690</v>
      </c>
      <c r="B68" s="493">
        <f>'Sources and Uses Budget'!C69</f>
        <v>250000</v>
      </c>
      <c r="C68" s="493">
        <f>SUM(C62:C67)</f>
        <v>0</v>
      </c>
      <c r="D68" s="493">
        <f>SUM(D62:D67)</f>
        <v>0</v>
      </c>
      <c r="E68" s="493">
        <f>'Sources and Uses Budget'!S69</f>
        <v>139471</v>
      </c>
      <c r="F68" s="496">
        <f>SUM(F63:F67)</f>
        <v>0</v>
      </c>
      <c r="G68" s="496">
        <f>SUM(G63:G67)</f>
        <v>0</v>
      </c>
      <c r="H68" s="493">
        <f>'Sources and Uses Budget'!T69</f>
        <v>0</v>
      </c>
      <c r="I68" s="496">
        <f>SUM(I63:I67)</f>
        <v>0</v>
      </c>
      <c r="J68" s="496">
        <f>SUM(J63:J67)</f>
        <v>0</v>
      </c>
      <c r="K68" s="488"/>
    </row>
    <row r="69" spans="1:11" s="217" customFormat="1">
      <c r="A69" s="199" t="s">
        <v>1691</v>
      </c>
      <c r="B69" s="492"/>
      <c r="C69" s="492"/>
      <c r="D69" s="492"/>
      <c r="E69" s="492"/>
      <c r="F69" s="492"/>
      <c r="G69" s="492"/>
      <c r="H69" s="492"/>
      <c r="I69" s="492"/>
      <c r="J69" s="492"/>
      <c r="K69" s="488"/>
    </row>
    <row r="70" spans="1:11" s="217" customFormat="1">
      <c r="A70" s="203" t="s">
        <v>1692</v>
      </c>
      <c r="B70" s="493">
        <f>'Sources and Uses Budget'!C71</f>
        <v>0</v>
      </c>
      <c r="C70" s="494"/>
      <c r="D70" s="494"/>
      <c r="E70" s="495"/>
      <c r="F70" s="495"/>
      <c r="G70" s="495"/>
      <c r="H70" s="495"/>
      <c r="I70" s="495"/>
      <c r="J70" s="495"/>
      <c r="K70" s="488"/>
    </row>
    <row r="71" spans="1:11" s="217" customFormat="1">
      <c r="A71" s="203" t="s">
        <v>1693</v>
      </c>
      <c r="B71" s="493">
        <f>'Sources and Uses Budget'!C72</f>
        <v>0</v>
      </c>
      <c r="C71" s="494"/>
      <c r="D71" s="494"/>
      <c r="E71" s="495"/>
      <c r="F71" s="495"/>
      <c r="G71" s="495"/>
      <c r="H71" s="495"/>
      <c r="I71" s="495"/>
      <c r="J71" s="495"/>
      <c r="K71" s="488"/>
    </row>
    <row r="72" spans="1:11" s="217" customFormat="1">
      <c r="A72" s="373" t="s">
        <v>1694</v>
      </c>
      <c r="B72" s="493">
        <f>'Sources and Uses Budget'!C73</f>
        <v>200000</v>
      </c>
      <c r="C72" s="494"/>
      <c r="D72" s="494"/>
      <c r="E72" s="495"/>
      <c r="F72" s="495"/>
      <c r="G72" s="495"/>
      <c r="H72" s="495"/>
      <c r="I72" s="495"/>
      <c r="J72" s="495"/>
      <c r="K72" s="488"/>
    </row>
    <row r="73" spans="1:11" s="217" customFormat="1">
      <c r="A73" s="203" t="s">
        <v>1695</v>
      </c>
      <c r="B73" s="493">
        <f>'Sources and Uses Budget'!C74</f>
        <v>386070</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1696</v>
      </c>
      <c r="B75" s="493">
        <f>'Sources and Uses Budget'!C76</f>
        <v>586070</v>
      </c>
      <c r="C75" s="493">
        <f>SUM(C70:C74)</f>
        <v>0</v>
      </c>
      <c r="D75" s="493">
        <f>SUM(D70:D74)</f>
        <v>0</v>
      </c>
      <c r="E75" s="495"/>
      <c r="F75" s="495"/>
      <c r="G75" s="495"/>
      <c r="H75" s="495"/>
      <c r="I75" s="495"/>
      <c r="J75" s="495"/>
      <c r="K75" s="488"/>
    </row>
    <row r="76" spans="1:11" s="217" customFormat="1">
      <c r="A76" s="199" t="s">
        <v>1697</v>
      </c>
      <c r="B76" s="492"/>
      <c r="C76" s="492"/>
      <c r="D76" s="492"/>
      <c r="E76" s="492"/>
      <c r="F76" s="492"/>
      <c r="G76" s="492"/>
      <c r="H76" s="492"/>
      <c r="I76" s="492"/>
      <c r="J76" s="492"/>
      <c r="K76" s="488"/>
    </row>
    <row r="77" spans="1:11" s="217" customFormat="1">
      <c r="A77" s="203" t="s">
        <v>1816</v>
      </c>
      <c r="B77" s="493">
        <f>'Sources and Uses Budget'!C78</f>
        <v>1545099</v>
      </c>
      <c r="C77" s="494"/>
      <c r="D77" s="494"/>
      <c r="E77" s="493">
        <f>'Sources and Uses Budget'!S78</f>
        <v>1545099</v>
      </c>
      <c r="F77" s="494"/>
      <c r="G77" s="494"/>
      <c r="H77" s="493">
        <f>'Sources and Uses Budget'!T78</f>
        <v>0</v>
      </c>
      <c r="I77" s="494"/>
      <c r="J77" s="494"/>
      <c r="K77" s="488"/>
    </row>
    <row r="78" spans="1:11" s="217" customFormat="1">
      <c r="A78" s="203" t="s">
        <v>1699</v>
      </c>
      <c r="B78" s="493">
        <f>'Sources and Uses Budget'!C79</f>
        <v>256993</v>
      </c>
      <c r="C78" s="494"/>
      <c r="D78" s="494"/>
      <c r="E78" s="493">
        <f>'Sources and Uses Budget'!S79</f>
        <v>256993</v>
      </c>
      <c r="F78" s="494"/>
      <c r="G78" s="494"/>
      <c r="H78" s="493">
        <f>'Sources and Uses Budget'!T79</f>
        <v>0</v>
      </c>
      <c r="I78" s="494"/>
      <c r="J78" s="494"/>
      <c r="K78" s="488"/>
    </row>
    <row r="79" spans="1:11" s="217" customFormat="1">
      <c r="A79" s="207" t="s">
        <v>1700</v>
      </c>
      <c r="B79" s="493">
        <f>'Sources and Uses Budget'!C80</f>
        <v>1802092</v>
      </c>
      <c r="C79" s="569">
        <f>SUM(C77:C78)</f>
        <v>0</v>
      </c>
      <c r="D79" s="569">
        <f>SUM(D77:D78)</f>
        <v>0</v>
      </c>
      <c r="E79" s="493">
        <f>'Sources and Uses Budget'!S80</f>
        <v>1802092</v>
      </c>
      <c r="F79" s="569">
        <f>SUM(F77:F78)</f>
        <v>0</v>
      </c>
      <c r="G79" s="569">
        <f>SUM(G77:G78)</f>
        <v>0</v>
      </c>
      <c r="H79" s="493">
        <f>'Sources and Uses Budget'!T80</f>
        <v>0</v>
      </c>
      <c r="I79" s="569">
        <f>SUM(I77:I78)</f>
        <v>0</v>
      </c>
      <c r="J79" s="569">
        <f>SUM(J77:J78)</f>
        <v>0</v>
      </c>
      <c r="K79" s="488"/>
    </row>
    <row r="80" spans="1:11" s="217" customFormat="1">
      <c r="A80" s="199" t="s">
        <v>1701</v>
      </c>
      <c r="B80" s="492"/>
      <c r="C80" s="492"/>
      <c r="D80" s="492"/>
      <c r="E80" s="492"/>
      <c r="F80" s="492"/>
      <c r="G80" s="492"/>
      <c r="H80" s="492"/>
      <c r="I80" s="492"/>
      <c r="J80" s="492"/>
      <c r="K80" s="488"/>
    </row>
    <row r="81" spans="1:11" s="217" customFormat="1" ht="14.1" customHeight="1">
      <c r="A81" s="203" t="s">
        <v>1702</v>
      </c>
      <c r="B81" s="493">
        <f>'Sources and Uses Budget'!C82</f>
        <v>110256</v>
      </c>
      <c r="C81" s="494"/>
      <c r="D81" s="494"/>
      <c r="E81" s="495"/>
      <c r="F81" s="495"/>
      <c r="G81" s="495"/>
      <c r="H81" s="495"/>
      <c r="I81" s="495"/>
      <c r="J81" s="495"/>
      <c r="K81" s="488"/>
    </row>
    <row r="82" spans="1:11" s="217" customFormat="1">
      <c r="A82" s="203" t="s">
        <v>1703</v>
      </c>
      <c r="B82" s="493">
        <f>'Sources and Uses Budget'!C83</f>
        <v>100000</v>
      </c>
      <c r="C82" s="494"/>
      <c r="D82" s="494"/>
      <c r="E82" s="493">
        <f>'Sources and Uses Budget'!S83</f>
        <v>100000</v>
      </c>
      <c r="F82" s="494"/>
      <c r="G82" s="494"/>
      <c r="H82" s="493">
        <f>'Sources and Uses Budget'!T83</f>
        <v>0</v>
      </c>
      <c r="I82" s="494"/>
      <c r="J82" s="494"/>
      <c r="K82" s="488"/>
    </row>
    <row r="83" spans="1:11" s="217" customFormat="1">
      <c r="A83" s="203" t="s">
        <v>1704</v>
      </c>
      <c r="B83" s="493">
        <f>'Sources and Uses Budget'!C84</f>
        <v>287925</v>
      </c>
      <c r="C83" s="494"/>
      <c r="D83" s="494"/>
      <c r="E83" s="493">
        <f>'Sources and Uses Budget'!S84</f>
        <v>287925</v>
      </c>
      <c r="F83" s="494"/>
      <c r="G83" s="494"/>
      <c r="H83" s="493">
        <f>'Sources and Uses Budget'!T84</f>
        <v>0</v>
      </c>
      <c r="I83" s="494"/>
      <c r="J83" s="494"/>
      <c r="K83" s="488"/>
    </row>
    <row r="84" spans="1:11" s="217" customFormat="1">
      <c r="A84" s="203" t="s">
        <v>1705</v>
      </c>
      <c r="B84" s="493">
        <f>'Sources and Uses Budget'!C85</f>
        <v>312075</v>
      </c>
      <c r="C84" s="494"/>
      <c r="D84" s="494"/>
      <c r="E84" s="493">
        <f>'Sources and Uses Budget'!S85</f>
        <v>312075</v>
      </c>
      <c r="F84" s="494"/>
      <c r="G84" s="494"/>
      <c r="H84" s="493">
        <f>'Sources and Uses Budget'!T85</f>
        <v>0</v>
      </c>
      <c r="I84" s="494"/>
      <c r="J84" s="494"/>
      <c r="K84" s="488"/>
    </row>
    <row r="85" spans="1:11" s="217" customFormat="1">
      <c r="A85" s="203" t="s">
        <v>1706</v>
      </c>
      <c r="B85" s="493">
        <f>'Sources and Uses Budget'!C86</f>
        <v>50000</v>
      </c>
      <c r="C85" s="494"/>
      <c r="D85" s="494"/>
      <c r="E85" s="493">
        <f>'Sources and Uses Budget'!S86</f>
        <v>50000</v>
      </c>
      <c r="F85" s="494"/>
      <c r="G85" s="494"/>
      <c r="H85" s="493">
        <f>'Sources and Uses Budget'!T86</f>
        <v>0</v>
      </c>
      <c r="I85" s="494"/>
      <c r="J85" s="494"/>
      <c r="K85" s="488"/>
    </row>
    <row r="86" spans="1:11" s="217" customFormat="1">
      <c r="A86" s="203" t="s">
        <v>1707</v>
      </c>
      <c r="B86" s="493">
        <f>'Sources and Uses Budget'!C87</f>
        <v>133000</v>
      </c>
      <c r="C86" s="494"/>
      <c r="D86" s="494"/>
      <c r="E86" s="495"/>
      <c r="F86" s="495"/>
      <c r="G86" s="495"/>
      <c r="H86" s="495"/>
      <c r="I86" s="495"/>
      <c r="J86" s="495"/>
      <c r="K86" s="488"/>
    </row>
    <row r="87" spans="1:11" s="217" customFormat="1">
      <c r="A87" s="203" t="s">
        <v>1708</v>
      </c>
      <c r="B87" s="493">
        <f>'Sources and Uses Budget'!C88</f>
        <v>400000</v>
      </c>
      <c r="C87" s="494"/>
      <c r="D87" s="494"/>
      <c r="E87" s="493">
        <f>'Sources and Uses Budget'!S88</f>
        <v>400000</v>
      </c>
      <c r="F87" s="494"/>
      <c r="G87" s="494"/>
      <c r="H87" s="493">
        <f>'Sources and Uses Budget'!T88</f>
        <v>0</v>
      </c>
      <c r="I87" s="494"/>
      <c r="J87" s="494"/>
      <c r="K87" s="488"/>
    </row>
    <row r="88" spans="1:11" s="217" customFormat="1">
      <c r="A88" s="203" t="s">
        <v>1709</v>
      </c>
      <c r="B88" s="493">
        <f>'Sources and Uses Budget'!C89</f>
        <v>10000</v>
      </c>
      <c r="C88" s="494"/>
      <c r="D88" s="494"/>
      <c r="E88" s="493">
        <f>'Sources and Uses Budget'!S89</f>
        <v>0</v>
      </c>
      <c r="F88" s="494"/>
      <c r="G88" s="494"/>
      <c r="H88" s="493">
        <f>'Sources and Uses Budget'!T89</f>
        <v>0</v>
      </c>
      <c r="I88" s="494"/>
      <c r="J88" s="494"/>
      <c r="K88" s="488"/>
    </row>
    <row r="89" spans="1:11" s="217" customFormat="1">
      <c r="A89" s="203" t="s">
        <v>1710</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1711</v>
      </c>
      <c r="B90" s="493">
        <f>'Sources and Uses Budget'!C91</f>
        <v>10000</v>
      </c>
      <c r="C90" s="494"/>
      <c r="D90" s="494"/>
      <c r="E90" s="493">
        <f>'Sources and Uses Budget'!S91</f>
        <v>10000</v>
      </c>
      <c r="F90" s="494"/>
      <c r="G90" s="494"/>
      <c r="H90" s="493">
        <f>'Sources and Uses Budget'!T91</f>
        <v>0</v>
      </c>
      <c r="I90" s="494"/>
      <c r="J90" s="494"/>
      <c r="K90" s="488"/>
    </row>
    <row r="91" spans="1:11" s="217" customFormat="1">
      <c r="A91" s="203" t="str">
        <f>'Sources and Uses Budget'!$A92</f>
        <v>Other: Wage Monitor</v>
      </c>
      <c r="B91" s="493">
        <f>'Sources and Uses Budget'!C92</f>
        <v>50000</v>
      </c>
      <c r="C91" s="494"/>
      <c r="D91" s="494"/>
      <c r="E91" s="493">
        <f>'Sources and Uses Budget'!S92</f>
        <v>50000</v>
      </c>
      <c r="F91" s="494"/>
      <c r="G91" s="494"/>
      <c r="H91" s="493">
        <f>'Sources and Uses Budget'!T92</f>
        <v>0</v>
      </c>
      <c r="I91" s="494"/>
      <c r="J91" s="494"/>
      <c r="K91" s="488"/>
    </row>
    <row r="92" spans="1:11" s="217" customFormat="1">
      <c r="A92" s="203" t="str">
        <f>'Sources and Uses Budget'!$A93</f>
        <v>Other: Accrued/Deferred Interest</v>
      </c>
      <c r="B92" s="493">
        <f>'Sources and Uses Budget'!C93</f>
        <v>494161</v>
      </c>
      <c r="C92" s="494"/>
      <c r="D92" s="494"/>
      <c r="E92" s="493">
        <f>'Sources and Uses Budget'!S93</f>
        <v>319391</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1714</v>
      </c>
      <c r="B94" s="493">
        <f>'Sources and Uses Budget'!C95</f>
        <v>1957417</v>
      </c>
      <c r="C94" s="493">
        <f>SUM(C81:C93)</f>
        <v>0</v>
      </c>
      <c r="D94" s="493">
        <f>SUM(D81:D93)</f>
        <v>0</v>
      </c>
      <c r="E94" s="493">
        <f>'Sources and Uses Budget'!S95</f>
        <v>1529391</v>
      </c>
      <c r="F94" s="496">
        <f>SUM(F82:F85,F87:F93)</f>
        <v>0</v>
      </c>
      <c r="G94" s="496">
        <f>SUM(G82:G85,G87:G93)</f>
        <v>0</v>
      </c>
      <c r="H94" s="493">
        <f>'Sources and Uses Budget'!T95</f>
        <v>0</v>
      </c>
      <c r="I94" s="493">
        <f>SUM(I82:I85,I87:I93)</f>
        <v>0</v>
      </c>
      <c r="J94" s="493">
        <f>SUM(J82:J85,J87:J93)</f>
        <v>0</v>
      </c>
      <c r="K94" s="488"/>
    </row>
    <row r="95" spans="1:11" s="217" customFormat="1">
      <c r="A95" s="207" t="s">
        <v>1817</v>
      </c>
      <c r="B95" s="493">
        <f>'Sources and Uses Budget'!C96</f>
        <v>29032201</v>
      </c>
      <c r="C95" s="493">
        <f>SUM(C61+C68+C75+C79+C94)</f>
        <v>0</v>
      </c>
      <c r="D95" s="493">
        <f>SUM(D61+D68+D75+D79+D94)</f>
        <v>0</v>
      </c>
      <c r="E95" s="493">
        <f>'Sources and Uses Budget'!S96</f>
        <v>16759178</v>
      </c>
      <c r="F95" s="496">
        <f>SUM(+F61+F68+F79+F94)</f>
        <v>0</v>
      </c>
      <c r="G95" s="496">
        <f>SUM(+G61+G68+G79+G94)</f>
        <v>0</v>
      </c>
      <c r="H95" s="493">
        <f>'Sources and Uses Budget'!T96</f>
        <v>0</v>
      </c>
      <c r="I95" s="496">
        <f>SUM(I61+I68+I79+I94)</f>
        <v>0</v>
      </c>
      <c r="J95" s="496">
        <f>SUM(J61+J68+J79+J94)</f>
        <v>0</v>
      </c>
      <c r="K95" s="488"/>
    </row>
    <row r="96" spans="1:11" s="217" customFormat="1">
      <c r="A96" s="199" t="s">
        <v>1716</v>
      </c>
      <c r="B96" s="492"/>
      <c r="C96" s="492"/>
      <c r="D96" s="492"/>
      <c r="E96" s="492"/>
      <c r="F96" s="492"/>
      <c r="G96" s="492"/>
      <c r="H96" s="492"/>
      <c r="I96" s="492"/>
      <c r="J96" s="492"/>
      <c r="K96" s="488"/>
    </row>
    <row r="97" spans="1:11" s="217" customFormat="1">
      <c r="A97" s="203" t="s">
        <v>1717</v>
      </c>
      <c r="B97" s="493">
        <f>'Sources and Uses Budget'!C98</f>
        <v>2513876</v>
      </c>
      <c r="C97" s="494"/>
      <c r="D97" s="494"/>
      <c r="E97" s="493">
        <f>'Sources and Uses Budget'!S98</f>
        <v>2513876</v>
      </c>
      <c r="F97" s="494"/>
      <c r="G97" s="494"/>
      <c r="H97" s="493">
        <f>'Sources and Uses Budget'!T98</f>
        <v>0</v>
      </c>
      <c r="I97" s="494"/>
      <c r="J97" s="494"/>
      <c r="K97" s="488"/>
    </row>
    <row r="98" spans="1:11" s="217" customFormat="1">
      <c r="A98" s="203" t="s">
        <v>1718</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1719</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1720</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1721</v>
      </c>
      <c r="B102" s="493">
        <f>'Sources and Uses Budget'!C103</f>
        <v>2513876</v>
      </c>
      <c r="C102" s="493">
        <f>SUM(C97:C101)</f>
        <v>0</v>
      </c>
      <c r="D102" s="493">
        <f>SUM(D97:D101)</f>
        <v>0</v>
      </c>
      <c r="E102" s="493">
        <f>'Sources and Uses Budget'!S103</f>
        <v>2513876</v>
      </c>
      <c r="F102" s="496">
        <f>SUM(F97:F101)</f>
        <v>0</v>
      </c>
      <c r="G102" s="496">
        <f>SUM(G97:G101)</f>
        <v>0</v>
      </c>
      <c r="H102" s="493">
        <f>'Sources and Uses Budget'!T103</f>
        <v>0</v>
      </c>
      <c r="I102" s="496">
        <f>SUM(I97:I101)</f>
        <v>0</v>
      </c>
      <c r="J102" s="496">
        <f>SUM(J97:J101)</f>
        <v>0</v>
      </c>
      <c r="K102" s="488"/>
    </row>
    <row r="103" spans="1:11" s="217" customFormat="1">
      <c r="A103" s="207" t="s">
        <v>1818</v>
      </c>
      <c r="B103" s="493">
        <f>'Sources and Uses Budget'!C104</f>
        <v>31546077</v>
      </c>
      <c r="C103" s="496">
        <f>SUM(C95+C102)</f>
        <v>0</v>
      </c>
      <c r="D103" s="496">
        <f>SUM(D95+D102)</f>
        <v>0</v>
      </c>
      <c r="E103" s="493">
        <f>'Sources and Uses Budget'!S104</f>
        <v>19273054</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19273054</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abSelected="1" topLeftCell="A280" workbookViewId="0">
      <selection activeCell="H306" sqref="H306:R30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31" t="s">
        <v>1819</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row>
    <row r="2" spans="1:43" s="5" customFormat="1" ht="12.75" customHeight="1"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1820</v>
      </c>
      <c r="AE4" s="1568" t="s">
        <v>1821</v>
      </c>
      <c r="AF4" s="1568"/>
      <c r="AG4" s="1568"/>
      <c r="AH4" s="1568"/>
      <c r="AI4" s="1568"/>
      <c r="AJ4" s="1568"/>
      <c r="AK4" s="1568"/>
      <c r="AL4" s="18"/>
      <c r="AN4" s="572"/>
    </row>
    <row r="5" spans="1:43" s="3" customFormat="1" ht="12.95" customHeight="1">
      <c r="A5" s="56"/>
      <c r="AE5" s="18"/>
      <c r="AF5" s="18"/>
      <c r="AG5" s="18"/>
      <c r="AH5" s="18"/>
      <c r="AI5" s="18"/>
      <c r="AJ5" s="18"/>
      <c r="AK5" s="18"/>
      <c r="AL5" s="18"/>
      <c r="AN5" s="572"/>
    </row>
    <row r="6" spans="1:43" s="5" customFormat="1" ht="12.75" customHeight="1">
      <c r="A6" s="56"/>
      <c r="B6" s="56" t="s">
        <v>1822</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8" t="s">
        <v>1823</v>
      </c>
      <c r="AG6" s="1558"/>
      <c r="AH6" s="1558"/>
      <c r="AI6" s="1558"/>
      <c r="AJ6" s="1558"/>
      <c r="AK6" s="1558"/>
      <c r="AL6" s="1558"/>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412" t="s">
        <v>1000</v>
      </c>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1824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1825</v>
      </c>
      <c r="AP10" s="297">
        <v>5</v>
      </c>
      <c r="AQ10" s="37"/>
    </row>
    <row r="11" spans="1:43" s="5" customFormat="1" ht="12.75" customHeight="1">
      <c r="A11" s="56"/>
      <c r="B11" s="1412" t="s">
        <v>1826</v>
      </c>
      <c r="C11" s="1412"/>
      <c r="D11" s="1412"/>
      <c r="E11" s="1412"/>
      <c r="F11" s="1412"/>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2"/>
      <c r="AF11" s="1412"/>
      <c r="AG11" s="1412"/>
      <c r="AH11" s="1412"/>
      <c r="AI11" s="1412"/>
      <c r="AJ11" s="37"/>
      <c r="AK11" s="37"/>
      <c r="AL11" s="37"/>
      <c r="AM11" s="3"/>
      <c r="AN11" s="913"/>
      <c r="AO11" s="293" t="s">
        <v>1826</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1827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7" t="s">
        <v>765</v>
      </c>
      <c r="AC13" s="1697"/>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1828</v>
      </c>
      <c r="AP14" s="297"/>
      <c r="AQ14" s="37"/>
    </row>
    <row r="15" spans="1:43" s="5" customFormat="1" ht="12.75" customHeight="1">
      <c r="A15" s="56"/>
      <c r="B15" s="54" t="s">
        <v>1829</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1830</v>
      </c>
      <c r="AP15" s="297">
        <v>5</v>
      </c>
      <c r="AQ15" s="37"/>
    </row>
    <row r="16" spans="1:43" s="5" customFormat="1" ht="12.75" customHeight="1">
      <c r="A16" s="56"/>
      <c r="B16" s="1412" t="s">
        <v>1828</v>
      </c>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1412"/>
      <c r="Z16" s="1412"/>
      <c r="AA16" s="1412"/>
      <c r="AB16" s="1412"/>
      <c r="AC16" s="1412"/>
      <c r="AD16" s="1412"/>
      <c r="AE16" s="1412"/>
      <c r="AF16" s="1412"/>
      <c r="AG16" s="1412"/>
      <c r="AH16" s="1412"/>
      <c r="AI16" s="1412"/>
      <c r="AJ16" s="1412"/>
      <c r="AK16" s="405"/>
      <c r="AL16" s="405"/>
      <c r="AM16" s="405"/>
      <c r="AN16" s="913"/>
      <c r="AO16" s="293" t="s">
        <v>1831</v>
      </c>
      <c r="AP16" s="297">
        <v>7</v>
      </c>
      <c r="AQ16" s="37"/>
    </row>
    <row r="17" spans="1:42" s="5" customFormat="1" ht="12.75" customHeight="1">
      <c r="A17" s="37"/>
      <c r="B17" s="54" t="s">
        <v>1832</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94" t="s">
        <v>1834</v>
      </c>
      <c r="C20" s="1594"/>
      <c r="D20" s="1594"/>
      <c r="E20" s="1594"/>
      <c r="F20" s="1594"/>
      <c r="G20" s="1594"/>
      <c r="H20" s="1594"/>
      <c r="I20" s="1594"/>
      <c r="J20" s="1594"/>
      <c r="K20" s="1594"/>
      <c r="L20" s="1594"/>
      <c r="M20" s="1594"/>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c r="AL20" s="81"/>
      <c r="AM20" s="26"/>
      <c r="AN20" s="913"/>
      <c r="AO20" s="37"/>
      <c r="AP20" s="37"/>
    </row>
    <row r="21" spans="1:42" s="5" customFormat="1" ht="12.75" customHeight="1">
      <c r="A21" s="26"/>
      <c r="B21" s="1594"/>
      <c r="C21" s="1594"/>
      <c r="D21" s="1594"/>
      <c r="E21" s="1594"/>
      <c r="F21" s="1594"/>
      <c r="G21" s="1594"/>
      <c r="H21" s="1594"/>
      <c r="I21" s="1594"/>
      <c r="J21" s="1594"/>
      <c r="K21" s="1594"/>
      <c r="L21" s="1594"/>
      <c r="M21" s="1594"/>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c r="AL21" s="81"/>
      <c r="AM21" s="26"/>
      <c r="AN21" s="913"/>
      <c r="AO21" s="37"/>
      <c r="AP21" s="914"/>
    </row>
    <row r="22" spans="1:42" s="5" customFormat="1" ht="12.75" customHeight="1">
      <c r="A22" s="26"/>
      <c r="B22" s="1594"/>
      <c r="C22" s="1594"/>
      <c r="D22" s="1594"/>
      <c r="E22" s="1594"/>
      <c r="F22" s="1594"/>
      <c r="G22" s="1594"/>
      <c r="H22" s="1594"/>
      <c r="I22" s="1594"/>
      <c r="J22" s="1594"/>
      <c r="K22" s="1594"/>
      <c r="L22" s="1594"/>
      <c r="M22" s="1594"/>
      <c r="N22" s="1594"/>
      <c r="O22" s="1594"/>
      <c r="P22" s="1594"/>
      <c r="Q22" s="1594"/>
      <c r="R22" s="1594"/>
      <c r="S22" s="1594"/>
      <c r="T22" s="1594"/>
      <c r="U22" s="1594"/>
      <c r="V22" s="1594"/>
      <c r="W22" s="1594"/>
      <c r="X22" s="1594"/>
      <c r="Y22" s="1594"/>
      <c r="Z22" s="1594"/>
      <c r="AA22" s="1594"/>
      <c r="AB22" s="1594"/>
      <c r="AC22" s="1594"/>
      <c r="AD22" s="1594"/>
      <c r="AE22" s="1594"/>
      <c r="AF22" s="1594"/>
      <c r="AG22" s="1594"/>
      <c r="AH22" s="1594"/>
      <c r="AI22" s="1594"/>
      <c r="AJ22" s="1594"/>
      <c r="AK22" s="1594"/>
      <c r="AL22" s="81"/>
      <c r="AM22" s="26"/>
      <c r="AN22" s="913"/>
      <c r="AO22" s="37"/>
      <c r="AP22" s="37"/>
    </row>
    <row r="23" spans="1:42" s="4" customFormat="1" ht="12.75" customHeight="1">
      <c r="A23" s="26"/>
      <c r="B23" s="1594"/>
      <c r="C23" s="1594"/>
      <c r="D23" s="1594"/>
      <c r="E23" s="1594"/>
      <c r="F23" s="1594"/>
      <c r="G23" s="1594"/>
      <c r="H23" s="1594"/>
      <c r="I23" s="1594"/>
      <c r="J23" s="1594"/>
      <c r="K23" s="1594"/>
      <c r="L23" s="1594"/>
      <c r="M23" s="1594"/>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c r="AL23" s="81"/>
      <c r="AM23" s="26"/>
      <c r="AN23" s="241"/>
    </row>
    <row r="24" spans="1:42" s="4" customFormat="1" ht="12.75" customHeight="1">
      <c r="A24" s="26"/>
      <c r="B24" s="1594"/>
      <c r="C24" s="1594"/>
      <c r="D24" s="1594"/>
      <c r="E24" s="1594"/>
      <c r="F24" s="1594"/>
      <c r="G24" s="1594"/>
      <c r="H24" s="1594"/>
      <c r="I24" s="1594"/>
      <c r="J24" s="1594"/>
      <c r="K24" s="1594"/>
      <c r="L24" s="1594"/>
      <c r="M24" s="1594"/>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c r="AL24" s="81"/>
      <c r="AM24" s="26"/>
      <c r="AN24" s="573"/>
      <c r="AO24" s="75"/>
    </row>
    <row r="25" spans="1:42" s="4" customFormat="1" ht="12.75" customHeight="1">
      <c r="A25" s="26"/>
      <c r="B25" s="1594"/>
      <c r="C25" s="1594"/>
      <c r="D25" s="1594"/>
      <c r="E25" s="1594"/>
      <c r="F25" s="1594"/>
      <c r="G25" s="1594"/>
      <c r="H25" s="1594"/>
      <c r="I25" s="1594"/>
      <c r="J25" s="1594"/>
      <c r="K25" s="1594"/>
      <c r="L25" s="1594"/>
      <c r="M25" s="159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c r="AJ25" s="1594"/>
      <c r="AK25" s="1594"/>
      <c r="AL25" s="81"/>
      <c r="AM25" s="26"/>
      <c r="AN25" s="573"/>
    </row>
    <row r="26" spans="1:42" s="4" customFormat="1" ht="12.75" customHeight="1">
      <c r="A26" s="26"/>
      <c r="B26" s="1594"/>
      <c r="C26" s="1594"/>
      <c r="D26" s="1594"/>
      <c r="E26" s="1594"/>
      <c r="F26" s="1594"/>
      <c r="G26" s="1594"/>
      <c r="H26" s="1594"/>
      <c r="I26" s="1594"/>
      <c r="J26" s="1594"/>
      <c r="K26" s="1594"/>
      <c r="L26" s="1594"/>
      <c r="M26" s="1594"/>
      <c r="N26" s="1594"/>
      <c r="O26" s="1594"/>
      <c r="P26" s="1594"/>
      <c r="Q26" s="1594"/>
      <c r="R26" s="1594"/>
      <c r="S26" s="1594"/>
      <c r="T26" s="1594"/>
      <c r="U26" s="1594"/>
      <c r="V26" s="1594"/>
      <c r="W26" s="1594"/>
      <c r="X26" s="1594"/>
      <c r="Y26" s="1594"/>
      <c r="Z26" s="1594"/>
      <c r="AA26" s="1594"/>
      <c r="AB26" s="1594"/>
      <c r="AC26" s="1594"/>
      <c r="AD26" s="1594"/>
      <c r="AE26" s="1594"/>
      <c r="AF26" s="1594"/>
      <c r="AG26" s="1594"/>
      <c r="AH26" s="1594"/>
      <c r="AI26" s="1594"/>
      <c r="AJ26" s="1594"/>
      <c r="AK26" s="1594"/>
      <c r="AL26" s="81"/>
      <c r="AM26" s="26"/>
      <c r="AN26" s="241"/>
    </row>
    <row r="27" spans="1:42" s="4" customFormat="1" ht="12.75" customHeight="1">
      <c r="A27" s="26"/>
      <c r="B27" s="1594"/>
      <c r="C27" s="1594"/>
      <c r="D27" s="1594"/>
      <c r="E27" s="1594"/>
      <c r="F27" s="1594"/>
      <c r="G27" s="1594"/>
      <c r="H27" s="1594"/>
      <c r="I27" s="1594"/>
      <c r="J27" s="1594"/>
      <c r="K27" s="1594"/>
      <c r="L27" s="1594"/>
      <c r="M27" s="1594"/>
      <c r="N27" s="1594"/>
      <c r="O27" s="1594"/>
      <c r="P27" s="1594"/>
      <c r="Q27" s="1594"/>
      <c r="R27" s="1594"/>
      <c r="S27" s="1594"/>
      <c r="T27" s="1594"/>
      <c r="U27" s="1594"/>
      <c r="V27" s="1594"/>
      <c r="W27" s="1594"/>
      <c r="X27" s="1594"/>
      <c r="Y27" s="1594"/>
      <c r="Z27" s="1594"/>
      <c r="AA27" s="1594"/>
      <c r="AB27" s="1594"/>
      <c r="AC27" s="1594"/>
      <c r="AD27" s="1594"/>
      <c r="AE27" s="1594"/>
      <c r="AF27" s="1594"/>
      <c r="AG27" s="1594"/>
      <c r="AH27" s="1594"/>
      <c r="AI27" s="1594"/>
      <c r="AJ27" s="1594"/>
      <c r="AK27" s="1594"/>
      <c r="AL27" s="81"/>
      <c r="AM27" s="26"/>
      <c r="AN27" s="521"/>
    </row>
    <row r="28" spans="1:42" s="4" customFormat="1" ht="12.75" customHeight="1">
      <c r="A28" s="26"/>
      <c r="B28" s="1594"/>
      <c r="C28" s="1594"/>
      <c r="D28" s="1594"/>
      <c r="E28" s="1594"/>
      <c r="F28" s="1594"/>
      <c r="G28" s="1594"/>
      <c r="H28" s="1594"/>
      <c r="I28" s="1594"/>
      <c r="J28" s="1594"/>
      <c r="K28" s="1594"/>
      <c r="L28" s="1594"/>
      <c r="M28" s="1594"/>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c r="AL28" s="81"/>
      <c r="AM28" s="26"/>
      <c r="AN28" s="521"/>
    </row>
    <row r="29" spans="1:42" s="4" customFormat="1" ht="31.7" customHeight="1">
      <c r="A29" s="26"/>
      <c r="B29" s="1594"/>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c r="AL29" s="81"/>
      <c r="AM29" s="26"/>
      <c r="AN29" s="521"/>
    </row>
    <row r="30" spans="1:42" s="4" customFormat="1" ht="12.75" customHeight="1">
      <c r="A30" s="37"/>
      <c r="B30" s="1690"/>
      <c r="C30" s="1690"/>
      <c r="D30" s="1690"/>
      <c r="E30" s="1690"/>
      <c r="F30" s="1690"/>
      <c r="G30" s="1690"/>
      <c r="H30" s="1690"/>
      <c r="I30" s="1690"/>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0"/>
      <c r="AF30" s="1690"/>
      <c r="AG30" s="1690"/>
      <c r="AH30" s="1690"/>
      <c r="AI30" s="1690"/>
      <c r="AJ30" s="1690"/>
      <c r="AK30" s="169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1835</v>
      </c>
      <c r="AJ31" s="118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8"/>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1836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8" t="s">
        <v>1837</v>
      </c>
      <c r="AG33" s="1558"/>
      <c r="AH33" s="1558"/>
      <c r="AI33" s="1558"/>
      <c r="AJ33" s="1558"/>
      <c r="AK33" s="1558"/>
      <c r="AL33" s="1558"/>
      <c r="AM33" s="26"/>
      <c r="AN33" s="521"/>
      <c r="AO33" s="293" t="s">
        <v>321</v>
      </c>
      <c r="AP33" s="293"/>
    </row>
    <row r="34" spans="1:42" s="4" customFormat="1" ht="12.75" customHeight="1">
      <c r="A34" s="37"/>
      <c r="B34" s="56" t="s">
        <v>1838</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1839</v>
      </c>
      <c r="AP34" s="385">
        <v>2</v>
      </c>
    </row>
    <row r="35" spans="1:42" s="4" customFormat="1" ht="12.75" customHeight="1">
      <c r="A35" s="37"/>
      <c r="B35" s="1689" t="str">
        <f>Application!AA329</f>
        <v>John Stewart Company</v>
      </c>
      <c r="C35" s="1689"/>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M35" s="26"/>
      <c r="AN35" s="241"/>
      <c r="AO35" s="293" t="s">
        <v>1840</v>
      </c>
      <c r="AP35" s="385">
        <v>3</v>
      </c>
    </row>
    <row r="36" spans="1:42" s="4" customFormat="1" ht="12.75" customHeight="1">
      <c r="A36" s="37"/>
      <c r="AM36" s="26"/>
      <c r="AN36" s="241"/>
    </row>
    <row r="37" spans="1:42" s="4" customFormat="1" ht="12.75" customHeight="1">
      <c r="A37" s="37"/>
      <c r="B37" s="20" t="s">
        <v>1824</v>
      </c>
      <c r="AA37" s="3"/>
      <c r="AB37" s="3"/>
      <c r="AC37" s="3"/>
      <c r="AD37" s="3"/>
      <c r="AM37" s="26"/>
      <c r="AN37" s="241"/>
    </row>
    <row r="38" spans="1:42" s="4" customFormat="1" ht="12.75" customHeight="1">
      <c r="A38" s="37"/>
      <c r="B38" s="1412" t="s">
        <v>1840</v>
      </c>
      <c r="C38" s="1412"/>
      <c r="D38" s="1412"/>
      <c r="E38" s="1412"/>
      <c r="F38" s="1412"/>
      <c r="G38" s="1412"/>
      <c r="H38" s="1412"/>
      <c r="I38" s="1412"/>
      <c r="J38" s="1412"/>
      <c r="K38" s="1412"/>
      <c r="L38" s="1412"/>
      <c r="M38" s="1412"/>
      <c r="N38" s="1412"/>
      <c r="O38" s="1412"/>
      <c r="P38" s="1412"/>
      <c r="Q38" s="1412"/>
      <c r="R38" s="1412"/>
      <c r="S38" s="1412"/>
      <c r="T38" s="1412"/>
      <c r="U38" s="1412"/>
      <c r="V38" s="1412"/>
      <c r="W38" s="1412"/>
      <c r="X38" s="1412"/>
      <c r="Y38" s="1412"/>
      <c r="Z38" s="1412"/>
      <c r="AA38" s="1412"/>
      <c r="AB38" s="1412"/>
      <c r="AC38" s="1412"/>
      <c r="AM38" s="26"/>
      <c r="AN38" s="241"/>
      <c r="AO38" s="293" t="s">
        <v>1828</v>
      </c>
      <c r="AP38" s="293"/>
    </row>
    <row r="39" spans="1:42" s="4" customFormat="1" ht="12.75" customHeight="1">
      <c r="A39" s="37"/>
      <c r="AM39" s="26"/>
      <c r="AN39" s="241"/>
      <c r="AO39" s="293" t="s">
        <v>1841</v>
      </c>
      <c r="AP39" s="385">
        <v>2</v>
      </c>
    </row>
    <row r="40" spans="1:42" s="4" customFormat="1" ht="12.75" customHeight="1">
      <c r="A40" s="37"/>
      <c r="B40" s="20" t="s">
        <v>1842</v>
      </c>
      <c r="D40" s="37"/>
      <c r="E40" s="37"/>
      <c r="F40" s="37"/>
      <c r="G40" s="37"/>
      <c r="H40" s="37"/>
      <c r="I40" s="37"/>
      <c r="J40" s="37"/>
      <c r="K40" s="37"/>
      <c r="L40" s="37"/>
      <c r="M40" s="37"/>
      <c r="N40" s="37"/>
      <c r="O40" s="37"/>
      <c r="P40" s="37"/>
      <c r="Q40" s="37"/>
      <c r="R40" s="37"/>
      <c r="S40" s="37"/>
      <c r="T40" s="37"/>
      <c r="U40" s="37"/>
      <c r="V40" s="37"/>
      <c r="W40" s="37"/>
      <c r="X40" s="37"/>
      <c r="Y40" s="37"/>
      <c r="Z40" s="1412" t="s">
        <v>765</v>
      </c>
      <c r="AA40" s="1412"/>
      <c r="AB40" s="37"/>
      <c r="AM40" s="26"/>
      <c r="AN40" s="241"/>
      <c r="AO40" s="293" t="s">
        <v>1843</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1829</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12" t="s">
        <v>1843</v>
      </c>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M43" s="26"/>
      <c r="AN43" s="241"/>
    </row>
    <row r="44" spans="1:42" s="4" customFormat="1" ht="12.75" customHeight="1">
      <c r="A44" s="37"/>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1846</v>
      </c>
      <c r="AJ47" s="16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32"/>
      <c r="AL47" s="811"/>
      <c r="AM47" s="74"/>
      <c r="AN47" s="241"/>
    </row>
    <row r="48" spans="1:42" s="4" customFormat="1" ht="12.75" customHeight="1">
      <c r="A48" s="37"/>
      <c r="B48" s="810"/>
      <c r="R48" s="37"/>
      <c r="S48" s="810"/>
      <c r="AN48" s="241"/>
    </row>
    <row r="49" spans="1:46" s="4" customFormat="1" ht="12.75" customHeight="1">
      <c r="B49" s="1594" t="s">
        <v>1847</v>
      </c>
      <c r="C49" s="1594"/>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4"/>
      <c r="AD49" s="1594"/>
      <c r="AE49" s="1594"/>
      <c r="AF49" s="1594"/>
      <c r="AG49" s="1594"/>
      <c r="AH49" s="1594"/>
      <c r="AI49" s="1594"/>
      <c r="AJ49" s="1594"/>
      <c r="AK49" s="1594"/>
      <c r="AL49" s="81"/>
      <c r="AM49" s="26"/>
      <c r="AN49" s="241"/>
    </row>
    <row r="50" spans="1:46" s="4" customFormat="1" ht="12.75" customHeight="1">
      <c r="A50" s="25"/>
      <c r="B50" s="1594"/>
      <c r="C50" s="1594"/>
      <c r="D50" s="1594"/>
      <c r="E50" s="1594"/>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1594"/>
      <c r="AB50" s="1594"/>
      <c r="AC50" s="1594"/>
      <c r="AD50" s="1594"/>
      <c r="AE50" s="1594"/>
      <c r="AF50" s="1594"/>
      <c r="AG50" s="1594"/>
      <c r="AH50" s="1594"/>
      <c r="AI50" s="1594"/>
      <c r="AJ50" s="1594"/>
      <c r="AK50" s="1594"/>
      <c r="AL50" s="81"/>
      <c r="AM50" s="26"/>
      <c r="AN50" s="241"/>
    </row>
    <row r="51" spans="1:46" s="4" customFormat="1" ht="12.75" customHeight="1">
      <c r="A51" s="25"/>
      <c r="B51" s="1594"/>
      <c r="C51" s="1594"/>
      <c r="D51" s="1594"/>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1594"/>
      <c r="AB51" s="1594"/>
      <c r="AC51" s="1594"/>
      <c r="AD51" s="1594"/>
      <c r="AE51" s="1594"/>
      <c r="AF51" s="1594"/>
      <c r="AG51" s="1594"/>
      <c r="AH51" s="1594"/>
      <c r="AI51" s="1594"/>
      <c r="AJ51" s="1594"/>
      <c r="AK51" s="1594"/>
      <c r="AL51" s="81"/>
      <c r="AM51" s="26"/>
      <c r="AN51" s="241"/>
    </row>
    <row r="52" spans="1:46" s="4" customFormat="1" ht="12.75" customHeight="1">
      <c r="A52" s="25"/>
      <c r="B52" s="1594"/>
      <c r="C52" s="1594"/>
      <c r="D52" s="1594"/>
      <c r="E52" s="1594"/>
      <c r="F52" s="1594"/>
      <c r="G52" s="1594"/>
      <c r="H52" s="1594"/>
      <c r="I52" s="1594"/>
      <c r="J52" s="1594"/>
      <c r="K52" s="1594"/>
      <c r="L52" s="1594"/>
      <c r="M52" s="1594"/>
      <c r="N52" s="1594"/>
      <c r="O52" s="1594"/>
      <c r="P52" s="1594"/>
      <c r="Q52" s="1594"/>
      <c r="R52" s="1594"/>
      <c r="S52" s="1594"/>
      <c r="T52" s="1594"/>
      <c r="U52" s="1594"/>
      <c r="V52" s="1594"/>
      <c r="W52" s="1594"/>
      <c r="X52" s="1594"/>
      <c r="Y52" s="1594"/>
      <c r="Z52" s="1594"/>
      <c r="AA52" s="1594"/>
      <c r="AB52" s="1594"/>
      <c r="AC52" s="1594"/>
      <c r="AD52" s="1594"/>
      <c r="AE52" s="1594"/>
      <c r="AF52" s="1594"/>
      <c r="AG52" s="1594"/>
      <c r="AH52" s="1594"/>
      <c r="AI52" s="1594"/>
      <c r="AJ52" s="1594"/>
      <c r="AK52" s="1594"/>
      <c r="AL52" s="81"/>
      <c r="AM52" s="26"/>
      <c r="AN52" s="241"/>
    </row>
    <row r="53" spans="1:46" s="4" customFormat="1" ht="12.75" customHeight="1">
      <c r="A53" s="25"/>
      <c r="B53" s="1594"/>
      <c r="C53" s="1594"/>
      <c r="D53" s="1594"/>
      <c r="E53" s="1594"/>
      <c r="F53" s="1594"/>
      <c r="G53" s="1594"/>
      <c r="H53" s="1594"/>
      <c r="I53" s="1594"/>
      <c r="J53" s="1594"/>
      <c r="K53" s="1594"/>
      <c r="L53" s="1594"/>
      <c r="M53" s="1594"/>
      <c r="N53" s="1594"/>
      <c r="O53" s="1594"/>
      <c r="P53" s="1594"/>
      <c r="Q53" s="1594"/>
      <c r="R53" s="1594"/>
      <c r="S53" s="1594"/>
      <c r="T53" s="1594"/>
      <c r="U53" s="1594"/>
      <c r="V53" s="1594"/>
      <c r="W53" s="1594"/>
      <c r="X53" s="1594"/>
      <c r="Y53" s="1594"/>
      <c r="Z53" s="1594"/>
      <c r="AA53" s="1594"/>
      <c r="AB53" s="1594"/>
      <c r="AC53" s="1594"/>
      <c r="AD53" s="1594"/>
      <c r="AE53" s="1594"/>
      <c r="AF53" s="1594"/>
      <c r="AG53" s="1594"/>
      <c r="AH53" s="1594"/>
      <c r="AI53" s="1594"/>
      <c r="AJ53" s="1594"/>
      <c r="AK53" s="1594"/>
      <c r="AL53" s="81"/>
      <c r="AM53" s="26"/>
      <c r="AN53" s="241"/>
    </row>
    <row r="54" spans="1:46" s="4" customFormat="1" ht="12.75" customHeight="1">
      <c r="A54" s="25"/>
      <c r="B54" s="1594"/>
      <c r="C54" s="1594"/>
      <c r="D54" s="1594"/>
      <c r="E54" s="1594"/>
      <c r="F54" s="1594"/>
      <c r="G54" s="1594"/>
      <c r="H54" s="1594"/>
      <c r="I54" s="1594"/>
      <c r="J54" s="1594"/>
      <c r="K54" s="1594"/>
      <c r="L54" s="1594"/>
      <c r="M54" s="1594"/>
      <c r="N54" s="1594"/>
      <c r="O54" s="1594"/>
      <c r="P54" s="1594"/>
      <c r="Q54" s="1594"/>
      <c r="R54" s="1594"/>
      <c r="S54" s="1594"/>
      <c r="T54" s="1594"/>
      <c r="U54" s="1594"/>
      <c r="V54" s="1594"/>
      <c r="W54" s="1594"/>
      <c r="X54" s="1594"/>
      <c r="Y54" s="1594"/>
      <c r="Z54" s="1594"/>
      <c r="AA54" s="1594"/>
      <c r="AB54" s="1594"/>
      <c r="AC54" s="1594"/>
      <c r="AD54" s="1594"/>
      <c r="AE54" s="1594"/>
      <c r="AF54" s="1594"/>
      <c r="AG54" s="1594"/>
      <c r="AH54" s="1594"/>
      <c r="AI54" s="1594"/>
      <c r="AJ54" s="1594"/>
      <c r="AK54" s="1594"/>
      <c r="AL54" s="81"/>
      <c r="AM54" s="26"/>
      <c r="AN54" s="241"/>
    </row>
    <row r="55" spans="1:46" s="4" customFormat="1" ht="33.6" customHeight="1">
      <c r="A55" s="25"/>
      <c r="B55" s="1594"/>
      <c r="C55" s="1594"/>
      <c r="D55" s="1594"/>
      <c r="E55" s="1594"/>
      <c r="F55" s="1594"/>
      <c r="G55" s="1594"/>
      <c r="H55" s="1594"/>
      <c r="I55" s="1594"/>
      <c r="J55" s="1594"/>
      <c r="K55" s="1594"/>
      <c r="L55" s="1594"/>
      <c r="M55" s="1594"/>
      <c r="N55" s="1594"/>
      <c r="O55" s="1594"/>
      <c r="P55" s="1594"/>
      <c r="Q55" s="1594"/>
      <c r="R55" s="1594"/>
      <c r="S55" s="1594"/>
      <c r="T55" s="1594"/>
      <c r="U55" s="1594"/>
      <c r="V55" s="1594"/>
      <c r="W55" s="1594"/>
      <c r="X55" s="1594"/>
      <c r="Y55" s="1594"/>
      <c r="Z55" s="1594"/>
      <c r="AA55" s="1594"/>
      <c r="AB55" s="1594"/>
      <c r="AC55" s="1594"/>
      <c r="AD55" s="1594"/>
      <c r="AE55" s="1594"/>
      <c r="AF55" s="1594"/>
      <c r="AG55" s="1594"/>
      <c r="AH55" s="1594"/>
      <c r="AI55" s="1594"/>
      <c r="AJ55" s="1594"/>
      <c r="AK55" s="1594"/>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94" t="s">
        <v>1848</v>
      </c>
      <c r="C57" s="1594"/>
      <c r="D57" s="1594"/>
      <c r="E57" s="1594"/>
      <c r="F57" s="1594"/>
      <c r="G57" s="1594"/>
      <c r="H57" s="1594"/>
      <c r="I57" s="1594"/>
      <c r="J57" s="1594"/>
      <c r="K57" s="1594"/>
      <c r="L57" s="1594"/>
      <c r="M57" s="1594"/>
      <c r="N57" s="1594"/>
      <c r="O57" s="1594"/>
      <c r="P57" s="1594"/>
      <c r="Q57" s="1594"/>
      <c r="R57" s="1594"/>
      <c r="S57" s="1594"/>
      <c r="T57" s="1594"/>
      <c r="U57" s="1594"/>
      <c r="V57" s="1594"/>
      <c r="W57" s="1594"/>
      <c r="X57" s="1594"/>
      <c r="Y57" s="1594"/>
      <c r="Z57" s="1594"/>
      <c r="AA57" s="1594"/>
      <c r="AB57" s="1594"/>
      <c r="AC57" s="1594"/>
      <c r="AD57" s="1594"/>
      <c r="AE57" s="1594"/>
      <c r="AF57" s="1594"/>
      <c r="AG57" s="1594"/>
      <c r="AH57" s="1594"/>
      <c r="AI57" s="1594"/>
      <c r="AJ57" s="1594"/>
      <c r="AK57" s="1594"/>
      <c r="AL57" s="81"/>
      <c r="AM57" s="26"/>
      <c r="AN57" s="241"/>
    </row>
    <row r="58" spans="1:46" s="4" customFormat="1" ht="12.75" customHeight="1">
      <c r="B58" s="1594"/>
      <c r="C58" s="1594"/>
      <c r="D58" s="1594"/>
      <c r="E58" s="1594"/>
      <c r="F58" s="1594"/>
      <c r="G58" s="1594"/>
      <c r="H58" s="1594"/>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4"/>
      <c r="AE58" s="1594"/>
      <c r="AF58" s="1594"/>
      <c r="AG58" s="1594"/>
      <c r="AH58" s="1594"/>
      <c r="AI58" s="1594"/>
      <c r="AJ58" s="1594"/>
      <c r="AK58" s="1594"/>
      <c r="AL58" s="81"/>
      <c r="AM58" s="26"/>
      <c r="AN58" s="241"/>
    </row>
    <row r="59" spans="1:46" s="4" customFormat="1" ht="23.1" customHeight="1">
      <c r="A59" s="348"/>
      <c r="B59" s="1594"/>
      <c r="C59" s="1594"/>
      <c r="D59" s="1594"/>
      <c r="E59" s="1594"/>
      <c r="F59" s="1594"/>
      <c r="G59" s="1594"/>
      <c r="H59" s="1594"/>
      <c r="I59" s="1594"/>
      <c r="J59" s="1594"/>
      <c r="K59" s="1594"/>
      <c r="L59" s="1594"/>
      <c r="M59" s="1594"/>
      <c r="N59" s="1594"/>
      <c r="O59" s="1594"/>
      <c r="P59" s="1594"/>
      <c r="Q59" s="1594"/>
      <c r="R59" s="1594"/>
      <c r="S59" s="1594"/>
      <c r="T59" s="1594"/>
      <c r="U59" s="1594"/>
      <c r="V59" s="1594"/>
      <c r="W59" s="1594"/>
      <c r="X59" s="1594"/>
      <c r="Y59" s="1594"/>
      <c r="Z59" s="1594"/>
      <c r="AA59" s="1594"/>
      <c r="AB59" s="1594"/>
      <c r="AC59" s="1594"/>
      <c r="AD59" s="1594"/>
      <c r="AE59" s="1594"/>
      <c r="AF59" s="1594"/>
      <c r="AG59" s="1594"/>
      <c r="AH59" s="1594"/>
      <c r="AI59" s="1594"/>
      <c r="AJ59" s="1594"/>
      <c r="AK59" s="1594"/>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1849</v>
      </c>
      <c r="AK61" s="1691">
        <f>$AJ$31+$AJ$47</f>
        <v>10</v>
      </c>
      <c r="AL61" s="1692"/>
      <c r="AM61" s="1693"/>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1850</v>
      </c>
      <c r="B64" s="264"/>
      <c r="C64" s="82"/>
      <c r="D64" s="83"/>
      <c r="E64" s="83"/>
      <c r="F64" s="83"/>
      <c r="G64" s="83"/>
      <c r="H64" s="83"/>
      <c r="I64" s="83"/>
      <c r="J64" s="83"/>
      <c r="Y64" s="84"/>
      <c r="Z64" s="84"/>
      <c r="AA64" s="84"/>
      <c r="AB64" s="84"/>
      <c r="AE64" s="1568" t="s">
        <v>1821</v>
      </c>
      <c r="AF64" s="1568"/>
      <c r="AG64" s="1568"/>
      <c r="AH64" s="1568"/>
      <c r="AI64" s="1568"/>
      <c r="AJ64" s="1568"/>
      <c r="AK64" s="1568"/>
      <c r="AL64" s="18"/>
      <c r="AN64" s="241"/>
      <c r="AS64" s="4" t="s">
        <v>1851</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854</v>
      </c>
      <c r="AT65" s="4">
        <v>10</v>
      </c>
    </row>
    <row r="66" spans="1:46" s="4" customFormat="1" ht="12.75" customHeight="1">
      <c r="B66" s="1412" t="s">
        <v>862</v>
      </c>
      <c r="C66" s="1412"/>
      <c r="D66" s="1412"/>
      <c r="E66" s="1412"/>
      <c r="F66" s="1412"/>
      <c r="G66" s="1412"/>
      <c r="H66" s="1412"/>
      <c r="I66" s="1412"/>
      <c r="J66" s="1412"/>
      <c r="K66" s="1412"/>
      <c r="AF66" s="1558" t="s">
        <v>1852</v>
      </c>
      <c r="AG66" s="1558"/>
      <c r="AH66" s="1558"/>
      <c r="AI66" s="1558"/>
      <c r="AJ66" s="1558"/>
      <c r="AK66" s="1558"/>
      <c r="AL66" s="1558"/>
      <c r="AN66" s="241"/>
      <c r="AP66" s="4" t="s">
        <v>326</v>
      </c>
      <c r="AS66" s="4" t="s">
        <v>1853</v>
      </c>
      <c r="AT66" s="4">
        <v>10</v>
      </c>
    </row>
    <row r="67" spans="1:46" s="4" customFormat="1" ht="12.75" customHeight="1">
      <c r="B67" s="1688" t="s">
        <v>1854</v>
      </c>
      <c r="C67" s="1688"/>
      <c r="D67" s="1688"/>
      <c r="E67" s="1688"/>
      <c r="F67" s="1688"/>
      <c r="G67" s="1688"/>
      <c r="H67" s="1688"/>
      <c r="I67" s="1688"/>
      <c r="J67" s="1688"/>
      <c r="K67" s="1688"/>
      <c r="L67" s="1688"/>
      <c r="M67" s="1688"/>
      <c r="N67" s="1688"/>
      <c r="O67" s="1688"/>
      <c r="P67" s="1688"/>
      <c r="Q67" s="1688"/>
      <c r="R67" s="1688"/>
      <c r="S67" s="1688"/>
      <c r="T67" s="1412" t="s">
        <v>326</v>
      </c>
      <c r="U67" s="1412"/>
      <c r="V67" s="1412"/>
      <c r="W67" s="1412"/>
      <c r="X67" s="1412"/>
      <c r="Y67" s="1412"/>
      <c r="Z67" s="1412"/>
      <c r="AA67" s="1412"/>
      <c r="AB67" s="1412"/>
      <c r="AC67" s="1412"/>
      <c r="AJ67" s="55"/>
      <c r="AK67" s="403"/>
      <c r="AL67" s="403"/>
      <c r="AM67" s="403"/>
      <c r="AN67" s="241"/>
      <c r="AP67" s="4" t="s">
        <v>1855</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1856</v>
      </c>
      <c r="AK68" s="1034">
        <f>VLOOKUP($B$66,$AS$64:$AU$69,2,FALSE)</f>
        <v>10</v>
      </c>
      <c r="AL68" s="1035"/>
      <c r="AM68" s="1035"/>
      <c r="AN68" s="913"/>
      <c r="AP68" s="4" t="s">
        <v>1857</v>
      </c>
      <c r="AS68" s="4" t="s">
        <v>868</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863</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1858</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1859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68" t="s">
        <v>1860</v>
      </c>
      <c r="AF73" s="1568"/>
      <c r="AG73" s="1568"/>
      <c r="AH73" s="1568"/>
      <c r="AI73" s="1568"/>
      <c r="AJ73" s="1568"/>
      <c r="AK73" s="1568"/>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94" t="s">
        <v>1861</v>
      </c>
      <c r="C75" s="1594"/>
      <c r="D75" s="1594"/>
      <c r="E75" s="1594"/>
      <c r="F75" s="1594"/>
      <c r="G75" s="1594"/>
      <c r="H75" s="1594"/>
      <c r="I75" s="1594"/>
      <c r="J75" s="1594"/>
      <c r="K75" s="1594"/>
      <c r="L75" s="1594"/>
      <c r="M75" s="1594"/>
      <c r="N75" s="1594"/>
      <c r="O75" s="1594"/>
      <c r="P75" s="1594"/>
      <c r="Q75" s="1594"/>
      <c r="R75" s="1594"/>
      <c r="S75" s="1594"/>
      <c r="T75" s="1594"/>
      <c r="U75" s="1594"/>
      <c r="V75" s="1594"/>
      <c r="W75" s="1594"/>
      <c r="X75" s="1594"/>
      <c r="Y75" s="1594"/>
      <c r="Z75" s="1594"/>
      <c r="AA75" s="1594"/>
      <c r="AB75" s="1594"/>
      <c r="AC75" s="1594"/>
      <c r="AD75" s="1594"/>
      <c r="AE75" s="1594"/>
      <c r="AF75" s="1594"/>
      <c r="AG75" s="1594"/>
      <c r="AH75" s="1594"/>
      <c r="AI75" s="1594"/>
      <c r="AJ75" s="1594"/>
      <c r="AK75" s="1594"/>
      <c r="AL75" s="81"/>
      <c r="AM75" s="26"/>
      <c r="AN75" s="241"/>
    </row>
    <row r="76" spans="1:46" s="4" customFormat="1" ht="12.75" customHeight="1">
      <c r="A76" s="26"/>
      <c r="B76" s="1594"/>
      <c r="C76" s="1594"/>
      <c r="D76" s="1594"/>
      <c r="E76" s="1594"/>
      <c r="F76" s="1594"/>
      <c r="G76" s="1594"/>
      <c r="H76" s="1594"/>
      <c r="I76" s="1594"/>
      <c r="J76" s="1594"/>
      <c r="K76" s="1594"/>
      <c r="L76" s="1594"/>
      <c r="M76" s="1594"/>
      <c r="N76" s="1594"/>
      <c r="O76" s="1594"/>
      <c r="P76" s="1594"/>
      <c r="Q76" s="1594"/>
      <c r="R76" s="1594"/>
      <c r="S76" s="1594"/>
      <c r="T76" s="1594"/>
      <c r="U76" s="1594"/>
      <c r="V76" s="1594"/>
      <c r="W76" s="1594"/>
      <c r="X76" s="1594"/>
      <c r="Y76" s="1594"/>
      <c r="Z76" s="1594"/>
      <c r="AA76" s="1594"/>
      <c r="AB76" s="1594"/>
      <c r="AC76" s="1594"/>
      <c r="AD76" s="1594"/>
      <c r="AE76" s="1594"/>
      <c r="AF76" s="1594"/>
      <c r="AG76" s="1594"/>
      <c r="AH76" s="1594"/>
      <c r="AI76" s="1594"/>
      <c r="AJ76" s="1594"/>
      <c r="AK76" s="1594"/>
      <c r="AL76" s="81"/>
      <c r="AM76" s="26"/>
      <c r="AN76" s="241"/>
    </row>
    <row r="77" spans="1:46" s="4" customFormat="1" ht="12.75" customHeight="1">
      <c r="A77" s="26"/>
      <c r="B77" s="1594"/>
      <c r="C77" s="1594"/>
      <c r="D77" s="1594"/>
      <c r="E77" s="1594"/>
      <c r="F77" s="1594"/>
      <c r="G77" s="1594"/>
      <c r="H77" s="1594"/>
      <c r="I77" s="1594"/>
      <c r="J77" s="1594"/>
      <c r="K77" s="1594"/>
      <c r="L77" s="1594"/>
      <c r="M77" s="1594"/>
      <c r="N77" s="1594"/>
      <c r="O77" s="1594"/>
      <c r="P77" s="1594"/>
      <c r="Q77" s="1594"/>
      <c r="R77" s="1594"/>
      <c r="S77" s="1594"/>
      <c r="T77" s="1594"/>
      <c r="U77" s="1594"/>
      <c r="V77" s="1594"/>
      <c r="W77" s="1594"/>
      <c r="X77" s="1594"/>
      <c r="Y77" s="1594"/>
      <c r="Z77" s="1594"/>
      <c r="AA77" s="1594"/>
      <c r="AB77" s="1594"/>
      <c r="AC77" s="1594"/>
      <c r="AD77" s="1594"/>
      <c r="AE77" s="1594"/>
      <c r="AF77" s="1594"/>
      <c r="AG77" s="1594"/>
      <c r="AH77" s="1594"/>
      <c r="AI77" s="1594"/>
      <c r="AJ77" s="1594"/>
      <c r="AK77" s="1594"/>
      <c r="AL77" s="81"/>
      <c r="AM77" s="26"/>
      <c r="AN77" s="241"/>
    </row>
    <row r="78" spans="1:46" s="4" customFormat="1" ht="12.75" customHeight="1">
      <c r="A78" s="26"/>
      <c r="B78" s="1594"/>
      <c r="C78" s="1594"/>
      <c r="D78" s="1594"/>
      <c r="E78" s="1594"/>
      <c r="F78" s="1594"/>
      <c r="G78" s="1594"/>
      <c r="H78" s="1594"/>
      <c r="I78" s="1594"/>
      <c r="J78" s="1594"/>
      <c r="K78" s="1594"/>
      <c r="L78" s="1594"/>
      <c r="M78" s="1594"/>
      <c r="N78" s="1594"/>
      <c r="O78" s="1594"/>
      <c r="P78" s="1594"/>
      <c r="Q78" s="1594"/>
      <c r="R78" s="1594"/>
      <c r="S78" s="1594"/>
      <c r="T78" s="1594"/>
      <c r="U78" s="1594"/>
      <c r="V78" s="1594"/>
      <c r="W78" s="1594"/>
      <c r="X78" s="1594"/>
      <c r="Y78" s="1594"/>
      <c r="Z78" s="1594"/>
      <c r="AA78" s="1594"/>
      <c r="AB78" s="1594"/>
      <c r="AC78" s="1594"/>
      <c r="AD78" s="1594"/>
      <c r="AE78" s="1594"/>
      <c r="AF78" s="1594"/>
      <c r="AG78" s="1594"/>
      <c r="AH78" s="1594"/>
      <c r="AI78" s="1594"/>
      <c r="AJ78" s="1594"/>
      <c r="AK78" s="1594"/>
      <c r="AL78" s="81"/>
      <c r="AM78" s="26"/>
      <c r="AN78" s="241"/>
    </row>
    <row r="79" spans="1:46" s="4" customFormat="1" ht="12.75" customHeight="1">
      <c r="A79" s="26"/>
      <c r="B79" s="1594"/>
      <c r="C79" s="1594"/>
      <c r="D79" s="1594"/>
      <c r="E79" s="1594"/>
      <c r="F79" s="1594"/>
      <c r="G79" s="1594"/>
      <c r="H79" s="1594"/>
      <c r="I79" s="1594"/>
      <c r="J79" s="1594"/>
      <c r="K79" s="1594"/>
      <c r="L79" s="1594"/>
      <c r="M79" s="1594"/>
      <c r="N79" s="1594"/>
      <c r="O79" s="1594"/>
      <c r="P79" s="1594"/>
      <c r="Q79" s="1594"/>
      <c r="R79" s="1594"/>
      <c r="S79" s="1594"/>
      <c r="T79" s="1594"/>
      <c r="U79" s="1594"/>
      <c r="V79" s="1594"/>
      <c r="W79" s="1594"/>
      <c r="X79" s="1594"/>
      <c r="Y79" s="1594"/>
      <c r="Z79" s="1594"/>
      <c r="AA79" s="1594"/>
      <c r="AB79" s="1594"/>
      <c r="AC79" s="1594"/>
      <c r="AD79" s="1594"/>
      <c r="AE79" s="1594"/>
      <c r="AF79" s="1594"/>
      <c r="AG79" s="1594"/>
      <c r="AH79" s="1594"/>
      <c r="AI79" s="1594"/>
      <c r="AJ79" s="1594"/>
      <c r="AK79" s="1594"/>
      <c r="AL79" s="81"/>
      <c r="AM79" s="26"/>
      <c r="AN79" s="241"/>
    </row>
    <row r="80" spans="1:46" s="4" customFormat="1" ht="12.75" customHeight="1">
      <c r="A80" s="26"/>
      <c r="B80" s="1594"/>
      <c r="C80" s="1594"/>
      <c r="D80" s="1594"/>
      <c r="E80" s="1594"/>
      <c r="F80" s="1594"/>
      <c r="G80" s="1594"/>
      <c r="H80" s="1594"/>
      <c r="I80" s="1594"/>
      <c r="J80" s="1594"/>
      <c r="K80" s="1594"/>
      <c r="L80" s="1594"/>
      <c r="M80" s="1594"/>
      <c r="N80" s="1594"/>
      <c r="O80" s="1594"/>
      <c r="P80" s="1594"/>
      <c r="Q80" s="1594"/>
      <c r="R80" s="1594"/>
      <c r="S80" s="1594"/>
      <c r="T80" s="1594"/>
      <c r="U80" s="1594"/>
      <c r="V80" s="1594"/>
      <c r="W80" s="1594"/>
      <c r="X80" s="1594"/>
      <c r="Y80" s="1594"/>
      <c r="Z80" s="1594"/>
      <c r="AA80" s="1594"/>
      <c r="AB80" s="1594"/>
      <c r="AC80" s="1594"/>
      <c r="AD80" s="1594"/>
      <c r="AE80" s="1594"/>
      <c r="AF80" s="1594"/>
      <c r="AG80" s="1594"/>
      <c r="AH80" s="1594"/>
      <c r="AI80" s="1594"/>
      <c r="AJ80" s="1594"/>
      <c r="AK80" s="1594"/>
      <c r="AL80" s="81"/>
      <c r="AM80" s="26"/>
      <c r="AN80" s="241"/>
    </row>
    <row r="81" spans="1:42" ht="12.75" customHeight="1">
      <c r="A81" s="26"/>
      <c r="B81" s="1594"/>
      <c r="C81" s="1594"/>
      <c r="D81" s="1594"/>
      <c r="E81" s="1594"/>
      <c r="F81" s="1594"/>
      <c r="G81" s="1594"/>
      <c r="H81" s="1594"/>
      <c r="I81" s="1594"/>
      <c r="J81" s="1594"/>
      <c r="K81" s="1594"/>
      <c r="L81" s="1594"/>
      <c r="M81" s="1594"/>
      <c r="N81" s="1594"/>
      <c r="O81" s="1594"/>
      <c r="P81" s="1594"/>
      <c r="Q81" s="1594"/>
      <c r="R81" s="1594"/>
      <c r="S81" s="1594"/>
      <c r="T81" s="1594"/>
      <c r="U81" s="1594"/>
      <c r="V81" s="1594"/>
      <c r="W81" s="1594"/>
      <c r="X81" s="1594"/>
      <c r="Y81" s="1594"/>
      <c r="Z81" s="1594"/>
      <c r="AA81" s="1594"/>
      <c r="AB81" s="1594"/>
      <c r="AC81" s="1594"/>
      <c r="AD81" s="1594"/>
      <c r="AE81" s="1594"/>
      <c r="AF81" s="1594"/>
      <c r="AG81" s="1594"/>
      <c r="AH81" s="1594"/>
      <c r="AI81" s="1594"/>
      <c r="AJ81" s="1594"/>
      <c r="AK81" s="1594"/>
      <c r="AL81" s="81"/>
      <c r="AM81" s="26"/>
    </row>
    <row r="82" spans="1:42" s="4" customFormat="1" ht="12.75" customHeight="1">
      <c r="B82" s="1594"/>
      <c r="C82" s="1594"/>
      <c r="D82" s="1594"/>
      <c r="E82" s="1594"/>
      <c r="F82" s="1594"/>
      <c r="G82" s="1594"/>
      <c r="H82" s="1594"/>
      <c r="I82" s="1594"/>
      <c r="J82" s="1594"/>
      <c r="K82" s="1594"/>
      <c r="L82" s="1594"/>
      <c r="M82" s="1594"/>
      <c r="N82" s="1594"/>
      <c r="O82" s="1594"/>
      <c r="P82" s="1594"/>
      <c r="Q82" s="1594"/>
      <c r="R82" s="1594"/>
      <c r="S82" s="1594"/>
      <c r="T82" s="1594"/>
      <c r="U82" s="1594"/>
      <c r="V82" s="1594"/>
      <c r="W82" s="1594"/>
      <c r="X82" s="1594"/>
      <c r="Y82" s="1594"/>
      <c r="Z82" s="1594"/>
      <c r="AA82" s="1594"/>
      <c r="AB82" s="1594"/>
      <c r="AC82" s="1594"/>
      <c r="AD82" s="1594"/>
      <c r="AE82" s="1594"/>
      <c r="AF82" s="1594"/>
      <c r="AG82" s="1594"/>
      <c r="AH82" s="1594"/>
      <c r="AI82" s="1594"/>
      <c r="AJ82" s="1594"/>
      <c r="AK82" s="1594"/>
      <c r="AL82" s="81"/>
      <c r="AN82" s="241"/>
    </row>
    <row r="83" spans="1:42" s="4" customFormat="1" ht="12.75" customHeight="1">
      <c r="B83" s="1594"/>
      <c r="C83" s="1594"/>
      <c r="D83" s="1594"/>
      <c r="E83" s="1594"/>
      <c r="F83" s="1594"/>
      <c r="G83" s="1594"/>
      <c r="H83" s="1594"/>
      <c r="I83" s="1594"/>
      <c r="J83" s="1594"/>
      <c r="K83" s="1594"/>
      <c r="L83" s="1594"/>
      <c r="M83" s="1594"/>
      <c r="N83" s="1594"/>
      <c r="O83" s="1594"/>
      <c r="P83" s="1594"/>
      <c r="Q83" s="1594"/>
      <c r="R83" s="1594"/>
      <c r="S83" s="1594"/>
      <c r="T83" s="1594"/>
      <c r="U83" s="1594"/>
      <c r="V83" s="1594"/>
      <c r="W83" s="1594"/>
      <c r="X83" s="1594"/>
      <c r="Y83" s="1594"/>
      <c r="Z83" s="1594"/>
      <c r="AA83" s="1594"/>
      <c r="AB83" s="1594"/>
      <c r="AC83" s="1594"/>
      <c r="AD83" s="1594"/>
      <c r="AE83" s="1594"/>
      <c r="AF83" s="1594"/>
      <c r="AG83" s="1594"/>
      <c r="AH83" s="1594"/>
      <c r="AI83" s="1594"/>
      <c r="AJ83" s="1594"/>
      <c r="AK83" s="1594"/>
      <c r="AL83" s="81"/>
      <c r="AN83" s="241"/>
    </row>
    <row r="84" spans="1:42" s="4" customFormat="1" ht="14.45" customHeight="1">
      <c r="B84" s="1594"/>
      <c r="C84" s="1594"/>
      <c r="D84" s="1594"/>
      <c r="E84" s="1594"/>
      <c r="F84" s="1594"/>
      <c r="G84" s="1594"/>
      <c r="H84" s="1594"/>
      <c r="I84" s="1594"/>
      <c r="J84" s="1594"/>
      <c r="K84" s="1594"/>
      <c r="L84" s="1594"/>
      <c r="M84" s="1594"/>
      <c r="N84" s="1594"/>
      <c r="O84" s="1594"/>
      <c r="P84" s="1594"/>
      <c r="Q84" s="1594"/>
      <c r="R84" s="1594"/>
      <c r="S84" s="1594"/>
      <c r="T84" s="1594"/>
      <c r="U84" s="1594"/>
      <c r="V84" s="1594"/>
      <c r="W84" s="1594"/>
      <c r="X84" s="1594"/>
      <c r="Y84" s="1594"/>
      <c r="Z84" s="1594"/>
      <c r="AA84" s="1594"/>
      <c r="AB84" s="1594"/>
      <c r="AC84" s="1594"/>
      <c r="AD84" s="1594"/>
      <c r="AE84" s="1594"/>
      <c r="AF84" s="1594"/>
      <c r="AG84" s="1594"/>
      <c r="AH84" s="1594"/>
      <c r="AI84" s="1594"/>
      <c r="AJ84" s="1594"/>
      <c r="AK84" s="1594"/>
      <c r="AL84" s="81"/>
      <c r="AN84" s="241"/>
    </row>
    <row r="85" spans="1:42" s="4" customFormat="1" ht="12.75" customHeight="1">
      <c r="B85" s="1594"/>
      <c r="C85" s="1594"/>
      <c r="D85" s="1594"/>
      <c r="E85" s="1594"/>
      <c r="F85" s="1594"/>
      <c r="G85" s="1594"/>
      <c r="H85" s="1594"/>
      <c r="I85" s="1594"/>
      <c r="J85" s="1594"/>
      <c r="K85" s="1594"/>
      <c r="L85" s="1594"/>
      <c r="M85" s="1594"/>
      <c r="N85" s="1594"/>
      <c r="O85" s="1594"/>
      <c r="P85" s="1594"/>
      <c r="Q85" s="1594"/>
      <c r="R85" s="1594"/>
      <c r="S85" s="1594"/>
      <c r="T85" s="1594"/>
      <c r="U85" s="1594"/>
      <c r="V85" s="1594"/>
      <c r="W85" s="1594"/>
      <c r="X85" s="1594"/>
      <c r="Y85" s="1594"/>
      <c r="Z85" s="1594"/>
      <c r="AA85" s="1594"/>
      <c r="AB85" s="1594"/>
      <c r="AC85" s="1594"/>
      <c r="AD85" s="1594"/>
      <c r="AE85" s="1594"/>
      <c r="AF85" s="1594"/>
      <c r="AG85" s="1594"/>
      <c r="AH85" s="1594"/>
      <c r="AI85" s="1594"/>
      <c r="AJ85" s="1594"/>
      <c r="AK85" s="1594"/>
      <c r="AN85" s="241"/>
    </row>
    <row r="86" spans="1:42" s="4" customFormat="1" ht="12.75" customHeight="1">
      <c r="B86" s="25" t="s">
        <v>1862</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1863</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1864</v>
      </c>
      <c r="F90" s="26"/>
      <c r="G90" s="26"/>
      <c r="H90" s="26"/>
      <c r="I90" s="26"/>
      <c r="J90" s="26"/>
      <c r="K90" s="26"/>
      <c r="L90" s="26"/>
      <c r="M90" s="26"/>
      <c r="N90" s="26"/>
      <c r="O90" s="26"/>
      <c r="P90" s="26"/>
      <c r="Q90" s="26"/>
      <c r="R90" s="26"/>
      <c r="S90" s="26"/>
      <c r="T90" s="26"/>
      <c r="U90" s="26"/>
      <c r="V90" s="26"/>
      <c r="W90" s="26"/>
      <c r="X90" s="26"/>
      <c r="Y90" s="26"/>
      <c r="Z90" s="26"/>
      <c r="AA90" s="26"/>
      <c r="AB90" s="26"/>
      <c r="AF90" s="1558" t="s">
        <v>1823</v>
      </c>
      <c r="AG90" s="1558"/>
      <c r="AH90" s="1558"/>
      <c r="AI90" s="1558"/>
      <c r="AJ90" s="1558"/>
      <c r="AK90" s="1558"/>
      <c r="AL90" s="1558"/>
      <c r="AN90" s="241"/>
    </row>
    <row r="91" spans="1:42" s="4" customFormat="1" ht="12.75" customHeight="1">
      <c r="C91" s="19"/>
      <c r="D91" s="25"/>
      <c r="E91" s="348" t="s">
        <v>1865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1866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1867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1868</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1869</v>
      </c>
      <c r="F95" s="91"/>
      <c r="G95" s="91"/>
      <c r="H95" s="91"/>
      <c r="I95" s="91"/>
      <c r="J95" s="91"/>
      <c r="K95" s="91"/>
      <c r="L95" s="91"/>
      <c r="M95" s="91"/>
      <c r="N95" s="91"/>
      <c r="O95" s="91"/>
      <c r="P95" s="91"/>
      <c r="Q95" s="91"/>
      <c r="R95" s="91"/>
      <c r="S95" s="91"/>
      <c r="T95" s="91"/>
      <c r="U95" s="91"/>
      <c r="V95" s="91"/>
      <c r="W95" s="91"/>
      <c r="X95" s="91"/>
      <c r="Y95" s="91"/>
      <c r="Z95" s="91"/>
      <c r="AA95" s="91"/>
      <c r="AB95" s="91"/>
      <c r="AF95" s="1558" t="s">
        <v>1870</v>
      </c>
      <c r="AG95" s="1558"/>
      <c r="AH95" s="1558"/>
      <c r="AI95" s="1558"/>
      <c r="AJ95" s="1558"/>
      <c r="AK95" s="1558"/>
      <c r="AL95" s="1558"/>
      <c r="AN95" s="241"/>
    </row>
    <row r="96" spans="1:42" s="4" customFormat="1" ht="12.75" customHeight="1">
      <c r="B96" s="37"/>
      <c r="C96" s="92"/>
      <c r="D96" s="25"/>
      <c r="E96" s="348" t="s">
        <v>1871</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1872</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1873</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1874</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58" t="s">
        <v>1875</v>
      </c>
      <c r="AG100" s="1558"/>
      <c r="AH100" s="1558"/>
      <c r="AI100" s="1558"/>
      <c r="AJ100" s="1558"/>
      <c r="AK100" s="1558"/>
      <c r="AL100" s="1558"/>
      <c r="AN100" s="241"/>
      <c r="AO100" s="25" t="s">
        <v>1876</v>
      </c>
      <c r="AP100" s="4">
        <f>IF(R112="",0,4)</f>
        <v>0</v>
      </c>
    </row>
    <row r="101" spans="1:53" s="4" customFormat="1" ht="12.75" customHeight="1">
      <c r="B101" s="37"/>
      <c r="C101" s="92"/>
      <c r="D101" s="25"/>
      <c r="E101" s="348" t="s">
        <v>1877</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1878</v>
      </c>
      <c r="AP101" s="4">
        <v>3</v>
      </c>
    </row>
    <row r="102" spans="1:53" s="4" customFormat="1" ht="12.75" customHeight="1">
      <c r="B102" s="37"/>
      <c r="C102" s="92"/>
      <c r="D102" s="25"/>
      <c r="E102" s="348" t="s">
        <v>1872</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1873</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1879</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1880</v>
      </c>
    </row>
    <row r="105" spans="1:53" s="4" customFormat="1" ht="12.75" customHeight="1">
      <c r="B105" s="37"/>
      <c r="C105" s="38"/>
      <c r="D105" s="25" t="s">
        <v>1876</v>
      </c>
      <c r="E105" s="348" t="s">
        <v>1869</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58" t="s">
        <v>1881</v>
      </c>
      <c r="AG105" s="1558"/>
      <c r="AH105" s="1558"/>
      <c r="AI105" s="1558"/>
      <c r="AJ105" s="1558"/>
      <c r="AK105" s="1558"/>
      <c r="AL105" s="1558"/>
      <c r="AN105" s="241"/>
    </row>
    <row r="106" spans="1:53" s="4" customFormat="1" ht="12.75" customHeight="1">
      <c r="B106" s="37"/>
      <c r="C106" s="92"/>
      <c r="D106" s="25"/>
      <c r="E106" s="348" t="s">
        <v>1882</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1883</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1884</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1885</v>
      </c>
    </row>
    <row r="109" spans="1:53" s="4" customFormat="1" ht="12.75" customHeight="1">
      <c r="B109" s="37"/>
      <c r="C109" s="38"/>
      <c r="D109" s="25" t="s">
        <v>1878</v>
      </c>
      <c r="E109" s="348" t="s">
        <v>1874</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58" t="s">
        <v>1837</v>
      </c>
      <c r="AG109" s="1558"/>
      <c r="AH109" s="1558"/>
      <c r="AI109" s="1558"/>
      <c r="AJ109" s="1558"/>
      <c r="AK109" s="1558"/>
      <c r="AL109" s="1558"/>
      <c r="AN109" s="241"/>
      <c r="AO109" s="4" t="s">
        <v>1886</v>
      </c>
    </row>
    <row r="110" spans="1:53" s="4" customFormat="1" ht="12.75" customHeight="1">
      <c r="B110" s="37"/>
      <c r="C110" s="38"/>
      <c r="D110" s="25"/>
      <c r="E110" s="348" t="s">
        <v>1887</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1888</v>
      </c>
      <c r="E112" s="93"/>
      <c r="F112" s="93"/>
      <c r="G112" s="93"/>
      <c r="H112" s="1627" t="s">
        <v>19</v>
      </c>
      <c r="I112" s="1627"/>
      <c r="J112" s="93"/>
      <c r="K112" s="93"/>
      <c r="L112" s="93"/>
      <c r="M112" s="825" t="s">
        <v>1889</v>
      </c>
      <c r="R112" s="1695"/>
      <c r="S112" s="1695"/>
      <c r="T112" s="1695"/>
      <c r="U112" s="1695"/>
      <c r="V112" s="1695"/>
      <c r="W112" s="1695"/>
      <c r="Y112" s="1495" t="str">
        <f>IF(AND(H112="(i)",NOT(Application!AF419&gt;25)),AO103,IF(AND(H112="(iv)",OR(R112=AO108,R112=AO109),NOT(AP94)),AO104,""))</f>
        <v/>
      </c>
      <c r="Z112" s="1495"/>
      <c r="AA112" s="1495"/>
      <c r="AB112" s="1495"/>
      <c r="AC112" s="1495"/>
      <c r="AD112" s="1495"/>
      <c r="AE112" s="1495"/>
      <c r="AF112" s="1495"/>
      <c r="AG112" s="1495"/>
      <c r="AH112" s="1495"/>
      <c r="AI112" s="1495"/>
      <c r="AJ112" s="1495"/>
      <c r="AK112" s="1495"/>
      <c r="AL112" s="1495"/>
      <c r="AM112" s="1696"/>
      <c r="AN112" s="844"/>
    </row>
    <row r="113" spans="1:47" s="4" customFormat="1" ht="12.75" customHeight="1">
      <c r="B113" s="37"/>
      <c r="C113" s="92"/>
      <c r="E113" s="93"/>
      <c r="F113" s="93"/>
      <c r="G113" s="93"/>
      <c r="H113" s="93"/>
      <c r="I113" s="93"/>
      <c r="J113" s="93"/>
      <c r="K113" s="93"/>
      <c r="L113" s="93"/>
      <c r="M113" s="93"/>
      <c r="Y113" s="1495"/>
      <c r="Z113" s="1495"/>
      <c r="AA113" s="1495"/>
      <c r="AB113" s="1495"/>
      <c r="AC113" s="1495"/>
      <c r="AD113" s="1495"/>
      <c r="AE113" s="1495"/>
      <c r="AF113" s="1495"/>
      <c r="AG113" s="1495"/>
      <c r="AH113" s="1495"/>
      <c r="AI113" s="1495"/>
      <c r="AJ113" s="1495"/>
      <c r="AK113" s="1495"/>
      <c r="AL113" s="1495"/>
      <c r="AM113" s="1696"/>
      <c r="AN113" s="844"/>
    </row>
    <row r="114" spans="1:47" s="4" customFormat="1" ht="12.75" customHeight="1">
      <c r="B114" s="37"/>
      <c r="C114" s="92"/>
      <c r="D114" s="4" t="s">
        <v>1890</v>
      </c>
      <c r="E114" s="93"/>
      <c r="F114" s="93"/>
      <c r="G114" s="93"/>
      <c r="H114" s="93"/>
      <c r="I114" s="93"/>
      <c r="J114" s="93"/>
      <c r="K114" s="93"/>
      <c r="L114" s="93"/>
      <c r="M114" s="93"/>
      <c r="AN114" s="241"/>
      <c r="AP114" s="386"/>
      <c r="AU114" s="386"/>
    </row>
    <row r="115" spans="1:47" s="4" customFormat="1" ht="12.75" customHeight="1">
      <c r="B115" s="37"/>
      <c r="C115" s="92"/>
      <c r="D115" s="4" t="s">
        <v>1891</v>
      </c>
      <c r="E115" s="93"/>
      <c r="F115" s="93"/>
      <c r="G115" s="93"/>
      <c r="H115" s="93"/>
      <c r="I115" s="93"/>
      <c r="J115" s="93"/>
      <c r="K115" s="93"/>
      <c r="L115" s="93"/>
      <c r="M115" s="93"/>
      <c r="AN115" s="241"/>
    </row>
    <row r="116" spans="1:47" s="4" customFormat="1" ht="12.75" customHeight="1">
      <c r="B116" s="37"/>
      <c r="C116" s="92"/>
      <c r="D116" s="1699" t="s">
        <v>1892</v>
      </c>
      <c r="E116" s="1699"/>
      <c r="F116" s="1699"/>
      <c r="G116" s="1699"/>
      <c r="H116" s="1699"/>
      <c r="I116" s="1699"/>
      <c r="J116" s="1699"/>
      <c r="K116" s="1699"/>
      <c r="L116" s="1699"/>
      <c r="M116" s="1699"/>
      <c r="N116" s="1699"/>
      <c r="O116" s="1699"/>
      <c r="P116" s="1699"/>
      <c r="Q116" s="1699"/>
      <c r="R116" s="1699"/>
      <c r="S116" s="1699"/>
      <c r="T116" s="1699"/>
      <c r="U116" s="1699"/>
      <c r="V116" s="1699"/>
      <c r="W116" s="1699"/>
      <c r="X116" s="1699"/>
      <c r="Y116" s="1699"/>
      <c r="Z116" s="1699"/>
      <c r="AA116" s="1699"/>
      <c r="AB116" s="1699"/>
      <c r="AC116" s="1699"/>
      <c r="AD116" s="1699"/>
      <c r="AE116" s="1699"/>
      <c r="AF116" s="1699"/>
      <c r="AG116" s="1699"/>
      <c r="AH116" s="1699"/>
      <c r="AN116" s="241"/>
      <c r="AO116" s="4" t="s">
        <v>326</v>
      </c>
      <c r="AP116" s="386">
        <v>0</v>
      </c>
    </row>
    <row r="117" spans="1:47" s="4" customFormat="1" ht="12.75" customHeight="1">
      <c r="B117" s="37"/>
      <c r="C117" s="92"/>
      <c r="D117" s="1699"/>
      <c r="E117" s="1699"/>
      <c r="F117" s="1699"/>
      <c r="G117" s="1699"/>
      <c r="H117" s="1699"/>
      <c r="I117" s="1699"/>
      <c r="J117" s="1699"/>
      <c r="K117" s="1699"/>
      <c r="L117" s="1699"/>
      <c r="M117" s="1699"/>
      <c r="N117" s="1699"/>
      <c r="O117" s="1699"/>
      <c r="P117" s="1699"/>
      <c r="Q117" s="1699"/>
      <c r="R117" s="1699"/>
      <c r="S117" s="1699"/>
      <c r="T117" s="1699"/>
      <c r="U117" s="1699"/>
      <c r="V117" s="1699"/>
      <c r="W117" s="1699"/>
      <c r="X117" s="1699"/>
      <c r="Y117" s="1699"/>
      <c r="Z117" s="1699"/>
      <c r="AA117" s="1699"/>
      <c r="AB117" s="1699"/>
      <c r="AC117" s="1699"/>
      <c r="AD117" s="1699"/>
      <c r="AE117" s="1699"/>
      <c r="AF117" s="1699"/>
      <c r="AG117" s="1699"/>
      <c r="AH117" s="1699"/>
      <c r="AN117" s="241"/>
      <c r="AO117" s="4" t="s">
        <v>1893</v>
      </c>
      <c r="AP117" s="4">
        <v>3</v>
      </c>
    </row>
    <row r="118" spans="1:47" s="4" customFormat="1" ht="12.75" customHeight="1">
      <c r="B118" s="37"/>
      <c r="C118" s="92"/>
      <c r="E118" s="4" t="s">
        <v>1888</v>
      </c>
      <c r="F118" s="93"/>
      <c r="G118" s="93"/>
      <c r="H118" s="1694" t="s">
        <v>326</v>
      </c>
      <c r="I118" s="1694"/>
      <c r="J118" s="1694"/>
      <c r="K118" s="1694"/>
      <c r="L118" s="1694"/>
      <c r="M118" s="1694"/>
      <c r="N118" s="1694"/>
      <c r="O118" s="1694"/>
      <c r="P118" s="1694"/>
      <c r="Q118" s="1694"/>
      <c r="R118" s="1694"/>
      <c r="S118" s="1694"/>
      <c r="T118" s="1694"/>
      <c r="U118" s="1694"/>
      <c r="V118" s="1694"/>
      <c r="W118" s="1694"/>
      <c r="X118" s="1694"/>
      <c r="Y118" s="1694"/>
      <c r="Z118" s="1694"/>
      <c r="AA118" s="1694"/>
      <c r="AB118" s="1694"/>
      <c r="AC118" s="1694"/>
      <c r="AD118" s="1694"/>
      <c r="AE118" s="1694"/>
      <c r="AN118" s="241"/>
      <c r="AO118" s="4" t="s">
        <v>1894</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12" t="s">
        <v>326</v>
      </c>
      <c r="C120" s="1412"/>
      <c r="D120" s="42"/>
      <c r="E120" s="1594" t="s">
        <v>1895</v>
      </c>
      <c r="F120" s="1594"/>
      <c r="G120" s="1594"/>
      <c r="H120" s="1594"/>
      <c r="I120" s="1594"/>
      <c r="J120" s="1594"/>
      <c r="K120" s="1594"/>
      <c r="L120" s="1594"/>
      <c r="M120" s="1594"/>
      <c r="N120" s="1594"/>
      <c r="O120" s="1594"/>
      <c r="P120" s="1594"/>
      <c r="Q120" s="1594"/>
      <c r="R120" s="1594"/>
      <c r="S120" s="1594"/>
      <c r="T120" s="1594"/>
      <c r="U120" s="1594"/>
      <c r="V120" s="1594"/>
      <c r="W120" s="1594"/>
      <c r="X120" s="1594"/>
      <c r="Y120" s="1594"/>
      <c r="Z120" s="1594"/>
      <c r="AA120" s="1594"/>
      <c r="AB120" s="1594"/>
      <c r="AC120" s="1594"/>
      <c r="AD120" s="1594"/>
      <c r="AE120" s="1594"/>
      <c r="AF120" s="1594"/>
      <c r="AG120" s="1594"/>
      <c r="AH120" s="42"/>
      <c r="AI120" s="42"/>
      <c r="AJ120" s="42"/>
      <c r="AK120" s="42"/>
      <c r="AL120" s="42"/>
      <c r="AN120" s="241"/>
    </row>
    <row r="121" spans="1:47" s="4" customFormat="1" ht="12.75" customHeight="1">
      <c r="B121" s="37"/>
      <c r="C121" s="92"/>
      <c r="D121" s="42"/>
      <c r="E121" s="1594"/>
      <c r="F121" s="1594"/>
      <c r="G121" s="1594"/>
      <c r="H121" s="1594"/>
      <c r="I121" s="1594"/>
      <c r="J121" s="1594"/>
      <c r="K121" s="1594"/>
      <c r="L121" s="1594"/>
      <c r="M121" s="1594"/>
      <c r="N121" s="1594"/>
      <c r="O121" s="1594"/>
      <c r="P121" s="1594"/>
      <c r="Q121" s="1594"/>
      <c r="R121" s="1594"/>
      <c r="S121" s="1594"/>
      <c r="T121" s="1594"/>
      <c r="U121" s="1594"/>
      <c r="V121" s="1594"/>
      <c r="W121" s="1594"/>
      <c r="X121" s="1594"/>
      <c r="Y121" s="1594"/>
      <c r="Z121" s="1594"/>
      <c r="AA121" s="1594"/>
      <c r="AB121" s="1594"/>
      <c r="AC121" s="1594"/>
      <c r="AD121" s="1594"/>
      <c r="AE121" s="1594"/>
      <c r="AF121" s="1594"/>
      <c r="AG121" s="1594"/>
      <c r="AH121" s="42"/>
      <c r="AI121" s="42"/>
      <c r="AJ121" s="42"/>
      <c r="AK121" s="42"/>
      <c r="AL121" s="42"/>
      <c r="AN121" s="241"/>
    </row>
    <row r="122" spans="1:47" s="4" customFormat="1" ht="12.75" customHeight="1">
      <c r="B122" s="37"/>
      <c r="C122" s="92"/>
      <c r="D122" s="42"/>
      <c r="E122" s="1594"/>
      <c r="F122" s="1594"/>
      <c r="G122" s="1594"/>
      <c r="H122" s="1594"/>
      <c r="I122" s="1594"/>
      <c r="J122" s="1594"/>
      <c r="K122" s="1594"/>
      <c r="L122" s="1594"/>
      <c r="M122" s="1594"/>
      <c r="N122" s="1594"/>
      <c r="O122" s="1594"/>
      <c r="P122" s="1594"/>
      <c r="Q122" s="1594"/>
      <c r="R122" s="1594"/>
      <c r="S122" s="1594"/>
      <c r="T122" s="1594"/>
      <c r="U122" s="1594"/>
      <c r="V122" s="1594"/>
      <c r="W122" s="1594"/>
      <c r="X122" s="1594"/>
      <c r="Y122" s="1594"/>
      <c r="Z122" s="1594"/>
      <c r="AA122" s="1594"/>
      <c r="AB122" s="1594"/>
      <c r="AC122" s="1594"/>
      <c r="AD122" s="1594"/>
      <c r="AE122" s="1594"/>
      <c r="AF122" s="1594"/>
      <c r="AG122" s="1594"/>
      <c r="AH122" s="42"/>
      <c r="AI122" s="42"/>
      <c r="AJ122" s="42"/>
      <c r="AK122" s="42"/>
      <c r="AL122" s="42"/>
      <c r="AN122" s="241"/>
    </row>
    <row r="123" spans="1:47" s="4" customFormat="1" ht="12.75" customHeight="1">
      <c r="B123" s="37"/>
      <c r="C123" s="92"/>
      <c r="D123" s="253"/>
      <c r="E123" s="1690"/>
      <c r="F123" s="1690"/>
      <c r="G123" s="1690"/>
      <c r="H123" s="1690"/>
      <c r="I123" s="1690"/>
      <c r="J123" s="1690"/>
      <c r="K123" s="1690"/>
      <c r="L123" s="1690"/>
      <c r="M123" s="1690"/>
      <c r="N123" s="1690"/>
      <c r="O123" s="1690"/>
      <c r="P123" s="1690"/>
      <c r="Q123" s="1690"/>
      <c r="R123" s="1690"/>
      <c r="S123" s="1690"/>
      <c r="T123" s="1690"/>
      <c r="U123" s="1690"/>
      <c r="V123" s="1690"/>
      <c r="W123" s="1690"/>
      <c r="X123" s="1690"/>
      <c r="Y123" s="1690"/>
      <c r="Z123" s="1690"/>
      <c r="AA123" s="1690"/>
      <c r="AB123" s="1690"/>
      <c r="AC123" s="1690"/>
      <c r="AD123" s="1690"/>
      <c r="AE123" s="1690"/>
      <c r="AF123" s="1690"/>
      <c r="AG123" s="169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1896</v>
      </c>
      <c r="AJ124" s="1034">
        <f>VLOOKUP($H$112,$AO$96:$AP$101,2,FALSE)+IF(R112=AO108,0,VLOOKUP($H$118,$AO$116:$AP$118,2,FALSE))</f>
        <v>7</v>
      </c>
      <c r="AK124" s="1037"/>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1897</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98" t="s">
        <v>1898</v>
      </c>
      <c r="F128" s="1698"/>
      <c r="G128" s="1698"/>
      <c r="H128" s="1698"/>
      <c r="I128" s="1698"/>
      <c r="J128" s="1698"/>
      <c r="K128" s="1698"/>
      <c r="L128" s="1698"/>
      <c r="M128" s="1698"/>
      <c r="N128" s="1698"/>
      <c r="O128" s="1698"/>
      <c r="P128" s="1698"/>
      <c r="Q128" s="1698"/>
      <c r="R128" s="1698"/>
      <c r="S128" s="1698"/>
      <c r="T128" s="1698"/>
      <c r="U128" s="1698"/>
      <c r="V128" s="1698"/>
      <c r="W128" s="1698"/>
      <c r="X128" s="1698"/>
      <c r="Y128" s="1698"/>
      <c r="Z128" s="1698"/>
      <c r="AA128" s="1698"/>
      <c r="AB128" s="1698"/>
      <c r="AC128" s="1698"/>
      <c r="AD128" s="1698"/>
      <c r="AF128" s="1558" t="s">
        <v>1837</v>
      </c>
      <c r="AG128" s="1558"/>
      <c r="AH128" s="1558"/>
      <c r="AI128" s="1558"/>
      <c r="AJ128" s="1558"/>
      <c r="AK128" s="1558"/>
      <c r="AL128" s="1558"/>
      <c r="AM128" s="4"/>
      <c r="AN128" s="252"/>
      <c r="AO128" s="4" t="str">
        <f>S133</f>
        <v>N/A</v>
      </c>
    </row>
    <row r="129" spans="1:42" s="4" customFormat="1" ht="12.75" customHeight="1">
      <c r="A129" s="97"/>
      <c r="B129" s="37"/>
      <c r="C129" s="92"/>
      <c r="D129" s="25"/>
      <c r="E129" s="1698"/>
      <c r="F129" s="1698"/>
      <c r="G129" s="1698"/>
      <c r="H129" s="1698"/>
      <c r="I129" s="1698"/>
      <c r="J129" s="1698"/>
      <c r="K129" s="1698"/>
      <c r="L129" s="1698"/>
      <c r="M129" s="1698"/>
      <c r="N129" s="1698"/>
      <c r="O129" s="1698"/>
      <c r="P129" s="1698"/>
      <c r="Q129" s="1698"/>
      <c r="R129" s="1698"/>
      <c r="S129" s="1698"/>
      <c r="T129" s="1698"/>
      <c r="U129" s="1698"/>
      <c r="V129" s="1698"/>
      <c r="W129" s="1698"/>
      <c r="X129" s="1698"/>
      <c r="Y129" s="1698"/>
      <c r="Z129" s="1698"/>
      <c r="AA129" s="1698"/>
      <c r="AB129" s="1698"/>
      <c r="AC129" s="1698"/>
      <c r="AD129" s="1698"/>
      <c r="AF129" s="37"/>
      <c r="AN129" s="241"/>
    </row>
    <row r="130" spans="1:42" s="4" customFormat="1" ht="12.75" customHeight="1">
      <c r="B130" s="37"/>
      <c r="C130" s="38"/>
      <c r="D130" s="25"/>
      <c r="E130" s="1698"/>
      <c r="F130" s="1698"/>
      <c r="G130" s="1698"/>
      <c r="H130" s="1698"/>
      <c r="I130" s="1698"/>
      <c r="J130" s="1698"/>
      <c r="K130" s="1698"/>
      <c r="L130" s="1698"/>
      <c r="M130" s="1698"/>
      <c r="N130" s="1698"/>
      <c r="O130" s="1698"/>
      <c r="P130" s="1698"/>
      <c r="Q130" s="1698"/>
      <c r="R130" s="1698"/>
      <c r="S130" s="1698"/>
      <c r="T130" s="1698"/>
      <c r="U130" s="1698"/>
      <c r="V130" s="1698"/>
      <c r="W130" s="1698"/>
      <c r="X130" s="1698"/>
      <c r="Y130" s="1698"/>
      <c r="Z130" s="1698"/>
      <c r="AA130" s="1698"/>
      <c r="AB130" s="1698"/>
      <c r="AC130" s="1698"/>
      <c r="AD130" s="1698"/>
      <c r="AF130" s="37"/>
      <c r="AN130" s="241"/>
    </row>
    <row r="131" spans="1:42" s="4" customFormat="1" ht="12.75" customHeight="1">
      <c r="A131" s="32"/>
      <c r="B131" s="264"/>
      <c r="C131" s="98"/>
      <c r="D131" s="25"/>
      <c r="E131" s="1698"/>
      <c r="F131" s="1698"/>
      <c r="G131" s="1698"/>
      <c r="H131" s="1698"/>
      <c r="I131" s="1698"/>
      <c r="J131" s="1698"/>
      <c r="K131" s="1698"/>
      <c r="L131" s="1698"/>
      <c r="M131" s="1698"/>
      <c r="N131" s="1698"/>
      <c r="O131" s="1698"/>
      <c r="P131" s="1698"/>
      <c r="Q131" s="1698"/>
      <c r="R131" s="1698"/>
      <c r="S131" s="1698"/>
      <c r="T131" s="1698"/>
      <c r="U131" s="1698"/>
      <c r="V131" s="1698"/>
      <c r="W131" s="1698"/>
      <c r="X131" s="1698"/>
      <c r="Y131" s="1698"/>
      <c r="Z131" s="1698"/>
      <c r="AA131" s="1698"/>
      <c r="AB131" s="1698"/>
      <c r="AC131" s="1698"/>
      <c r="AD131" s="1698"/>
      <c r="AE131" s="19"/>
      <c r="AF131" s="264"/>
      <c r="AG131" s="19"/>
      <c r="AH131" s="19"/>
      <c r="AI131" s="19"/>
      <c r="AJ131" s="19"/>
      <c r="AN131" s="241"/>
    </row>
    <row r="132" spans="1:42" s="4" customFormat="1" ht="23.1" customHeight="1">
      <c r="B132" s="264"/>
      <c r="C132" s="98"/>
      <c r="D132" s="25"/>
      <c r="E132" s="1698"/>
      <c r="F132" s="1698"/>
      <c r="G132" s="1698"/>
      <c r="H132" s="1698"/>
      <c r="I132" s="1698"/>
      <c r="J132" s="1698"/>
      <c r="K132" s="1698"/>
      <c r="L132" s="1698"/>
      <c r="M132" s="1698"/>
      <c r="N132" s="1698"/>
      <c r="O132" s="1698"/>
      <c r="P132" s="1698"/>
      <c r="Q132" s="1698"/>
      <c r="R132" s="1698"/>
      <c r="S132" s="1698"/>
      <c r="T132" s="1698"/>
      <c r="U132" s="1698"/>
      <c r="V132" s="1698"/>
      <c r="W132" s="1698"/>
      <c r="X132" s="1698"/>
      <c r="Y132" s="1698"/>
      <c r="Z132" s="1698"/>
      <c r="AA132" s="1698"/>
      <c r="AB132" s="1698"/>
      <c r="AC132" s="1698"/>
      <c r="AD132" s="1698"/>
      <c r="AE132" s="19"/>
      <c r="AF132" s="264"/>
      <c r="AG132" s="19"/>
      <c r="AH132" s="19"/>
      <c r="AI132" s="19"/>
      <c r="AJ132" s="19"/>
      <c r="AN132" s="241"/>
    </row>
    <row r="133" spans="1:42" s="4" customFormat="1" ht="12.75" customHeight="1">
      <c r="B133" s="264"/>
      <c r="C133" s="38"/>
      <c r="D133" s="25"/>
      <c r="E133" s="19" t="s">
        <v>1899</v>
      </c>
      <c r="F133" s="584"/>
      <c r="G133" s="584"/>
      <c r="H133" s="584"/>
      <c r="I133" s="584"/>
      <c r="J133" s="584"/>
      <c r="K133" s="584"/>
      <c r="L133" s="584"/>
      <c r="M133" s="584"/>
      <c r="N133" s="584"/>
      <c r="O133" s="584"/>
      <c r="P133" s="584"/>
      <c r="Q133" s="584"/>
      <c r="R133" s="584"/>
      <c r="S133" s="1697" t="s">
        <v>326</v>
      </c>
      <c r="T133" s="1697"/>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1900</v>
      </c>
      <c r="F135" s="99"/>
      <c r="G135" s="99"/>
      <c r="H135" s="99"/>
      <c r="I135" s="99"/>
      <c r="J135" s="99"/>
      <c r="K135" s="99"/>
      <c r="L135" s="99"/>
      <c r="M135" s="99"/>
      <c r="N135" s="99"/>
      <c r="O135" s="99"/>
      <c r="P135" s="99"/>
      <c r="Q135" s="99"/>
      <c r="R135" s="99"/>
      <c r="S135" s="99"/>
      <c r="T135" s="99"/>
      <c r="W135" s="99"/>
      <c r="X135" s="99"/>
      <c r="Y135" s="99"/>
      <c r="Z135" s="99"/>
      <c r="AA135" s="99"/>
      <c r="AB135" s="99"/>
      <c r="AF135" s="1558" t="s">
        <v>1901</v>
      </c>
      <c r="AG135" s="1558"/>
      <c r="AH135" s="1558"/>
      <c r="AI135" s="1558"/>
      <c r="AJ135" s="1558"/>
      <c r="AK135" s="1558"/>
      <c r="AL135" s="155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1888</v>
      </c>
      <c r="E137" s="93"/>
      <c r="F137" s="93"/>
      <c r="G137" s="93"/>
      <c r="H137" s="1627" t="s">
        <v>19</v>
      </c>
      <c r="I137" s="1627"/>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1902</v>
      </c>
      <c r="AJ139" s="1034">
        <f>VLOOKUP($H$137,$AO$133:$AP$135,2,FALSE)</f>
        <v>3</v>
      </c>
      <c r="AK139" s="1037"/>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1903</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1904</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58" t="s">
        <v>1837</v>
      </c>
      <c r="AG143" s="1558"/>
      <c r="AH143" s="1558"/>
      <c r="AI143" s="1558"/>
      <c r="AJ143" s="1558"/>
      <c r="AK143" s="1558"/>
      <c r="AL143" s="1558"/>
      <c r="AN143" s="241"/>
    </row>
    <row r="144" spans="1:42" s="4" customFormat="1" ht="12.75" customHeight="1">
      <c r="D144" s="25"/>
      <c r="E144" s="19" t="s">
        <v>1905</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1906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58" t="s">
        <v>1901</v>
      </c>
      <c r="AG146" s="1558"/>
      <c r="AH146" s="1558"/>
      <c r="AI146" s="1558"/>
      <c r="AJ146" s="1558"/>
      <c r="AK146" s="1558"/>
      <c r="AL146" s="1558"/>
      <c r="AN146" s="241"/>
    </row>
    <row r="147" spans="1:42" s="4" customFormat="1" ht="12.75" customHeight="1">
      <c r="B147" s="37"/>
      <c r="C147" s="38"/>
      <c r="D147" s="25"/>
      <c r="E147" s="19" t="s">
        <v>1907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1888</v>
      </c>
      <c r="E149" s="93"/>
      <c r="F149" s="93"/>
      <c r="G149" s="93"/>
      <c r="H149" s="1627" t="s">
        <v>326</v>
      </c>
      <c r="I149" s="1627"/>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1908</v>
      </c>
      <c r="AJ151" s="1034">
        <f>VLOOKUP(H149,AO140:AP142,2,FALSE)</f>
        <v>0</v>
      </c>
      <c r="AK151" s="1037"/>
      <c r="AL151" s="403"/>
      <c r="AN151" s="241"/>
    </row>
    <row r="152" spans="1:42" s="4" customFormat="1" ht="12.75" customHeight="1">
      <c r="B152" s="37"/>
      <c r="C152" s="38"/>
      <c r="AN152" s="241"/>
    </row>
    <row r="153" spans="1:42" s="4" customFormat="1" ht="12.75" customHeight="1">
      <c r="C153" s="3" t="s">
        <v>1909</v>
      </c>
      <c r="AN153" s="241"/>
    </row>
    <row r="154" spans="1:42" s="4" customFormat="1" ht="12.75" customHeight="1">
      <c r="C154" s="3"/>
      <c r="D154" s="229" t="s">
        <v>1910</v>
      </c>
      <c r="AN154" s="241"/>
    </row>
    <row r="155" spans="1:42" s="4" customFormat="1" ht="12.75" customHeight="1">
      <c r="C155" s="3"/>
      <c r="AN155" s="241"/>
    </row>
    <row r="156" spans="1:42" s="4" customFormat="1" ht="12.75" customHeight="1">
      <c r="C156" s="3"/>
      <c r="D156" s="25" t="s">
        <v>19</v>
      </c>
      <c r="E156" s="1594" t="s">
        <v>1911</v>
      </c>
      <c r="F156" s="1594"/>
      <c r="G156" s="1594"/>
      <c r="H156" s="1594"/>
      <c r="I156" s="1594"/>
      <c r="J156" s="1594"/>
      <c r="K156" s="1594"/>
      <c r="L156" s="1594"/>
      <c r="M156" s="1594"/>
      <c r="N156" s="1594"/>
      <c r="O156" s="1594"/>
      <c r="P156" s="1594"/>
      <c r="Q156" s="1594"/>
      <c r="R156" s="1594"/>
      <c r="S156" s="1594"/>
      <c r="T156" s="1594"/>
      <c r="U156" s="1594"/>
      <c r="V156" s="1594"/>
      <c r="W156" s="1594"/>
      <c r="X156" s="1594"/>
      <c r="Y156" s="1594"/>
      <c r="Z156" s="1594"/>
      <c r="AA156" s="1594"/>
      <c r="AB156" s="1594"/>
      <c r="AC156" s="1594"/>
      <c r="AE156" s="280"/>
      <c r="AF156" s="1224" t="s">
        <v>1875</v>
      </c>
      <c r="AG156" s="1224"/>
      <c r="AH156" s="1224"/>
      <c r="AI156" s="1224"/>
      <c r="AJ156" s="1224"/>
      <c r="AK156" s="1224"/>
      <c r="AL156" s="1224"/>
      <c r="AN156" s="241"/>
    </row>
    <row r="157" spans="1:42" s="4" customFormat="1" ht="12.75" customHeight="1">
      <c r="C157" s="3"/>
      <c r="E157" s="1594"/>
      <c r="F157" s="1594"/>
      <c r="G157" s="1594"/>
      <c r="H157" s="1594"/>
      <c r="I157" s="1594"/>
      <c r="J157" s="1594"/>
      <c r="K157" s="1594"/>
      <c r="L157" s="1594"/>
      <c r="M157" s="1594"/>
      <c r="N157" s="1594"/>
      <c r="O157" s="1594"/>
      <c r="P157" s="1594"/>
      <c r="Q157" s="1594"/>
      <c r="R157" s="1594"/>
      <c r="S157" s="1594"/>
      <c r="T157" s="1594"/>
      <c r="U157" s="1594"/>
      <c r="V157" s="1594"/>
      <c r="W157" s="1594"/>
      <c r="X157" s="1594"/>
      <c r="Y157" s="1594"/>
      <c r="Z157" s="1594"/>
      <c r="AA157" s="1594"/>
      <c r="AB157" s="1594"/>
      <c r="AC157" s="1594"/>
      <c r="AE157" s="280"/>
      <c r="AF157" s="280"/>
      <c r="AG157" s="280"/>
      <c r="AH157" s="280"/>
      <c r="AI157" s="280"/>
      <c r="AJ157" s="280"/>
      <c r="AK157" s="280"/>
      <c r="AL157" s="280"/>
      <c r="AN157" s="241"/>
    </row>
    <row r="158" spans="1:42" s="4" customFormat="1" ht="12.75" customHeight="1">
      <c r="C158" s="3"/>
      <c r="D158" s="25"/>
      <c r="E158" s="1594"/>
      <c r="F158" s="1594"/>
      <c r="G158" s="1594"/>
      <c r="H158" s="1594"/>
      <c r="I158" s="1594"/>
      <c r="J158" s="1594"/>
      <c r="K158" s="1594"/>
      <c r="L158" s="1594"/>
      <c r="M158" s="1594"/>
      <c r="N158" s="1594"/>
      <c r="O158" s="1594"/>
      <c r="P158" s="1594"/>
      <c r="Q158" s="1594"/>
      <c r="R158" s="1594"/>
      <c r="S158" s="1594"/>
      <c r="T158" s="1594"/>
      <c r="U158" s="1594"/>
      <c r="V158" s="1594"/>
      <c r="W158" s="1594"/>
      <c r="X158" s="1594"/>
      <c r="Y158" s="1594"/>
      <c r="Z158" s="1594"/>
      <c r="AA158" s="1594"/>
      <c r="AB158" s="1594"/>
      <c r="AC158" s="1594"/>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94" t="s">
        <v>1912</v>
      </c>
      <c r="F160" s="1594"/>
      <c r="G160" s="1594"/>
      <c r="H160" s="1594"/>
      <c r="I160" s="1594"/>
      <c r="J160" s="1594"/>
      <c r="K160" s="1594"/>
      <c r="L160" s="1594"/>
      <c r="M160" s="1594"/>
      <c r="N160" s="1594"/>
      <c r="O160" s="1594"/>
      <c r="P160" s="1594"/>
      <c r="Q160" s="1594"/>
      <c r="R160" s="1594"/>
      <c r="S160" s="1594"/>
      <c r="T160" s="1594"/>
      <c r="U160" s="1594"/>
      <c r="V160" s="1594"/>
      <c r="W160" s="1594"/>
      <c r="X160" s="1594"/>
      <c r="Y160" s="1594"/>
      <c r="Z160" s="1594"/>
      <c r="AA160" s="1594"/>
      <c r="AB160" s="1594"/>
      <c r="AC160" s="1594"/>
      <c r="AE160" s="280"/>
      <c r="AF160" s="1224" t="s">
        <v>1881</v>
      </c>
      <c r="AG160" s="1224"/>
      <c r="AH160" s="1224"/>
      <c r="AI160" s="1224"/>
      <c r="AJ160" s="1224"/>
      <c r="AK160" s="1224"/>
      <c r="AL160" s="1224"/>
      <c r="AN160" s="241"/>
    </row>
    <row r="161" spans="1:42" s="4" customFormat="1" ht="12.75" customHeight="1">
      <c r="C161" s="3"/>
      <c r="E161" s="1594"/>
      <c r="F161" s="1594"/>
      <c r="G161" s="1594"/>
      <c r="H161" s="1594"/>
      <c r="I161" s="1594"/>
      <c r="J161" s="1594"/>
      <c r="K161" s="1594"/>
      <c r="L161" s="1594"/>
      <c r="M161" s="1594"/>
      <c r="N161" s="1594"/>
      <c r="O161" s="1594"/>
      <c r="P161" s="1594"/>
      <c r="Q161" s="1594"/>
      <c r="R161" s="1594"/>
      <c r="S161" s="1594"/>
      <c r="T161" s="1594"/>
      <c r="U161" s="1594"/>
      <c r="V161" s="1594"/>
      <c r="W161" s="1594"/>
      <c r="X161" s="1594"/>
      <c r="Y161" s="1594"/>
      <c r="Z161" s="1594"/>
      <c r="AA161" s="1594"/>
      <c r="AB161" s="1594"/>
      <c r="AC161" s="1594"/>
      <c r="AE161" s="280"/>
      <c r="AF161" s="280"/>
      <c r="AG161" s="280"/>
      <c r="AH161" s="280"/>
      <c r="AI161" s="280"/>
      <c r="AJ161" s="280"/>
      <c r="AK161" s="280"/>
      <c r="AL161" s="280"/>
      <c r="AN161" s="241"/>
    </row>
    <row r="162" spans="1:42" s="4" customFormat="1" ht="15" customHeight="1">
      <c r="C162" s="3"/>
      <c r="D162" s="25"/>
      <c r="E162" s="1594"/>
      <c r="F162" s="1594"/>
      <c r="G162" s="1594"/>
      <c r="H162" s="1594"/>
      <c r="I162" s="1594"/>
      <c r="J162" s="1594"/>
      <c r="K162" s="1594"/>
      <c r="L162" s="1594"/>
      <c r="M162" s="1594"/>
      <c r="N162" s="1594"/>
      <c r="O162" s="1594"/>
      <c r="P162" s="1594"/>
      <c r="Q162" s="1594"/>
      <c r="R162" s="1594"/>
      <c r="S162" s="1594"/>
      <c r="T162" s="1594"/>
      <c r="U162" s="1594"/>
      <c r="V162" s="1594"/>
      <c r="W162" s="1594"/>
      <c r="X162" s="1594"/>
      <c r="Y162" s="1594"/>
      <c r="Z162" s="1594"/>
      <c r="AA162" s="1594"/>
      <c r="AB162" s="1594"/>
      <c r="AC162" s="1594"/>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94" t="s">
        <v>1913</v>
      </c>
      <c r="F164" s="1594"/>
      <c r="G164" s="1594"/>
      <c r="H164" s="1594"/>
      <c r="I164" s="1594"/>
      <c r="J164" s="1594"/>
      <c r="K164" s="1594"/>
      <c r="L164" s="1594"/>
      <c r="M164" s="1594"/>
      <c r="N164" s="1594"/>
      <c r="O164" s="1594"/>
      <c r="P164" s="1594"/>
      <c r="Q164" s="1594"/>
      <c r="R164" s="1594"/>
      <c r="S164" s="1594"/>
      <c r="T164" s="1594"/>
      <c r="U164" s="1594"/>
      <c r="V164" s="1594"/>
      <c r="W164" s="1594"/>
      <c r="X164" s="1594"/>
      <c r="Y164" s="1594"/>
      <c r="Z164" s="1594"/>
      <c r="AA164" s="1594"/>
      <c r="AB164" s="1594"/>
      <c r="AC164" s="1594"/>
      <c r="AE164" s="280"/>
      <c r="AF164" s="1224" t="s">
        <v>1837</v>
      </c>
      <c r="AG164" s="1224"/>
      <c r="AH164" s="1224"/>
      <c r="AI164" s="1224"/>
      <c r="AJ164" s="1224"/>
      <c r="AK164" s="1224"/>
      <c r="AL164" s="1224"/>
      <c r="AN164" s="241"/>
    </row>
    <row r="165" spans="1:42" s="4" customFormat="1" ht="12.75" customHeight="1">
      <c r="B165" s="37"/>
      <c r="C165" s="38"/>
      <c r="E165" s="1594"/>
      <c r="F165" s="1594"/>
      <c r="G165" s="1594"/>
      <c r="H165" s="1594"/>
      <c r="I165" s="1594"/>
      <c r="J165" s="1594"/>
      <c r="K165" s="1594"/>
      <c r="L165" s="1594"/>
      <c r="M165" s="1594"/>
      <c r="N165" s="1594"/>
      <c r="O165" s="1594"/>
      <c r="P165" s="1594"/>
      <c r="Q165" s="1594"/>
      <c r="R165" s="1594"/>
      <c r="S165" s="1594"/>
      <c r="T165" s="1594"/>
      <c r="U165" s="1594"/>
      <c r="V165" s="1594"/>
      <c r="W165" s="1594"/>
      <c r="X165" s="1594"/>
      <c r="Y165" s="1594"/>
      <c r="Z165" s="1594"/>
      <c r="AA165" s="1594"/>
      <c r="AB165" s="1594"/>
      <c r="AC165" s="1594"/>
      <c r="AE165" s="1224"/>
      <c r="AF165" s="1224"/>
      <c r="AG165" s="1224"/>
      <c r="AH165" s="1224"/>
      <c r="AI165" s="1224"/>
      <c r="AJ165" s="1224"/>
      <c r="AK165" s="1224"/>
      <c r="AL165" s="853"/>
      <c r="AN165" s="241"/>
    </row>
    <row r="166" spans="1:42" s="4" customFormat="1" ht="12.75" customHeight="1">
      <c r="A166" s="97"/>
      <c r="D166" s="25"/>
      <c r="E166" s="1594"/>
      <c r="F166" s="1594"/>
      <c r="G166" s="1594"/>
      <c r="H166" s="1594"/>
      <c r="I166" s="1594"/>
      <c r="J166" s="1594"/>
      <c r="K166" s="1594"/>
      <c r="L166" s="1594"/>
      <c r="M166" s="1594"/>
      <c r="N166" s="1594"/>
      <c r="O166" s="1594"/>
      <c r="P166" s="1594"/>
      <c r="Q166" s="1594"/>
      <c r="R166" s="1594"/>
      <c r="S166" s="1594"/>
      <c r="T166" s="1594"/>
      <c r="U166" s="1594"/>
      <c r="V166" s="1594"/>
      <c r="W166" s="1594"/>
      <c r="X166" s="1594"/>
      <c r="Y166" s="1594"/>
      <c r="Z166" s="1594"/>
      <c r="AA166" s="1594"/>
      <c r="AB166" s="1594"/>
      <c r="AC166" s="1594"/>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1876</v>
      </c>
      <c r="E168" s="1594" t="s">
        <v>1914</v>
      </c>
      <c r="F168" s="1594"/>
      <c r="G168" s="1594"/>
      <c r="H168" s="1594"/>
      <c r="I168" s="1594"/>
      <c r="J168" s="1594"/>
      <c r="K168" s="1594"/>
      <c r="L168" s="1594"/>
      <c r="M168" s="1594"/>
      <c r="N168" s="1594"/>
      <c r="O168" s="1594"/>
      <c r="P168" s="1594"/>
      <c r="Q168" s="1594"/>
      <c r="R168" s="1594"/>
      <c r="S168" s="1594"/>
      <c r="T168" s="1594"/>
      <c r="U168" s="1594"/>
      <c r="V168" s="1594"/>
      <c r="W168" s="1594"/>
      <c r="X168" s="1594"/>
      <c r="Y168" s="1594"/>
      <c r="Z168" s="1594"/>
      <c r="AA168" s="1594"/>
      <c r="AB168" s="1594"/>
      <c r="AC168" s="1594"/>
      <c r="AE168" s="280"/>
      <c r="AF168" s="1224" t="s">
        <v>1881</v>
      </c>
      <c r="AG168" s="1224"/>
      <c r="AH168" s="1224"/>
      <c r="AI168" s="1224"/>
      <c r="AJ168" s="1224"/>
      <c r="AK168" s="1224"/>
      <c r="AL168" s="1224"/>
      <c r="AN168" s="241"/>
    </row>
    <row r="169" spans="1:42" s="4" customFormat="1" ht="12.75" customHeight="1">
      <c r="A169" s="88"/>
      <c r="B169" s="37"/>
      <c r="C169" s="103"/>
      <c r="D169" s="25"/>
      <c r="E169" s="1594"/>
      <c r="F169" s="1594"/>
      <c r="G169" s="1594"/>
      <c r="H169" s="1594"/>
      <c r="I169" s="1594"/>
      <c r="J169" s="1594"/>
      <c r="K169" s="1594"/>
      <c r="L169" s="1594"/>
      <c r="M169" s="1594"/>
      <c r="N169" s="1594"/>
      <c r="O169" s="1594"/>
      <c r="P169" s="1594"/>
      <c r="Q169" s="1594"/>
      <c r="R169" s="1594"/>
      <c r="S169" s="1594"/>
      <c r="T169" s="1594"/>
      <c r="U169" s="1594"/>
      <c r="V169" s="1594"/>
      <c r="W169" s="1594"/>
      <c r="X169" s="1594"/>
      <c r="Y169" s="1594"/>
      <c r="Z169" s="1594"/>
      <c r="AA169" s="1594"/>
      <c r="AB169" s="1594"/>
      <c r="AC169" s="1594"/>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94"/>
      <c r="F170" s="1594"/>
      <c r="G170" s="1594"/>
      <c r="H170" s="1594"/>
      <c r="I170" s="1594"/>
      <c r="J170" s="1594"/>
      <c r="K170" s="1594"/>
      <c r="L170" s="1594"/>
      <c r="M170" s="1594"/>
      <c r="N170" s="1594"/>
      <c r="O170" s="1594"/>
      <c r="P170" s="1594"/>
      <c r="Q170" s="1594"/>
      <c r="R170" s="1594"/>
      <c r="S170" s="1594"/>
      <c r="T170" s="1594"/>
      <c r="U170" s="1594"/>
      <c r="V170" s="1594"/>
      <c r="W170" s="1594"/>
      <c r="X170" s="1594"/>
      <c r="Y170" s="1594"/>
      <c r="Z170" s="1594"/>
      <c r="AA170" s="1594"/>
      <c r="AB170" s="1594"/>
      <c r="AC170" s="1594"/>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1878</v>
      </c>
      <c r="E172" s="1594" t="s">
        <v>1915</v>
      </c>
      <c r="F172" s="1594"/>
      <c r="G172" s="1594"/>
      <c r="H172" s="1594"/>
      <c r="I172" s="1594"/>
      <c r="J172" s="1594"/>
      <c r="K172" s="1594"/>
      <c r="L172" s="1594"/>
      <c r="M172" s="1594"/>
      <c r="N172" s="1594"/>
      <c r="O172" s="1594"/>
      <c r="P172" s="1594"/>
      <c r="Q172" s="1594"/>
      <c r="R172" s="1594"/>
      <c r="S172" s="1594"/>
      <c r="T172" s="1594"/>
      <c r="U172" s="1594"/>
      <c r="V172" s="1594"/>
      <c r="W172" s="1594"/>
      <c r="X172" s="1594"/>
      <c r="Y172" s="1594"/>
      <c r="Z172" s="1594"/>
      <c r="AA172" s="1594"/>
      <c r="AB172" s="1594"/>
      <c r="AC172" s="1594"/>
      <c r="AE172" s="280"/>
      <c r="AF172" s="1224" t="s">
        <v>1837</v>
      </c>
      <c r="AG172" s="1224"/>
      <c r="AH172" s="1224"/>
      <c r="AI172" s="1224"/>
      <c r="AJ172" s="1224"/>
      <c r="AK172" s="1224"/>
      <c r="AL172" s="1224"/>
      <c r="AM172" s="20"/>
      <c r="AN172" s="241"/>
      <c r="AO172" s="25" t="s">
        <v>44</v>
      </c>
      <c r="AP172" s="4">
        <v>3</v>
      </c>
    </row>
    <row r="173" spans="1:42" s="4" customFormat="1" ht="12.75" customHeight="1">
      <c r="B173" s="37"/>
      <c r="C173" s="38"/>
      <c r="D173" s="25"/>
      <c r="E173" s="1594"/>
      <c r="F173" s="1594"/>
      <c r="G173" s="1594"/>
      <c r="H173" s="1594"/>
      <c r="I173" s="1594"/>
      <c r="J173" s="1594"/>
      <c r="K173" s="1594"/>
      <c r="L173" s="1594"/>
      <c r="M173" s="1594"/>
      <c r="N173" s="1594"/>
      <c r="O173" s="1594"/>
      <c r="P173" s="1594"/>
      <c r="Q173" s="1594"/>
      <c r="R173" s="1594"/>
      <c r="S173" s="1594"/>
      <c r="T173" s="1594"/>
      <c r="U173" s="1594"/>
      <c r="V173" s="1594"/>
      <c r="W173" s="1594"/>
      <c r="X173" s="1594"/>
      <c r="Y173" s="1594"/>
      <c r="Z173" s="1594"/>
      <c r="AA173" s="1594"/>
      <c r="AB173" s="1594"/>
      <c r="AC173" s="1594"/>
      <c r="AE173" s="280"/>
      <c r="AF173" s="870"/>
      <c r="AG173" s="280"/>
      <c r="AH173" s="280"/>
      <c r="AI173" s="280"/>
      <c r="AJ173" s="280"/>
      <c r="AK173" s="280"/>
      <c r="AL173" s="280"/>
      <c r="AM173" s="20"/>
      <c r="AN173" s="241"/>
      <c r="AO173" s="25" t="s">
        <v>1876</v>
      </c>
      <c r="AP173" s="104">
        <v>4</v>
      </c>
    </row>
    <row r="174" spans="1:42" s="4" customFormat="1" ht="12.75" customHeight="1">
      <c r="B174" s="37"/>
      <c r="C174" s="38"/>
      <c r="D174" s="25"/>
      <c r="E174" s="1594"/>
      <c r="F174" s="1594"/>
      <c r="G174" s="1594"/>
      <c r="H174" s="1594"/>
      <c r="I174" s="1594"/>
      <c r="J174" s="1594"/>
      <c r="K174" s="1594"/>
      <c r="L174" s="1594"/>
      <c r="M174" s="1594"/>
      <c r="N174" s="1594"/>
      <c r="O174" s="1594"/>
      <c r="P174" s="1594"/>
      <c r="Q174" s="1594"/>
      <c r="R174" s="1594"/>
      <c r="S174" s="1594"/>
      <c r="T174" s="1594"/>
      <c r="U174" s="1594"/>
      <c r="V174" s="1594"/>
      <c r="W174" s="1594"/>
      <c r="X174" s="1594"/>
      <c r="Y174" s="1594"/>
      <c r="Z174" s="1594"/>
      <c r="AA174" s="1594"/>
      <c r="AB174" s="1594"/>
      <c r="AC174" s="1594"/>
      <c r="AE174" s="280"/>
      <c r="AF174" s="870"/>
      <c r="AG174" s="280"/>
      <c r="AH174" s="280"/>
      <c r="AI174" s="280"/>
      <c r="AJ174" s="280"/>
      <c r="AK174" s="280"/>
      <c r="AL174" s="280"/>
      <c r="AM174" s="20"/>
      <c r="AN174" s="241"/>
      <c r="AO174" s="25" t="s">
        <v>1878</v>
      </c>
      <c r="AP174" s="4">
        <v>3</v>
      </c>
    </row>
    <row r="175" spans="1:42" s="4" customFormat="1" ht="12.75" customHeight="1">
      <c r="B175" s="37"/>
      <c r="C175" s="38"/>
      <c r="D175" s="25"/>
      <c r="AE175" s="280"/>
      <c r="AF175" s="280"/>
      <c r="AG175" s="280"/>
      <c r="AH175" s="280"/>
      <c r="AI175" s="280"/>
      <c r="AJ175" s="280"/>
      <c r="AK175" s="280"/>
      <c r="AL175" s="280"/>
      <c r="AM175" s="20"/>
      <c r="AN175" s="241"/>
      <c r="AO175" s="25" t="s">
        <v>1916</v>
      </c>
      <c r="AP175" s="4">
        <v>2</v>
      </c>
    </row>
    <row r="176" spans="1:42" s="4" customFormat="1" ht="12.75" customHeight="1">
      <c r="A176" s="97"/>
      <c r="B176" s="37"/>
      <c r="C176" s="38"/>
      <c r="D176" s="25" t="s">
        <v>1916</v>
      </c>
      <c r="E176" s="1594" t="s">
        <v>1917</v>
      </c>
      <c r="F176" s="1594"/>
      <c r="G176" s="1594"/>
      <c r="H176" s="1594"/>
      <c r="I176" s="1594"/>
      <c r="J176" s="1594"/>
      <c r="K176" s="1594"/>
      <c r="L176" s="1594"/>
      <c r="M176" s="1594"/>
      <c r="N176" s="1594"/>
      <c r="O176" s="1594"/>
      <c r="P176" s="1594"/>
      <c r="Q176" s="1594"/>
      <c r="R176" s="1594"/>
      <c r="S176" s="1594"/>
      <c r="T176" s="1594"/>
      <c r="U176" s="1594"/>
      <c r="V176" s="1594"/>
      <c r="W176" s="1594"/>
      <c r="X176" s="1594"/>
      <c r="Y176" s="1594"/>
      <c r="Z176" s="1594"/>
      <c r="AA176" s="1594"/>
      <c r="AB176" s="1594"/>
      <c r="AC176" s="1594"/>
      <c r="AE176" s="280"/>
      <c r="AF176" s="1224" t="s">
        <v>1901</v>
      </c>
      <c r="AG176" s="1224"/>
      <c r="AH176" s="1224"/>
      <c r="AI176" s="1224"/>
      <c r="AJ176" s="1224"/>
      <c r="AK176" s="1224"/>
      <c r="AL176" s="1224"/>
      <c r="AM176" s="20"/>
      <c r="AN176" s="241"/>
      <c r="AO176" s="25" t="s">
        <v>1918</v>
      </c>
      <c r="AP176" s="4">
        <v>1</v>
      </c>
    </row>
    <row r="177" spans="1:61" s="4" customFormat="1" ht="23.1" customHeight="1">
      <c r="A177" s="97"/>
      <c r="B177" s="37"/>
      <c r="C177" s="38"/>
      <c r="D177" s="25"/>
      <c r="E177" s="1594"/>
      <c r="F177" s="1594"/>
      <c r="G177" s="1594"/>
      <c r="H177" s="1594"/>
      <c r="I177" s="1594"/>
      <c r="J177" s="1594"/>
      <c r="K177" s="1594"/>
      <c r="L177" s="1594"/>
      <c r="M177" s="1594"/>
      <c r="N177" s="1594"/>
      <c r="O177" s="1594"/>
      <c r="P177" s="1594"/>
      <c r="Q177" s="1594"/>
      <c r="R177" s="1594"/>
      <c r="S177" s="1594"/>
      <c r="T177" s="1594"/>
      <c r="U177" s="1594"/>
      <c r="V177" s="1594"/>
      <c r="W177" s="1594"/>
      <c r="X177" s="1594"/>
      <c r="Y177" s="1594"/>
      <c r="Z177" s="1594"/>
      <c r="AA177" s="1594"/>
      <c r="AB177" s="1594"/>
      <c r="AC177" s="1594"/>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1918</v>
      </c>
      <c r="E179" s="1594" t="s">
        <v>1919</v>
      </c>
      <c r="F179" s="1594"/>
      <c r="G179" s="1594"/>
      <c r="H179" s="1594"/>
      <c r="I179" s="1594"/>
      <c r="J179" s="1594"/>
      <c r="K179" s="1594"/>
      <c r="L179" s="1594"/>
      <c r="M179" s="1594"/>
      <c r="N179" s="1594"/>
      <c r="O179" s="1594"/>
      <c r="P179" s="1594"/>
      <c r="Q179" s="1594"/>
      <c r="R179" s="1594"/>
      <c r="S179" s="1594"/>
      <c r="T179" s="1594"/>
      <c r="U179" s="1594"/>
      <c r="V179" s="1594"/>
      <c r="W179" s="1594"/>
      <c r="X179" s="1594"/>
      <c r="Y179" s="1594"/>
      <c r="Z179" s="1594"/>
      <c r="AA179" s="1594"/>
      <c r="AB179" s="1594"/>
      <c r="AC179" s="1594"/>
      <c r="AE179" s="280"/>
      <c r="AF179" s="1224" t="s">
        <v>1920</v>
      </c>
      <c r="AG179" s="1224"/>
      <c r="AH179" s="1224"/>
      <c r="AI179" s="1224"/>
      <c r="AJ179" s="1224"/>
      <c r="AK179" s="1224"/>
      <c r="AL179" s="1224"/>
      <c r="AM179" s="20"/>
      <c r="AN179" s="241"/>
    </row>
    <row r="180" spans="1:61" s="4" customFormat="1" ht="23.1" customHeight="1">
      <c r="A180" s="97"/>
      <c r="B180" s="37"/>
      <c r="C180" s="38"/>
      <c r="D180" s="25"/>
      <c r="E180" s="1594"/>
      <c r="F180" s="1594"/>
      <c r="G180" s="1594"/>
      <c r="H180" s="1594"/>
      <c r="I180" s="1594"/>
      <c r="J180" s="1594"/>
      <c r="K180" s="1594"/>
      <c r="L180" s="1594"/>
      <c r="M180" s="1594"/>
      <c r="N180" s="1594"/>
      <c r="O180" s="1594"/>
      <c r="P180" s="1594"/>
      <c r="Q180" s="1594"/>
      <c r="R180" s="1594"/>
      <c r="S180" s="1594"/>
      <c r="T180" s="1594"/>
      <c r="U180" s="1594"/>
      <c r="V180" s="1594"/>
      <c r="W180" s="1594"/>
      <c r="X180" s="1594"/>
      <c r="Y180" s="1594"/>
      <c r="Z180" s="1594"/>
      <c r="AA180" s="1594"/>
      <c r="AB180" s="1594"/>
      <c r="AC180" s="1594"/>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1888</v>
      </c>
      <c r="E182" s="93"/>
      <c r="F182" s="93"/>
      <c r="G182" s="93"/>
      <c r="H182" s="1627" t="s">
        <v>44</v>
      </c>
      <c r="I182" s="1627"/>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1921</v>
      </c>
      <c r="AJ184" s="1034">
        <f>VLOOKUP($H$182,$AO$169:$AP$176,2,FALSE)</f>
        <v>3</v>
      </c>
      <c r="AK184" s="1037"/>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1922</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29" t="s">
        <v>1923</v>
      </c>
      <c r="F188" s="1629"/>
      <c r="G188" s="1629"/>
      <c r="H188" s="1629"/>
      <c r="I188" s="1629"/>
      <c r="J188" s="1629"/>
      <c r="K188" s="1629"/>
      <c r="L188" s="1629"/>
      <c r="M188" s="1629"/>
      <c r="N188" s="1629"/>
      <c r="O188" s="1629"/>
      <c r="P188" s="1629"/>
      <c r="Q188" s="1629"/>
      <c r="R188" s="1629"/>
      <c r="S188" s="1629"/>
      <c r="T188" s="1629"/>
      <c r="U188" s="1629"/>
      <c r="V188" s="1629"/>
      <c r="W188" s="1629"/>
      <c r="X188" s="1629"/>
      <c r="Y188" s="1629"/>
      <c r="Z188" s="1629"/>
      <c r="AA188" s="1629"/>
      <c r="AB188" s="1629"/>
      <c r="AD188" s="37"/>
      <c r="AF188" s="1260" t="s">
        <v>1837</v>
      </c>
      <c r="AG188" s="1260"/>
      <c r="AH188" s="1260"/>
      <c r="AI188" s="1260"/>
      <c r="AJ188" s="1260"/>
      <c r="AK188" s="1260"/>
      <c r="AL188" s="1260"/>
      <c r="AN188" s="241"/>
    </row>
    <row r="189" spans="1:61" s="4" customFormat="1" ht="12.75" customHeight="1">
      <c r="A189" s="97"/>
      <c r="B189" s="37"/>
      <c r="C189" s="107"/>
      <c r="D189" s="25"/>
      <c r="E189" s="1629"/>
      <c r="F189" s="1629"/>
      <c r="G189" s="1629"/>
      <c r="H189" s="1629"/>
      <c r="I189" s="1629"/>
      <c r="J189" s="1629"/>
      <c r="K189" s="1629"/>
      <c r="L189" s="1629"/>
      <c r="M189" s="1629"/>
      <c r="N189" s="1629"/>
      <c r="O189" s="1629"/>
      <c r="P189" s="1629"/>
      <c r="Q189" s="1629"/>
      <c r="R189" s="1629"/>
      <c r="S189" s="1629"/>
      <c r="T189" s="1629"/>
      <c r="U189" s="1629"/>
      <c r="V189" s="1629"/>
      <c r="W189" s="1629"/>
      <c r="X189" s="1629"/>
      <c r="Y189" s="1629"/>
      <c r="Z189" s="1629"/>
      <c r="AA189" s="1629"/>
      <c r="AB189" s="1629"/>
      <c r="AD189" s="37"/>
      <c r="AF189" s="1260"/>
      <c r="AG189" s="1260"/>
      <c r="AH189" s="1260"/>
      <c r="AI189" s="1260"/>
      <c r="AJ189" s="1260"/>
      <c r="AK189" s="1260"/>
      <c r="AL189" s="1260"/>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94" t="s">
        <v>1924</v>
      </c>
      <c r="F191" s="1594"/>
      <c r="G191" s="1594"/>
      <c r="H191" s="1594"/>
      <c r="I191" s="1594"/>
      <c r="J191" s="1594"/>
      <c r="K191" s="1594"/>
      <c r="L191" s="1594"/>
      <c r="M191" s="1594"/>
      <c r="N191" s="1594"/>
      <c r="O191" s="1594"/>
      <c r="P191" s="1594"/>
      <c r="Q191" s="1594"/>
      <c r="R191" s="1594"/>
      <c r="S191" s="1594"/>
      <c r="T191" s="1594"/>
      <c r="U191" s="1594"/>
      <c r="V191" s="1594"/>
      <c r="W191" s="1594"/>
      <c r="X191" s="1594"/>
      <c r="Y191" s="1594"/>
      <c r="Z191" s="1594"/>
      <c r="AA191" s="1594"/>
      <c r="AB191" s="1594"/>
      <c r="AF191" s="1224" t="s">
        <v>1837</v>
      </c>
      <c r="AG191" s="1224"/>
      <c r="AH191" s="1224"/>
      <c r="AI191" s="1224"/>
      <c r="AJ191" s="1224"/>
      <c r="AK191" s="1224"/>
      <c r="AL191" s="1224"/>
      <c r="AN191" s="241"/>
      <c r="AO191" s="25" t="s">
        <v>19</v>
      </c>
      <c r="AP191" s="4">
        <v>3</v>
      </c>
    </row>
    <row r="192" spans="1:61" s="4" customFormat="1" ht="12.75" customHeight="1">
      <c r="B192" s="37"/>
      <c r="C192" s="98"/>
      <c r="E192" s="1594"/>
      <c r="F192" s="1594"/>
      <c r="G192" s="1594"/>
      <c r="H192" s="1594"/>
      <c r="I192" s="1594"/>
      <c r="J192" s="1594"/>
      <c r="K192" s="1594"/>
      <c r="L192" s="1594"/>
      <c r="M192" s="1594"/>
      <c r="N192" s="1594"/>
      <c r="O192" s="1594"/>
      <c r="P192" s="1594"/>
      <c r="Q192" s="1594"/>
      <c r="R192" s="1594"/>
      <c r="S192" s="1594"/>
      <c r="T192" s="1594"/>
      <c r="U192" s="1594"/>
      <c r="V192" s="1594"/>
      <c r="W192" s="1594"/>
      <c r="X192" s="1594"/>
      <c r="Y192" s="1594"/>
      <c r="Z192" s="1594"/>
      <c r="AA192" s="1594"/>
      <c r="AB192" s="1594"/>
      <c r="AE192" s="19"/>
      <c r="AF192" s="1224"/>
      <c r="AG192" s="1224"/>
      <c r="AH192" s="1224"/>
      <c r="AI192" s="1224"/>
      <c r="AJ192" s="1224"/>
      <c r="AK192" s="1224"/>
      <c r="AL192" s="1224"/>
      <c r="AN192" s="241"/>
      <c r="AO192" s="25" t="s">
        <v>24</v>
      </c>
      <c r="AP192" s="25">
        <f>3*$AO$197</f>
        <v>0</v>
      </c>
    </row>
    <row r="193" spans="1:53" s="4" customFormat="1" ht="12.75" customHeight="1">
      <c r="B193" s="37"/>
      <c r="C193" s="98"/>
      <c r="E193" s="1594"/>
      <c r="F193" s="1594"/>
      <c r="G193" s="1594"/>
      <c r="H193" s="1594"/>
      <c r="I193" s="1594"/>
      <c r="J193" s="1594"/>
      <c r="K193" s="1594"/>
      <c r="L193" s="1594"/>
      <c r="M193" s="1594"/>
      <c r="N193" s="1594"/>
      <c r="O193" s="1594"/>
      <c r="P193" s="1594"/>
      <c r="Q193" s="1594"/>
      <c r="R193" s="1594"/>
      <c r="S193" s="1594"/>
      <c r="T193" s="1594"/>
      <c r="U193" s="1594"/>
      <c r="V193" s="1594"/>
      <c r="W193" s="1594"/>
      <c r="X193" s="1594"/>
      <c r="Y193" s="1594"/>
      <c r="Z193" s="1594"/>
      <c r="AA193" s="1594"/>
      <c r="AB193" s="1594"/>
      <c r="AE193" s="19"/>
      <c r="AF193" s="264"/>
      <c r="AG193" s="19"/>
      <c r="AH193" s="19"/>
      <c r="AI193" s="19"/>
      <c r="AJ193" s="19"/>
      <c r="AK193" s="19"/>
      <c r="AL193" s="19"/>
      <c r="AN193" s="241"/>
      <c r="AO193" s="4" t="s">
        <v>44</v>
      </c>
      <c r="AP193" s="25">
        <f>2*$AO$197</f>
        <v>0</v>
      </c>
    </row>
    <row r="194" spans="1:53" s="4" customFormat="1" ht="6.75" customHeight="1">
      <c r="B194" s="37"/>
      <c r="C194" s="98"/>
      <c r="E194" s="1594"/>
      <c r="F194" s="1594"/>
      <c r="G194" s="1594"/>
      <c r="H194" s="1594"/>
      <c r="I194" s="1594"/>
      <c r="J194" s="1594"/>
      <c r="K194" s="1594"/>
      <c r="L194" s="1594"/>
      <c r="M194" s="1594"/>
      <c r="N194" s="1594"/>
      <c r="O194" s="1594"/>
      <c r="P194" s="1594"/>
      <c r="Q194" s="1594"/>
      <c r="R194" s="1594"/>
      <c r="S194" s="1594"/>
      <c r="T194" s="1594"/>
      <c r="U194" s="1594"/>
      <c r="V194" s="1594"/>
      <c r="W194" s="1594"/>
      <c r="X194" s="1594"/>
      <c r="Y194" s="1594"/>
      <c r="Z194" s="1594"/>
      <c r="AA194" s="1594"/>
      <c r="AB194" s="1594"/>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94" t="s">
        <v>1925</v>
      </c>
      <c r="F196" s="1594"/>
      <c r="G196" s="1594"/>
      <c r="H196" s="1594"/>
      <c r="I196" s="1594"/>
      <c r="J196" s="1594"/>
      <c r="K196" s="1594"/>
      <c r="L196" s="1594"/>
      <c r="M196" s="1594"/>
      <c r="N196" s="1594"/>
      <c r="O196" s="1594"/>
      <c r="P196" s="1594"/>
      <c r="Q196" s="1594"/>
      <c r="R196" s="1594"/>
      <c r="S196" s="1594"/>
      <c r="T196" s="1594"/>
      <c r="U196" s="1594"/>
      <c r="V196" s="1594"/>
      <c r="W196" s="1594"/>
      <c r="X196" s="1594"/>
      <c r="Y196" s="1594"/>
      <c r="Z196" s="1594"/>
      <c r="AA196" s="1594"/>
      <c r="AB196" s="1594"/>
      <c r="AF196" s="1224" t="s">
        <v>1901</v>
      </c>
      <c r="AG196" s="1224"/>
      <c r="AH196" s="1224"/>
      <c r="AI196" s="1224"/>
      <c r="AJ196" s="1224"/>
      <c r="AK196" s="1224"/>
      <c r="AL196" s="1224"/>
      <c r="AN196" s="241"/>
      <c r="AY196" s="4" t="s">
        <v>1926</v>
      </c>
      <c r="AZ196" s="846">
        <f>Application!S215</f>
        <v>57</v>
      </c>
    </row>
    <row r="197" spans="1:53" s="4" customFormat="1" ht="12.75" customHeight="1">
      <c r="B197" s="37"/>
      <c r="C197" s="38"/>
      <c r="E197" s="1594"/>
      <c r="F197" s="1594"/>
      <c r="G197" s="1594"/>
      <c r="H197" s="1594"/>
      <c r="I197" s="1594"/>
      <c r="J197" s="1594"/>
      <c r="K197" s="1594"/>
      <c r="L197" s="1594"/>
      <c r="M197" s="1594"/>
      <c r="N197" s="1594"/>
      <c r="O197" s="1594"/>
      <c r="P197" s="1594"/>
      <c r="Q197" s="1594"/>
      <c r="R197" s="1594"/>
      <c r="S197" s="1594"/>
      <c r="T197" s="1594"/>
      <c r="U197" s="1594"/>
      <c r="V197" s="1594"/>
      <c r="W197" s="1594"/>
      <c r="X197" s="1594"/>
      <c r="Y197" s="1594"/>
      <c r="Z197" s="1594"/>
      <c r="AA197" s="1594"/>
      <c r="AB197" s="1594"/>
      <c r="AD197" s="37"/>
      <c r="AE197" s="19"/>
      <c r="AF197" s="1224"/>
      <c r="AG197" s="1224"/>
      <c r="AH197" s="1224"/>
      <c r="AI197" s="1224"/>
      <c r="AJ197" s="1224"/>
      <c r="AK197" s="1224"/>
      <c r="AL197" s="1224"/>
      <c r="AN197" s="241"/>
      <c r="AO197" s="104" t="b">
        <f>IF(OR(Application!D214="Special Needs",Application!D211="At-Risk and Special Needs"),IF(BA203&gt;=0.25,TRUE,FALSE),IF(AZ203&gt;=0.25,TRUE,FALSE))</f>
        <v>0</v>
      </c>
      <c r="AY197" s="4" t="s">
        <v>1927</v>
      </c>
      <c r="AZ197" s="846">
        <f>Application!G738</f>
        <v>57</v>
      </c>
    </row>
    <row r="198" spans="1:53" s="4" customFormat="1" ht="12.75" customHeight="1">
      <c r="B198" s="37"/>
      <c r="C198" s="38"/>
      <c r="E198" s="1594"/>
      <c r="F198" s="1594"/>
      <c r="G198" s="1594"/>
      <c r="H198" s="1594"/>
      <c r="I198" s="1594"/>
      <c r="J198" s="1594"/>
      <c r="K198" s="1594"/>
      <c r="L198" s="1594"/>
      <c r="M198" s="1594"/>
      <c r="N198" s="1594"/>
      <c r="O198" s="1594"/>
      <c r="P198" s="1594"/>
      <c r="Q198" s="1594"/>
      <c r="R198" s="1594"/>
      <c r="S198" s="1594"/>
      <c r="T198" s="1594"/>
      <c r="U198" s="1594"/>
      <c r="V198" s="1594"/>
      <c r="W198" s="1594"/>
      <c r="X198" s="1594"/>
      <c r="Y198" s="1594"/>
      <c r="Z198" s="1594"/>
      <c r="AA198" s="1594"/>
      <c r="AB198" s="1594"/>
      <c r="AD198" s="37"/>
      <c r="AE198" s="19"/>
      <c r="AN198" s="241"/>
      <c r="AY198" s="4" t="s">
        <v>1928</v>
      </c>
      <c r="AZ198" s="4">
        <f>Application!CC634</f>
        <v>0</v>
      </c>
    </row>
    <row r="199" spans="1:53" customFormat="1" ht="12.75" customHeight="1">
      <c r="A199" s="4"/>
      <c r="B199" s="37"/>
      <c r="C199" s="38"/>
      <c r="D199" s="4"/>
      <c r="E199" s="1594"/>
      <c r="F199" s="1594"/>
      <c r="G199" s="1594"/>
      <c r="H199" s="1594"/>
      <c r="I199" s="1594"/>
      <c r="J199" s="1594"/>
      <c r="K199" s="1594"/>
      <c r="L199" s="1594"/>
      <c r="M199" s="1594"/>
      <c r="N199" s="1594"/>
      <c r="O199" s="1594"/>
      <c r="P199" s="1594"/>
      <c r="Q199" s="1594"/>
      <c r="R199" s="1594"/>
      <c r="S199" s="1594"/>
      <c r="T199" s="1594"/>
      <c r="U199" s="1594"/>
      <c r="V199" s="1594"/>
      <c r="W199" s="1594"/>
      <c r="X199" s="1594"/>
      <c r="Y199" s="1594"/>
      <c r="Z199" s="1594"/>
      <c r="AA199" s="1594"/>
      <c r="AB199" s="1594"/>
      <c r="AC199" s="4"/>
      <c r="AD199" s="37"/>
      <c r="AE199" s="19"/>
      <c r="AF199" s="19"/>
      <c r="AG199" s="19"/>
      <c r="AH199" s="19"/>
      <c r="AI199" s="19"/>
      <c r="AJ199" s="4"/>
      <c r="AK199" s="4"/>
      <c r="AL199" s="4"/>
      <c r="AM199" s="4"/>
      <c r="AN199" s="173"/>
      <c r="AY199" s="4" t="s">
        <v>1929</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25" t="s">
        <v>1930</v>
      </c>
      <c r="F201" s="1625"/>
      <c r="G201" s="1625"/>
      <c r="H201" s="1625"/>
      <c r="I201" s="1625"/>
      <c r="J201" s="1625"/>
      <c r="K201" s="1625"/>
      <c r="L201" s="1625"/>
      <c r="M201" s="1625"/>
      <c r="N201" s="1625"/>
      <c r="O201" s="1625"/>
      <c r="P201" s="1625"/>
      <c r="Q201" s="1625"/>
      <c r="R201" s="1625"/>
      <c r="S201" s="1625"/>
      <c r="T201" s="1625"/>
      <c r="U201" s="1625"/>
      <c r="V201" s="1625"/>
      <c r="W201" s="1625"/>
      <c r="X201" s="1625"/>
      <c r="Y201" s="1625"/>
      <c r="Z201" s="1625"/>
      <c r="AA201" s="1625"/>
      <c r="AB201" s="1625"/>
      <c r="AC201" s="4"/>
      <c r="AD201" s="37"/>
      <c r="AE201" s="19"/>
      <c r="AF201" s="19"/>
      <c r="AG201" s="19"/>
      <c r="AH201" s="19"/>
      <c r="AI201" s="19"/>
      <c r="AJ201" s="4"/>
      <c r="AK201" s="4"/>
      <c r="AL201" s="4"/>
      <c r="AM201" s="4"/>
      <c r="AN201" s="173"/>
      <c r="AY201" s="4" t="s">
        <v>1931</v>
      </c>
      <c r="AZ201">
        <f>Application!CM634</f>
        <v>0</v>
      </c>
    </row>
    <row r="202" spans="1:53" customFormat="1" ht="12.75" customHeight="1">
      <c r="A202" s="4"/>
      <c r="B202" s="37"/>
      <c r="C202" s="38"/>
      <c r="D202" s="4"/>
      <c r="E202" s="1625"/>
      <c r="F202" s="1625"/>
      <c r="G202" s="1625"/>
      <c r="H202" s="1625"/>
      <c r="I202" s="1625"/>
      <c r="J202" s="1625"/>
      <c r="K202" s="1625"/>
      <c r="L202" s="1625"/>
      <c r="M202" s="1625"/>
      <c r="N202" s="1625"/>
      <c r="O202" s="1625"/>
      <c r="P202" s="1625"/>
      <c r="Q202" s="1625"/>
      <c r="R202" s="1625"/>
      <c r="S202" s="1625"/>
      <c r="T202" s="1625"/>
      <c r="U202" s="1625"/>
      <c r="V202" s="1625"/>
      <c r="W202" s="1625"/>
      <c r="X202" s="1625"/>
      <c r="Y202" s="1625"/>
      <c r="Z202" s="1625"/>
      <c r="AA202" s="1625"/>
      <c r="AB202" s="1625"/>
      <c r="AC202" s="4"/>
      <c r="AD202" s="37"/>
      <c r="AE202" s="19"/>
      <c r="AF202" s="19"/>
      <c r="AG202" s="19"/>
      <c r="AH202" s="19"/>
      <c r="AI202" s="19"/>
      <c r="AJ202" s="4"/>
      <c r="AK202" s="4"/>
      <c r="AL202" s="4"/>
      <c r="AM202" s="4"/>
      <c r="AN202" s="173"/>
      <c r="AY202" s="4" t="s">
        <v>1932</v>
      </c>
      <c r="AZ202">
        <f>AZ198+AZ199+AZ201</f>
        <v>0</v>
      </c>
    </row>
    <row r="203" spans="1:53" customFormat="1" ht="18" customHeight="1">
      <c r="A203" s="4"/>
      <c r="B203" s="37"/>
      <c r="C203" s="38"/>
      <c r="D203" s="4"/>
      <c r="E203" s="1625"/>
      <c r="F203" s="1625"/>
      <c r="G203" s="1625"/>
      <c r="H203" s="1625"/>
      <c r="I203" s="1625"/>
      <c r="J203" s="1625"/>
      <c r="K203" s="1625"/>
      <c r="L203" s="1625"/>
      <c r="M203" s="1625"/>
      <c r="N203" s="1625"/>
      <c r="O203" s="1625"/>
      <c r="P203" s="1625"/>
      <c r="Q203" s="1625"/>
      <c r="R203" s="1625"/>
      <c r="S203" s="1625"/>
      <c r="T203" s="1625"/>
      <c r="U203" s="1625"/>
      <c r="V203" s="1625"/>
      <c r="W203" s="1625"/>
      <c r="X203" s="1625"/>
      <c r="Y203" s="1625"/>
      <c r="Z203" s="1625"/>
      <c r="AA203" s="1625"/>
      <c r="AB203" s="1625"/>
      <c r="AC203" s="4"/>
      <c r="AD203" s="37"/>
      <c r="AE203" s="19"/>
      <c r="AF203" s="19"/>
      <c r="AG203" s="19"/>
      <c r="AH203" s="19"/>
      <c r="AI203" s="19"/>
      <c r="AJ203" s="4"/>
      <c r="AK203" s="4"/>
      <c r="AL203" s="4"/>
      <c r="AM203" s="4"/>
      <c r="AN203" s="173"/>
      <c r="AY203" s="4" t="s">
        <v>1933</v>
      </c>
      <c r="AZ203">
        <f>IFERROR(AZ202/AZ197,0)</f>
        <v>0</v>
      </c>
      <c r="BA203">
        <f>IFERROR(AZ202/(AZ197-AZ196),0)</f>
        <v>0</v>
      </c>
    </row>
    <row r="204" spans="1:53" customFormat="1" ht="12.75" customHeight="1">
      <c r="A204" s="4"/>
      <c r="B204" s="37"/>
      <c r="C204" s="38"/>
      <c r="D204" s="4" t="s">
        <v>1888</v>
      </c>
      <c r="E204" s="93"/>
      <c r="F204" s="93"/>
      <c r="G204" s="93"/>
      <c r="H204" s="1627" t="s">
        <v>24</v>
      </c>
      <c r="I204" s="1627"/>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1934</v>
      </c>
      <c r="AJ206" s="1034">
        <f>VLOOKUP($H$204,$AO$190:$AP$193,2,FALSE)</f>
        <v>0</v>
      </c>
      <c r="AK206" s="1037"/>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1935</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28" t="s">
        <v>1936</v>
      </c>
      <c r="F210" s="1628"/>
      <c r="G210" s="1628"/>
      <c r="H210" s="1628"/>
      <c r="I210" s="1628"/>
      <c r="J210" s="1628"/>
      <c r="K210" s="1628"/>
      <c r="L210" s="1628"/>
      <c r="M210" s="1628"/>
      <c r="N210" s="1628"/>
      <c r="O210" s="1628"/>
      <c r="P210" s="1628"/>
      <c r="Q210" s="1628"/>
      <c r="R210" s="1628"/>
      <c r="S210" s="1628"/>
      <c r="T210" s="1628"/>
      <c r="U210" s="1628"/>
      <c r="V210" s="1628"/>
      <c r="W210" s="1628"/>
      <c r="X210" s="1628"/>
      <c r="Y210" s="1628"/>
      <c r="Z210" s="1628"/>
      <c r="AA210" s="1628"/>
      <c r="AB210" s="1628"/>
      <c r="AC210" s="4"/>
      <c r="AD210" s="4"/>
      <c r="AF210" s="1558" t="s">
        <v>1837</v>
      </c>
      <c r="AG210" s="1558"/>
      <c r="AH210" s="1558"/>
      <c r="AI210" s="1558"/>
      <c r="AJ210" s="1558"/>
      <c r="AK210" s="1558"/>
      <c r="AL210" s="1558"/>
      <c r="AM210" s="4"/>
      <c r="AN210" s="173"/>
      <c r="AO210" s="4" t="s">
        <v>326</v>
      </c>
      <c r="AP210" s="386">
        <v>0</v>
      </c>
    </row>
    <row r="211" spans="1:52" customFormat="1" ht="11.85" customHeight="1">
      <c r="A211" s="4"/>
      <c r="B211" s="37"/>
      <c r="C211" s="92"/>
      <c r="D211" s="25"/>
      <c r="E211" s="1628"/>
      <c r="F211" s="1628"/>
      <c r="G211" s="1628"/>
      <c r="H211" s="1628"/>
      <c r="I211" s="1628"/>
      <c r="J211" s="1628"/>
      <c r="K211" s="1628"/>
      <c r="L211" s="1628"/>
      <c r="M211" s="1628"/>
      <c r="N211" s="1628"/>
      <c r="O211" s="1628"/>
      <c r="P211" s="1628"/>
      <c r="Q211" s="1628"/>
      <c r="R211" s="1628"/>
      <c r="S211" s="1628"/>
      <c r="T211" s="1628"/>
      <c r="U211" s="1628"/>
      <c r="V211" s="1628"/>
      <c r="W211" s="1628"/>
      <c r="X211" s="1628"/>
      <c r="Y211" s="1628"/>
      <c r="Z211" s="1628"/>
      <c r="AA211" s="1628"/>
      <c r="AB211" s="1628"/>
      <c r="AC211" s="4"/>
      <c r="AD211" s="4"/>
      <c r="AE211" s="4"/>
      <c r="AM211" s="4"/>
      <c r="AN211" s="173"/>
      <c r="AO211" s="25" t="s">
        <v>19</v>
      </c>
      <c r="AP211" s="4">
        <v>3</v>
      </c>
    </row>
    <row r="212" spans="1:52" customFormat="1" ht="14.1" customHeight="1">
      <c r="A212" s="4"/>
      <c r="B212" s="810"/>
      <c r="C212" s="38"/>
      <c r="D212" s="25"/>
      <c r="E212" s="1628"/>
      <c r="F212" s="1628"/>
      <c r="G212" s="1628"/>
      <c r="H212" s="1628"/>
      <c r="I212" s="1628"/>
      <c r="J212" s="1628"/>
      <c r="K212" s="1628"/>
      <c r="L212" s="1628"/>
      <c r="M212" s="1628"/>
      <c r="N212" s="1628"/>
      <c r="O212" s="1628"/>
      <c r="P212" s="1628"/>
      <c r="Q212" s="1628"/>
      <c r="R212" s="1628"/>
      <c r="S212" s="1628"/>
      <c r="T212" s="1628"/>
      <c r="U212" s="1628"/>
      <c r="V212" s="1628"/>
      <c r="W212" s="1628"/>
      <c r="X212" s="1628"/>
      <c r="Y212" s="1628"/>
      <c r="Z212" s="1628"/>
      <c r="AA212" s="1628"/>
      <c r="AB212" s="1628"/>
      <c r="AC212" s="4"/>
      <c r="AD212" s="4"/>
      <c r="AE212" s="19"/>
      <c r="AM212" s="4"/>
      <c r="AN212" s="173"/>
      <c r="AO212" s="25" t="s">
        <v>24</v>
      </c>
      <c r="AP212" s="4">
        <v>2</v>
      </c>
    </row>
    <row r="213" spans="1:52" customFormat="1" ht="14.1" customHeight="1">
      <c r="A213" s="4"/>
      <c r="B213" s="37"/>
      <c r="C213" s="38"/>
      <c r="D213" s="25" t="s">
        <v>24</v>
      </c>
      <c r="E213" s="1630" t="s">
        <v>1937</v>
      </c>
      <c r="F213" s="1630"/>
      <c r="G213" s="1630"/>
      <c r="H213" s="1630"/>
      <c r="I213" s="1630"/>
      <c r="J213" s="1630"/>
      <c r="K213" s="1630"/>
      <c r="L213" s="1630"/>
      <c r="M213" s="1630"/>
      <c r="N213" s="1630"/>
      <c r="O213" s="1630"/>
      <c r="P213" s="1630"/>
      <c r="Q213" s="1630"/>
      <c r="R213" s="1630"/>
      <c r="S213" s="1630"/>
      <c r="T213" s="1630"/>
      <c r="U213" s="1630"/>
      <c r="V213" s="1630"/>
      <c r="W213" s="1630"/>
      <c r="X213" s="1630"/>
      <c r="Y213" s="1630"/>
      <c r="Z213" s="1630"/>
      <c r="AA213" s="1630"/>
      <c r="AB213" s="1630"/>
      <c r="AC213" s="4"/>
      <c r="AD213" s="4"/>
      <c r="AF213" s="1558" t="s">
        <v>1901</v>
      </c>
      <c r="AG213" s="1558"/>
      <c r="AH213" s="1558"/>
      <c r="AI213" s="1558"/>
      <c r="AJ213" s="1558"/>
      <c r="AK213" s="1558"/>
      <c r="AL213" s="1558"/>
      <c r="AM213" s="4"/>
      <c r="AN213" s="574"/>
      <c r="AP213" s="21"/>
    </row>
    <row r="214" spans="1:52" customFormat="1" ht="12.75" customHeight="1">
      <c r="A214" s="4"/>
      <c r="B214" s="37"/>
      <c r="C214" s="92"/>
      <c r="D214" s="4"/>
      <c r="E214" s="1630"/>
      <c r="F214" s="1630"/>
      <c r="G214" s="1630"/>
      <c r="H214" s="1630"/>
      <c r="I214" s="1630"/>
      <c r="J214" s="1630"/>
      <c r="K214" s="1630"/>
      <c r="L214" s="1630"/>
      <c r="M214" s="1630"/>
      <c r="N214" s="1630"/>
      <c r="O214" s="1630"/>
      <c r="P214" s="1630"/>
      <c r="Q214" s="1630"/>
      <c r="R214" s="1630"/>
      <c r="S214" s="1630"/>
      <c r="T214" s="1630"/>
      <c r="U214" s="1630"/>
      <c r="V214" s="1630"/>
      <c r="W214" s="1630"/>
      <c r="X214" s="1630"/>
      <c r="Y214" s="1630"/>
      <c r="Z214" s="1630"/>
      <c r="AA214" s="1630"/>
      <c r="AB214" s="1630"/>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630"/>
      <c r="F215" s="1630"/>
      <c r="G215" s="1630"/>
      <c r="H215" s="1630"/>
      <c r="I215" s="1630"/>
      <c r="J215" s="1630"/>
      <c r="K215" s="1630"/>
      <c r="L215" s="1630"/>
      <c r="M215" s="1630"/>
      <c r="N215" s="1630"/>
      <c r="O215" s="1630"/>
      <c r="P215" s="1630"/>
      <c r="Q215" s="1630"/>
      <c r="R215" s="1630"/>
      <c r="S215" s="1630"/>
      <c r="T215" s="1630"/>
      <c r="U215" s="1630"/>
      <c r="V215" s="1630"/>
      <c r="W215" s="1630"/>
      <c r="X215" s="1630"/>
      <c r="Y215" s="1630"/>
      <c r="Z215" s="1630"/>
      <c r="AA215" s="1630"/>
      <c r="AB215" s="1630"/>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1888</v>
      </c>
      <c r="E216" s="93"/>
      <c r="F216" s="93"/>
      <c r="G216" s="93"/>
      <c r="H216" s="1627" t="s">
        <v>326</v>
      </c>
      <c r="I216" s="1627"/>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1938</v>
      </c>
      <c r="AJ218" s="1034">
        <f>VLOOKUP($H$216,$AO$210:$AP$212,2,FALSE)</f>
        <v>0</v>
      </c>
      <c r="AK218" s="1037"/>
      <c r="AL218" s="403"/>
      <c r="AM218" s="4"/>
      <c r="AN218" s="173"/>
      <c r="AP218" s="1034"/>
      <c r="AQ218" s="1037"/>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1939</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94" t="s">
        <v>1940</v>
      </c>
      <c r="F222" s="1594"/>
      <c r="G222" s="1594"/>
      <c r="H222" s="1594"/>
      <c r="I222" s="1594"/>
      <c r="J222" s="1594"/>
      <c r="K222" s="1594"/>
      <c r="L222" s="1594"/>
      <c r="M222" s="1594"/>
      <c r="N222" s="1594"/>
      <c r="O222" s="1594"/>
      <c r="P222" s="1594"/>
      <c r="Q222" s="1594"/>
      <c r="R222" s="1594"/>
      <c r="S222" s="1594"/>
      <c r="T222" s="1594"/>
      <c r="U222" s="1594"/>
      <c r="V222" s="1594"/>
      <c r="W222" s="1594"/>
      <c r="X222" s="1594"/>
      <c r="Y222" s="1594"/>
      <c r="Z222" s="1594"/>
      <c r="AA222" s="1594"/>
      <c r="AB222" s="1594"/>
      <c r="AC222" s="4"/>
      <c r="AD222" s="4"/>
      <c r="AF222" s="1558" t="s">
        <v>1837</v>
      </c>
      <c r="AG222" s="1558"/>
      <c r="AH222" s="1558"/>
      <c r="AI222" s="1558"/>
      <c r="AJ222" s="1558"/>
      <c r="AK222" s="1558"/>
      <c r="AL222" s="1558"/>
      <c r="AM222" s="4"/>
      <c r="AN222" s="173"/>
      <c r="AO222" s="34"/>
      <c r="AP222" s="21"/>
      <c r="AT222" s="21"/>
      <c r="AU222" s="21"/>
      <c r="AV222" s="21"/>
      <c r="AW222" s="21"/>
      <c r="AX222" s="21"/>
      <c r="AY222" s="21"/>
      <c r="AZ222" s="21"/>
    </row>
    <row r="223" spans="1:52" customFormat="1">
      <c r="A223" s="4"/>
      <c r="B223" s="37"/>
      <c r="C223" s="92"/>
      <c r="D223" s="25"/>
      <c r="E223" s="1594"/>
      <c r="F223" s="1594"/>
      <c r="G223" s="1594"/>
      <c r="H223" s="1594"/>
      <c r="I223" s="1594"/>
      <c r="J223" s="1594"/>
      <c r="K223" s="1594"/>
      <c r="L223" s="1594"/>
      <c r="M223" s="1594"/>
      <c r="N223" s="1594"/>
      <c r="O223" s="1594"/>
      <c r="P223" s="1594"/>
      <c r="Q223" s="1594"/>
      <c r="R223" s="1594"/>
      <c r="S223" s="1594"/>
      <c r="T223" s="1594"/>
      <c r="U223" s="1594"/>
      <c r="V223" s="1594"/>
      <c r="W223" s="1594"/>
      <c r="X223" s="1594"/>
      <c r="Y223" s="1594"/>
      <c r="Z223" s="1594"/>
      <c r="AA223" s="1594"/>
      <c r="AB223" s="1594"/>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94" t="s">
        <v>1941</v>
      </c>
      <c r="F225" s="1594"/>
      <c r="G225" s="1594"/>
      <c r="H225" s="1594"/>
      <c r="I225" s="1594"/>
      <c r="J225" s="1594"/>
      <c r="K225" s="1594"/>
      <c r="L225" s="1594"/>
      <c r="M225" s="1594"/>
      <c r="N225" s="1594"/>
      <c r="O225" s="1594"/>
      <c r="P225" s="1594"/>
      <c r="Q225" s="1594"/>
      <c r="R225" s="1594"/>
      <c r="S225" s="1594"/>
      <c r="T225" s="1594"/>
      <c r="U225" s="1594"/>
      <c r="V225" s="1594"/>
      <c r="W225" s="1594"/>
      <c r="X225" s="1594"/>
      <c r="Y225" s="1594"/>
      <c r="Z225" s="1594"/>
      <c r="AA225" s="1594"/>
      <c r="AB225" s="1594"/>
      <c r="AC225" s="4"/>
      <c r="AD225" s="4"/>
      <c r="AF225" s="1558" t="s">
        <v>1901</v>
      </c>
      <c r="AG225" s="1558"/>
      <c r="AH225" s="1558"/>
      <c r="AI225" s="1558"/>
      <c r="AJ225" s="1558"/>
      <c r="AK225" s="1558"/>
      <c r="AL225" s="1558"/>
      <c r="AM225" s="4"/>
      <c r="AN225" s="173"/>
      <c r="AO225" s="4" t="s">
        <v>326</v>
      </c>
      <c r="AP225" s="386">
        <v>0</v>
      </c>
      <c r="AT225" s="21"/>
      <c r="AU225" s="21"/>
      <c r="AV225" s="21"/>
      <c r="AW225" s="21"/>
      <c r="AX225" s="21"/>
      <c r="AY225" s="21"/>
      <c r="AZ225" s="21"/>
    </row>
    <row r="226" spans="1:82" customFormat="1">
      <c r="A226" s="4"/>
      <c r="B226" s="37"/>
      <c r="C226" s="92"/>
      <c r="D226" s="4"/>
      <c r="E226" s="1594"/>
      <c r="F226" s="1594"/>
      <c r="G226" s="1594"/>
      <c r="H226" s="1594"/>
      <c r="I226" s="1594"/>
      <c r="J226" s="1594"/>
      <c r="K226" s="1594"/>
      <c r="L226" s="1594"/>
      <c r="M226" s="1594"/>
      <c r="N226" s="1594"/>
      <c r="O226" s="1594"/>
      <c r="P226" s="1594"/>
      <c r="Q226" s="1594"/>
      <c r="R226" s="1594"/>
      <c r="S226" s="1594"/>
      <c r="T226" s="1594"/>
      <c r="U226" s="1594"/>
      <c r="V226" s="1594"/>
      <c r="W226" s="1594"/>
      <c r="X226" s="1594"/>
      <c r="Y226" s="1594"/>
      <c r="Z226" s="1594"/>
      <c r="AA226" s="1594"/>
      <c r="AB226" s="1594"/>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1888</v>
      </c>
      <c r="E228" s="93"/>
      <c r="F228" s="93"/>
      <c r="G228" s="93"/>
      <c r="H228" s="1627" t="s">
        <v>326</v>
      </c>
      <c r="I228" s="1627"/>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1942</v>
      </c>
      <c r="AJ230" s="1034">
        <f>VLOOKUP($H$228,$AO$225:$AP$227,2,FALSE)</f>
        <v>0</v>
      </c>
      <c r="AK230" s="1037"/>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1943</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94" t="s">
        <v>1944</v>
      </c>
      <c r="F234" s="1594"/>
      <c r="G234" s="1594"/>
      <c r="H234" s="1594"/>
      <c r="I234" s="1594"/>
      <c r="J234" s="1594"/>
      <c r="K234" s="1594"/>
      <c r="L234" s="1594"/>
      <c r="M234" s="1594"/>
      <c r="N234" s="1594"/>
      <c r="O234" s="1594"/>
      <c r="P234" s="1594"/>
      <c r="Q234" s="1594"/>
      <c r="R234" s="1594"/>
      <c r="S234" s="1594"/>
      <c r="T234" s="1594"/>
      <c r="U234" s="1594"/>
      <c r="V234" s="1594"/>
      <c r="W234" s="1594"/>
      <c r="X234" s="1594"/>
      <c r="Y234" s="1594"/>
      <c r="Z234" s="1594"/>
      <c r="AA234" s="1594"/>
      <c r="AB234" s="1594"/>
      <c r="AC234" s="4"/>
      <c r="AD234" s="4"/>
      <c r="AF234" s="1558" t="s">
        <v>1837</v>
      </c>
      <c r="AG234" s="1558"/>
      <c r="AH234" s="1558"/>
      <c r="AI234" s="1558"/>
      <c r="AJ234" s="1558"/>
      <c r="AK234" s="1558"/>
      <c r="AL234" s="1558"/>
      <c r="AM234" s="4"/>
      <c r="AN234" s="173"/>
      <c r="AT234" s="21"/>
      <c r="AU234" s="21"/>
      <c r="AV234" s="21"/>
      <c r="AW234" s="21"/>
      <c r="AX234" s="21"/>
      <c r="AY234" s="21"/>
      <c r="AZ234" s="21"/>
    </row>
    <row r="235" spans="1:82" customFormat="1">
      <c r="A235" s="4"/>
      <c r="B235" s="37"/>
      <c r="C235" s="92"/>
      <c r="D235" s="25"/>
      <c r="E235" s="1594"/>
      <c r="F235" s="1594"/>
      <c r="G235" s="1594"/>
      <c r="H235" s="1594"/>
      <c r="I235" s="1594"/>
      <c r="J235" s="1594"/>
      <c r="K235" s="1594"/>
      <c r="L235" s="1594"/>
      <c r="M235" s="1594"/>
      <c r="N235" s="1594"/>
      <c r="O235" s="1594"/>
      <c r="P235" s="1594"/>
      <c r="Q235" s="1594"/>
      <c r="R235" s="1594"/>
      <c r="S235" s="1594"/>
      <c r="T235" s="1594"/>
      <c r="U235" s="1594"/>
      <c r="V235" s="1594"/>
      <c r="W235" s="1594"/>
      <c r="X235" s="1594"/>
      <c r="Y235" s="1594"/>
      <c r="Z235" s="1594"/>
      <c r="AA235" s="1594"/>
      <c r="AB235" s="1594"/>
      <c r="AC235" s="4"/>
      <c r="AD235" s="4"/>
      <c r="AL235" s="4"/>
      <c r="AM235" s="4"/>
      <c r="AN235" s="173"/>
    </row>
    <row r="236" spans="1:82" customFormat="1" ht="12.75" customHeight="1">
      <c r="A236" s="4"/>
      <c r="B236" s="37"/>
      <c r="C236" s="92"/>
      <c r="D236" s="25"/>
      <c r="E236" s="1594"/>
      <c r="F236" s="1594"/>
      <c r="G236" s="1594"/>
      <c r="H236" s="1594"/>
      <c r="I236" s="1594"/>
      <c r="J236" s="1594"/>
      <c r="K236" s="1594"/>
      <c r="L236" s="1594"/>
      <c r="M236" s="1594"/>
      <c r="N236" s="1594"/>
      <c r="O236" s="1594"/>
      <c r="P236" s="1594"/>
      <c r="Q236" s="1594"/>
      <c r="R236" s="1594"/>
      <c r="S236" s="1594"/>
      <c r="T236" s="1594"/>
      <c r="U236" s="1594"/>
      <c r="V236" s="1594"/>
      <c r="W236" s="1594"/>
      <c r="X236" s="1594"/>
      <c r="Y236" s="1594"/>
      <c r="Z236" s="1594"/>
      <c r="AA236" s="1594"/>
      <c r="AB236" s="1594"/>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94" t="s">
        <v>1945</v>
      </c>
      <c r="F238" s="1594"/>
      <c r="G238" s="1594"/>
      <c r="H238" s="1594"/>
      <c r="I238" s="1594"/>
      <c r="J238" s="1594"/>
      <c r="K238" s="1594"/>
      <c r="L238" s="1594"/>
      <c r="M238" s="1594"/>
      <c r="N238" s="1594"/>
      <c r="O238" s="1594"/>
      <c r="P238" s="1594"/>
      <c r="Q238" s="1594"/>
      <c r="R238" s="1594"/>
      <c r="S238" s="1594"/>
      <c r="T238" s="1594"/>
      <c r="U238" s="1594"/>
      <c r="V238" s="1594"/>
      <c r="W238" s="1594"/>
      <c r="X238" s="1594"/>
      <c r="Y238" s="1594"/>
      <c r="Z238" s="1594"/>
      <c r="AA238" s="1594"/>
      <c r="AB238" s="281"/>
      <c r="AC238" s="4"/>
      <c r="AD238" s="4"/>
      <c r="AF238" s="1558" t="s">
        <v>1901</v>
      </c>
      <c r="AG238" s="1558"/>
      <c r="AH238" s="1558"/>
      <c r="AI238" s="1558"/>
      <c r="AJ238" s="1558"/>
      <c r="AK238" s="1558"/>
      <c r="AL238" s="1558"/>
      <c r="AM238" s="4"/>
      <c r="AN238" s="173"/>
      <c r="AO238" s="34"/>
      <c r="AP238" s="21"/>
    </row>
    <row r="239" spans="1:82" customFormat="1">
      <c r="A239" s="4"/>
      <c r="B239" s="37"/>
      <c r="C239" s="38"/>
      <c r="D239" s="4"/>
      <c r="E239" s="1594"/>
      <c r="F239" s="1594"/>
      <c r="G239" s="1594"/>
      <c r="H239" s="1594"/>
      <c r="I239" s="1594"/>
      <c r="J239" s="1594"/>
      <c r="K239" s="1594"/>
      <c r="L239" s="1594"/>
      <c r="M239" s="1594"/>
      <c r="N239" s="1594"/>
      <c r="O239" s="1594"/>
      <c r="P239" s="1594"/>
      <c r="Q239" s="1594"/>
      <c r="R239" s="1594"/>
      <c r="S239" s="1594"/>
      <c r="T239" s="1594"/>
      <c r="U239" s="1594"/>
      <c r="V239" s="1594"/>
      <c r="W239" s="1594"/>
      <c r="X239" s="1594"/>
      <c r="Y239" s="1594"/>
      <c r="Z239" s="1594"/>
      <c r="AA239" s="1594"/>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94"/>
      <c r="F240" s="1594"/>
      <c r="G240" s="1594"/>
      <c r="H240" s="1594"/>
      <c r="I240" s="1594"/>
      <c r="J240" s="1594"/>
      <c r="K240" s="1594"/>
      <c r="L240" s="1594"/>
      <c r="M240" s="1594"/>
      <c r="N240" s="1594"/>
      <c r="O240" s="1594"/>
      <c r="P240" s="1594"/>
      <c r="Q240" s="1594"/>
      <c r="R240" s="1594"/>
      <c r="S240" s="1594"/>
      <c r="T240" s="1594"/>
      <c r="U240" s="1594"/>
      <c r="V240" s="1594"/>
      <c r="W240" s="1594"/>
      <c r="X240" s="1594"/>
      <c r="Y240" s="1594"/>
      <c r="Z240" s="1594"/>
      <c r="AA240" s="1594"/>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1888</v>
      </c>
      <c r="E242" s="93"/>
      <c r="F242" s="93"/>
      <c r="G242" s="93"/>
      <c r="H242" s="1627" t="s">
        <v>19</v>
      </c>
      <c r="I242" s="1627"/>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1946</v>
      </c>
      <c r="AJ244" s="1034">
        <f>VLOOKUP($H$242,$AO$225:$AP$227,2,FALSE)</f>
        <v>3</v>
      </c>
      <c r="AK244" s="1037"/>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1947</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94" t="s">
        <v>1948</v>
      </c>
      <c r="F248" s="1594"/>
      <c r="G248" s="1594"/>
      <c r="H248" s="1594"/>
      <c r="I248" s="1594"/>
      <c r="J248" s="1594"/>
      <c r="K248" s="1594"/>
      <c r="L248" s="1594"/>
      <c r="M248" s="1594"/>
      <c r="N248" s="1594"/>
      <c r="O248" s="1594"/>
      <c r="P248" s="1594"/>
      <c r="Q248" s="1594"/>
      <c r="R248" s="1594"/>
      <c r="S248" s="1594"/>
      <c r="T248" s="1594"/>
      <c r="U248" s="1594"/>
      <c r="V248" s="1594"/>
      <c r="W248" s="1594"/>
      <c r="X248" s="1594"/>
      <c r="Y248" s="1594"/>
      <c r="Z248" s="1594"/>
      <c r="AA248" s="1594"/>
      <c r="AB248" s="1594"/>
      <c r="AC248" s="4"/>
      <c r="AD248" s="4"/>
      <c r="AF248" s="1558" t="s">
        <v>1901</v>
      </c>
      <c r="AG248" s="1558"/>
      <c r="AH248" s="1558"/>
      <c r="AI248" s="1558"/>
      <c r="AJ248" s="1558"/>
      <c r="AK248" s="1558"/>
      <c r="AL248" s="155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94"/>
      <c r="F249" s="1594"/>
      <c r="G249" s="1594"/>
      <c r="H249" s="1594"/>
      <c r="I249" s="1594"/>
      <c r="J249" s="1594"/>
      <c r="K249" s="1594"/>
      <c r="L249" s="1594"/>
      <c r="M249" s="1594"/>
      <c r="N249" s="1594"/>
      <c r="O249" s="1594"/>
      <c r="P249" s="1594"/>
      <c r="Q249" s="1594"/>
      <c r="R249" s="1594"/>
      <c r="S249" s="1594"/>
      <c r="T249" s="1594"/>
      <c r="U249" s="1594"/>
      <c r="V249" s="1594"/>
      <c r="W249" s="1594"/>
      <c r="X249" s="1594"/>
      <c r="Y249" s="1594"/>
      <c r="Z249" s="1594"/>
      <c r="AA249" s="1594"/>
      <c r="AB249" s="1594"/>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94" t="s">
        <v>1949</v>
      </c>
      <c r="F251" s="1594"/>
      <c r="G251" s="1594"/>
      <c r="H251" s="1594"/>
      <c r="I251" s="1594"/>
      <c r="J251" s="1594"/>
      <c r="K251" s="1594"/>
      <c r="L251" s="1594"/>
      <c r="M251" s="1594"/>
      <c r="N251" s="1594"/>
      <c r="O251" s="1594"/>
      <c r="P251" s="1594"/>
      <c r="Q251" s="1594"/>
      <c r="R251" s="1594"/>
      <c r="S251" s="1594"/>
      <c r="T251" s="1594"/>
      <c r="U251" s="1594"/>
      <c r="V251" s="1594"/>
      <c r="W251" s="1594"/>
      <c r="X251" s="1594"/>
      <c r="Y251" s="1594"/>
      <c r="Z251" s="1594"/>
      <c r="AA251" s="1594"/>
      <c r="AB251" s="1594"/>
      <c r="AC251" s="4"/>
      <c r="AD251" s="4"/>
      <c r="AF251" s="1558" t="s">
        <v>1920</v>
      </c>
      <c r="AG251" s="1558"/>
      <c r="AH251" s="1558"/>
      <c r="AI251" s="1558"/>
      <c r="AJ251" s="1558"/>
      <c r="AK251" s="1558"/>
      <c r="AL251" s="155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94"/>
      <c r="F252" s="1594"/>
      <c r="G252" s="1594"/>
      <c r="H252" s="1594"/>
      <c r="I252" s="1594"/>
      <c r="J252" s="1594"/>
      <c r="K252" s="1594"/>
      <c r="L252" s="1594"/>
      <c r="M252" s="1594"/>
      <c r="N252" s="1594"/>
      <c r="O252" s="1594"/>
      <c r="P252" s="1594"/>
      <c r="Q252" s="1594"/>
      <c r="R252" s="1594"/>
      <c r="S252" s="1594"/>
      <c r="T252" s="1594"/>
      <c r="U252" s="1594"/>
      <c r="V252" s="1594"/>
      <c r="W252" s="1594"/>
      <c r="X252" s="1594"/>
      <c r="Y252" s="1594"/>
      <c r="Z252" s="1594"/>
      <c r="AA252" s="1594"/>
      <c r="AB252" s="1594"/>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1888</v>
      </c>
      <c r="E254" s="93"/>
      <c r="F254" s="93"/>
      <c r="G254" s="93"/>
      <c r="H254" s="1627" t="s">
        <v>19</v>
      </c>
      <c r="I254" s="1627"/>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1950</v>
      </c>
      <c r="AJ256" s="1034">
        <f>VLOOKUP($H$254,$AO$246:$AP$248,2,FALSE)</f>
        <v>2</v>
      </c>
      <c r="AK256" s="1037"/>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94" t="s">
        <v>1952</v>
      </c>
      <c r="F260" s="1594"/>
      <c r="G260" s="1594"/>
      <c r="H260" s="1594"/>
      <c r="I260" s="1594"/>
      <c r="J260" s="1594"/>
      <c r="K260" s="1594"/>
      <c r="L260" s="1594"/>
      <c r="M260" s="1594"/>
      <c r="N260" s="1594"/>
      <c r="O260" s="1594"/>
      <c r="P260" s="1594"/>
      <c r="Q260" s="1594"/>
      <c r="R260" s="1594"/>
      <c r="S260" s="1594"/>
      <c r="T260" s="1594"/>
      <c r="U260" s="1594"/>
      <c r="V260" s="1594"/>
      <c r="W260" s="1594"/>
      <c r="X260" s="1594"/>
      <c r="Y260" s="1594"/>
      <c r="Z260" s="1594"/>
      <c r="AA260" s="1594"/>
      <c r="AB260" s="1594"/>
      <c r="AC260" s="1594"/>
      <c r="AD260" s="1594"/>
      <c r="AF260" s="1558" t="s">
        <v>1901</v>
      </c>
      <c r="AG260" s="1558"/>
      <c r="AH260" s="1558"/>
      <c r="AI260" s="1558"/>
      <c r="AJ260" s="1558"/>
      <c r="AK260" s="1558"/>
      <c r="AL260" s="1558"/>
      <c r="AM260" s="82"/>
      <c r="AN260" s="173"/>
      <c r="AO260" s="4" t="s">
        <v>326</v>
      </c>
      <c r="AP260" s="386">
        <v>0</v>
      </c>
    </row>
    <row r="261" spans="1:82" customFormat="1">
      <c r="A261" s="4"/>
      <c r="B261" s="264"/>
      <c r="C261" s="114"/>
      <c r="D261" s="25"/>
      <c r="E261" s="1594"/>
      <c r="F261" s="1594"/>
      <c r="G261" s="1594"/>
      <c r="H261" s="1594"/>
      <c r="I261" s="1594"/>
      <c r="J261" s="1594"/>
      <c r="K261" s="1594"/>
      <c r="L261" s="1594"/>
      <c r="M261" s="1594"/>
      <c r="N261" s="1594"/>
      <c r="O261" s="1594"/>
      <c r="P261" s="1594"/>
      <c r="Q261" s="1594"/>
      <c r="R261" s="1594"/>
      <c r="S261" s="1594"/>
      <c r="T261" s="1594"/>
      <c r="U261" s="1594"/>
      <c r="V261" s="1594"/>
      <c r="W261" s="1594"/>
      <c r="X261" s="1594"/>
      <c r="Y261" s="1594"/>
      <c r="Z261" s="1594"/>
      <c r="AA261" s="1594"/>
      <c r="AB261" s="1594"/>
      <c r="AC261" s="1594"/>
      <c r="AD261" s="1594"/>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94"/>
      <c r="F262" s="1594"/>
      <c r="G262" s="1594"/>
      <c r="H262" s="1594"/>
      <c r="I262" s="1594"/>
      <c r="J262" s="1594"/>
      <c r="K262" s="1594"/>
      <c r="L262" s="1594"/>
      <c r="M262" s="1594"/>
      <c r="N262" s="1594"/>
      <c r="O262" s="1594"/>
      <c r="P262" s="1594"/>
      <c r="Q262" s="1594"/>
      <c r="R262" s="1594"/>
      <c r="S262" s="1594"/>
      <c r="T262" s="1594"/>
      <c r="U262" s="1594"/>
      <c r="V262" s="1594"/>
      <c r="W262" s="1594"/>
      <c r="X262" s="1594"/>
      <c r="Y262" s="1594"/>
      <c r="Z262" s="1594"/>
      <c r="AA262" s="1594"/>
      <c r="AB262" s="1594"/>
      <c r="AC262" s="1594"/>
      <c r="AD262" s="1594"/>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26" t="s">
        <v>1953</v>
      </c>
      <c r="F264" s="1626"/>
      <c r="G264" s="1626"/>
      <c r="H264" s="1626"/>
      <c r="I264" s="1626"/>
      <c r="J264" s="1626"/>
      <c r="K264" s="1626"/>
      <c r="L264" s="1626"/>
      <c r="M264" s="1626"/>
      <c r="N264" s="1626"/>
      <c r="O264" s="1626"/>
      <c r="P264" s="1626"/>
      <c r="Q264" s="1626"/>
      <c r="R264" s="1626"/>
      <c r="S264" s="1626"/>
      <c r="T264" s="1626"/>
      <c r="U264" s="1626"/>
      <c r="V264" s="1626"/>
      <c r="W264" s="1626"/>
      <c r="X264" s="1626"/>
      <c r="Y264" s="1626"/>
      <c r="Z264" s="1626"/>
      <c r="AA264" s="1626"/>
      <c r="AB264" s="1626"/>
      <c r="AC264" s="1626"/>
      <c r="AD264" s="1626"/>
      <c r="AF264" s="1558" t="s">
        <v>1837</v>
      </c>
      <c r="AG264" s="1558"/>
      <c r="AH264" s="1558"/>
      <c r="AI264" s="1558"/>
      <c r="AJ264" s="1558"/>
      <c r="AK264" s="1558"/>
      <c r="AL264" s="1558"/>
      <c r="AM264" s="82"/>
      <c r="AN264" s="241"/>
    </row>
    <row r="265" spans="1:82" s="4" customFormat="1" ht="12.75" customHeight="1">
      <c r="B265" s="264"/>
      <c r="C265" s="114"/>
      <c r="D265" s="25"/>
      <c r="E265" s="1626"/>
      <c r="F265" s="1626"/>
      <c r="G265" s="1626"/>
      <c r="H265" s="1626"/>
      <c r="I265" s="1626"/>
      <c r="J265" s="1626"/>
      <c r="K265" s="1626"/>
      <c r="L265" s="1626"/>
      <c r="M265" s="1626"/>
      <c r="N265" s="1626"/>
      <c r="O265" s="1626"/>
      <c r="P265" s="1626"/>
      <c r="Q265" s="1626"/>
      <c r="R265" s="1626"/>
      <c r="S265" s="1626"/>
      <c r="T265" s="1626"/>
      <c r="U265" s="1626"/>
      <c r="V265" s="1626"/>
      <c r="W265" s="1626"/>
      <c r="X265" s="1626"/>
      <c r="Y265" s="1626"/>
      <c r="Z265" s="1626"/>
      <c r="AA265" s="1626"/>
      <c r="AB265" s="1626"/>
      <c r="AC265" s="1626"/>
      <c r="AD265" s="1626"/>
      <c r="AE265" s="86"/>
      <c r="AF265" s="86"/>
      <c r="AG265" s="86"/>
      <c r="AH265" s="86"/>
      <c r="AI265" s="86"/>
      <c r="AJ265" s="86"/>
      <c r="AK265" s="86"/>
      <c r="AL265" s="86"/>
      <c r="AM265" s="82"/>
      <c r="AN265" s="241"/>
    </row>
    <row r="266" spans="1:82" s="4" customFormat="1" ht="12.75" customHeight="1">
      <c r="B266" s="264"/>
      <c r="C266" s="114"/>
      <c r="D266" s="25"/>
      <c r="E266" s="1626"/>
      <c r="F266" s="1626"/>
      <c r="G266" s="1626"/>
      <c r="H266" s="1626"/>
      <c r="I266" s="1626"/>
      <c r="J266" s="1626"/>
      <c r="K266" s="1626"/>
      <c r="L266" s="1626"/>
      <c r="M266" s="1626"/>
      <c r="N266" s="1626"/>
      <c r="O266" s="1626"/>
      <c r="P266" s="1626"/>
      <c r="Q266" s="1626"/>
      <c r="R266" s="1626"/>
      <c r="S266" s="1626"/>
      <c r="T266" s="1626"/>
      <c r="U266" s="1626"/>
      <c r="V266" s="1626"/>
      <c r="W266" s="1626"/>
      <c r="X266" s="1626"/>
      <c r="Y266" s="1626"/>
      <c r="Z266" s="1626"/>
      <c r="AA266" s="1626"/>
      <c r="AB266" s="1626"/>
      <c r="AC266" s="1626"/>
      <c r="AD266" s="1626"/>
      <c r="AE266" s="86"/>
      <c r="AF266" s="86"/>
      <c r="AG266" s="86"/>
      <c r="AH266" s="86"/>
      <c r="AI266" s="86"/>
      <c r="AJ266" s="86"/>
      <c r="AK266" s="86"/>
      <c r="AL266" s="86"/>
      <c r="AM266" s="82"/>
      <c r="AN266" s="241"/>
    </row>
    <row r="267" spans="1:82" s="4" customFormat="1" ht="12.75" customHeight="1">
      <c r="B267" s="264"/>
      <c r="C267" s="114"/>
      <c r="D267" s="25"/>
      <c r="E267" s="1626"/>
      <c r="F267" s="1626"/>
      <c r="G267" s="1626"/>
      <c r="H267" s="1626"/>
      <c r="I267" s="1626"/>
      <c r="J267" s="1626"/>
      <c r="K267" s="1626"/>
      <c r="L267" s="1626"/>
      <c r="M267" s="1626"/>
      <c r="N267" s="1626"/>
      <c r="O267" s="1626"/>
      <c r="P267" s="1626"/>
      <c r="Q267" s="1626"/>
      <c r="R267" s="1626"/>
      <c r="S267" s="1626"/>
      <c r="T267" s="1626"/>
      <c r="U267" s="1626"/>
      <c r="V267" s="1626"/>
      <c r="W267" s="1626"/>
      <c r="X267" s="1626"/>
      <c r="Y267" s="1626"/>
      <c r="Z267" s="1626"/>
      <c r="AA267" s="1626"/>
      <c r="AB267" s="1626"/>
      <c r="AC267" s="1626"/>
      <c r="AD267" s="1626"/>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1888</v>
      </c>
      <c r="E269" s="93"/>
      <c r="F269" s="93"/>
      <c r="G269" s="93"/>
      <c r="H269" s="1627" t="s">
        <v>326</v>
      </c>
      <c r="I269" s="1627"/>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1954</v>
      </c>
      <c r="AJ271" s="1034">
        <f>VLOOKUP($H$269,$AO$260:$AP$262,2,FALSE)</f>
        <v>0</v>
      </c>
      <c r="AK271" s="1037"/>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94" t="s">
        <v>1956</v>
      </c>
      <c r="F275" s="1594"/>
      <c r="G275" s="1594"/>
      <c r="H275" s="1594"/>
      <c r="I275" s="1594"/>
      <c r="J275" s="1594"/>
      <c r="K275" s="1594"/>
      <c r="L275" s="1594"/>
      <c r="M275" s="1594"/>
      <c r="N275" s="1594"/>
      <c r="O275" s="1594"/>
      <c r="P275" s="1594"/>
      <c r="Q275" s="1594"/>
      <c r="R275" s="1594"/>
      <c r="S275" s="1594"/>
      <c r="T275" s="1594"/>
      <c r="U275" s="1594"/>
      <c r="V275" s="1594"/>
      <c r="W275" s="1594"/>
      <c r="X275" s="1594"/>
      <c r="Y275" s="1594"/>
      <c r="Z275" s="1594"/>
      <c r="AA275" s="1594"/>
      <c r="AB275" s="1594"/>
      <c r="AC275" s="1594"/>
      <c r="AD275" s="1594"/>
      <c r="AF275" s="1558" t="s">
        <v>1957</v>
      </c>
      <c r="AG275" s="1558"/>
      <c r="AH275" s="1558"/>
      <c r="AI275" s="1558"/>
      <c r="AJ275" s="1558"/>
      <c r="AK275" s="1558"/>
      <c r="AL275" s="1558"/>
      <c r="AM275" s="82"/>
      <c r="AN275" s="173"/>
      <c r="AO275" s="25" t="s">
        <v>765</v>
      </c>
      <c r="AP275" s="4">
        <v>8</v>
      </c>
      <c r="AT275" s="350"/>
      <c r="AU275" s="350"/>
      <c r="AV275" s="350"/>
      <c r="AW275" s="350"/>
      <c r="AX275" s="350"/>
      <c r="AY275" s="350"/>
      <c r="AZ275" s="350"/>
    </row>
    <row r="276" spans="1:82" customFormat="1">
      <c r="A276" s="4"/>
      <c r="B276" s="264"/>
      <c r="C276" s="114"/>
      <c r="D276" s="25"/>
      <c r="E276" s="1594"/>
      <c r="F276" s="1594"/>
      <c r="G276" s="1594"/>
      <c r="H276" s="1594"/>
      <c r="I276" s="1594"/>
      <c r="J276" s="1594"/>
      <c r="K276" s="1594"/>
      <c r="L276" s="1594"/>
      <c r="M276" s="1594"/>
      <c r="N276" s="1594"/>
      <c r="O276" s="1594"/>
      <c r="P276" s="1594"/>
      <c r="Q276" s="1594"/>
      <c r="R276" s="1594"/>
      <c r="S276" s="1594"/>
      <c r="T276" s="1594"/>
      <c r="U276" s="1594"/>
      <c r="V276" s="1594"/>
      <c r="W276" s="1594"/>
      <c r="X276" s="1594"/>
      <c r="Y276" s="1594"/>
      <c r="Z276" s="1594"/>
      <c r="AA276" s="1594"/>
      <c r="AB276" s="1594"/>
      <c r="AC276" s="1594"/>
      <c r="AD276" s="1594"/>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94"/>
      <c r="F277" s="1594"/>
      <c r="G277" s="1594"/>
      <c r="H277" s="1594"/>
      <c r="I277" s="1594"/>
      <c r="J277" s="1594"/>
      <c r="K277" s="1594"/>
      <c r="L277" s="1594"/>
      <c r="M277" s="1594"/>
      <c r="N277" s="1594"/>
      <c r="O277" s="1594"/>
      <c r="P277" s="1594"/>
      <c r="Q277" s="1594"/>
      <c r="R277" s="1594"/>
      <c r="S277" s="1594"/>
      <c r="T277" s="1594"/>
      <c r="U277" s="1594"/>
      <c r="V277" s="1594"/>
      <c r="W277" s="1594"/>
      <c r="X277" s="1594"/>
      <c r="Y277" s="1594"/>
      <c r="Z277" s="1594"/>
      <c r="AA277" s="1594"/>
      <c r="AB277" s="1594"/>
      <c r="AC277" s="1594"/>
      <c r="AD277" s="1594"/>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1888</v>
      </c>
      <c r="E279" s="93"/>
      <c r="F279" s="93"/>
      <c r="G279" s="93"/>
      <c r="H279" s="1627" t="s">
        <v>326</v>
      </c>
      <c r="I279" s="1627"/>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1958</v>
      </c>
      <c r="AJ281" s="1034">
        <f>VLOOKUP($H$279,$AO$274:$AP$275,2,FALSE)</f>
        <v>0</v>
      </c>
      <c r="AK281" s="1037"/>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1959</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1960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1961</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1888</v>
      </c>
      <c r="E289" s="93"/>
      <c r="F289" s="93"/>
      <c r="G289" s="93"/>
      <c r="H289" s="1627" t="s">
        <v>326</v>
      </c>
      <c r="I289" s="1627"/>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7"/>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7"/>
      <c r="AD291" s="102"/>
      <c r="AE291" s="102"/>
      <c r="AF291" s="102"/>
      <c r="AG291" s="102"/>
      <c r="AH291" s="77"/>
      <c r="AI291" s="53" t="s">
        <v>1962</v>
      </c>
      <c r="AJ291" s="1034">
        <f>VLOOKUP($H$289,$AO$283:$AP$285,2,FALSE)</f>
        <v>0</v>
      </c>
      <c r="AK291" s="1037"/>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7"/>
      <c r="AD293" s="102"/>
      <c r="AE293" s="77"/>
      <c r="AF293" s="77"/>
      <c r="AG293" s="77"/>
      <c r="AH293" s="77"/>
      <c r="AI293" s="53"/>
      <c r="AJ293" s="53" t="s">
        <v>1963</v>
      </c>
      <c r="AK293" s="1034">
        <f>$AJ$124+$AJ$139+$AJ$151+$AJ$184+$AJ$206+$AJ$218+$AJ$230+$AJ$244+$AJ$256+$AJ$271+AJ281+AJ291</f>
        <v>18</v>
      </c>
      <c r="AL293" s="1035"/>
      <c r="AM293" s="1037"/>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1964</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8"/>
      <c r="AD295" s="244"/>
      <c r="AE295" s="242"/>
      <c r="AF295" s="242"/>
      <c r="AG295" s="242"/>
      <c r="AH295" s="242"/>
      <c r="AI295" s="245"/>
      <c r="AJ295" s="919"/>
      <c r="AK295" s="919"/>
      <c r="AL295" s="919"/>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1965</v>
      </c>
      <c r="C297" s="37"/>
      <c r="D297" s="37"/>
      <c r="E297" s="37"/>
      <c r="F297" s="37"/>
      <c r="G297"/>
      <c r="H297" s="1020" t="s">
        <v>1966</v>
      </c>
      <c r="I297" s="1020"/>
      <c r="J297" s="1020"/>
      <c r="K297" s="1020"/>
      <c r="L297" s="1020"/>
      <c r="M297" s="1020"/>
      <c r="N297" s="1020"/>
      <c r="O297" s="1020"/>
      <c r="P297" s="1020"/>
      <c r="Q297" s="1020"/>
      <c r="R297" s="1020"/>
      <c r="S297"/>
      <c r="T297" s="37" t="s">
        <v>1965</v>
      </c>
      <c r="U297"/>
      <c r="V297" s="37"/>
      <c r="W297" s="37"/>
      <c r="X297" s="37"/>
      <c r="Y297" s="37"/>
      <c r="Z297"/>
      <c r="AA297" s="1020" t="s">
        <v>1967</v>
      </c>
      <c r="AB297" s="1020"/>
      <c r="AC297" s="1020"/>
      <c r="AD297" s="1020"/>
      <c r="AE297" s="1020"/>
      <c r="AF297" s="1020"/>
      <c r="AG297" s="1020"/>
      <c r="AH297" s="1020"/>
      <c r="AI297" s="1020"/>
      <c r="AJ297" s="1020"/>
      <c r="AK297" s="1020"/>
      <c r="AL297" s="403"/>
      <c r="AN297" s="241"/>
      <c r="AP297" t="s">
        <v>1968</v>
      </c>
    </row>
    <row r="298" spans="1:82" s="4" customFormat="1" ht="12.75" customHeight="1">
      <c r="B298" s="37" t="s">
        <v>1034</v>
      </c>
      <c r="C298" s="37"/>
      <c r="D298" s="37"/>
      <c r="E298" s="37"/>
      <c r="F298" s="37"/>
      <c r="G298"/>
      <c r="H298" s="1018" t="s">
        <v>1969</v>
      </c>
      <c r="I298" s="1018"/>
      <c r="J298" s="1018"/>
      <c r="K298" s="1018"/>
      <c r="L298" s="1018"/>
      <c r="M298" s="1018"/>
      <c r="N298" s="1018"/>
      <c r="O298" s="1018"/>
      <c r="P298" s="1018"/>
      <c r="Q298" s="1018"/>
      <c r="R298" s="1018"/>
      <c r="S298"/>
      <c r="T298" s="37" t="s">
        <v>1034</v>
      </c>
      <c r="U298"/>
      <c r="V298" s="37"/>
      <c r="W298" s="37"/>
      <c r="X298" s="37"/>
      <c r="Y298" s="37"/>
      <c r="Z298"/>
      <c r="AA298" s="1018" t="s">
        <v>1970</v>
      </c>
      <c r="AB298" s="1018"/>
      <c r="AC298" s="1018"/>
      <c r="AD298" s="1018"/>
      <c r="AE298" s="1018"/>
      <c r="AF298" s="1018"/>
      <c r="AG298" s="1018"/>
      <c r="AH298" s="1018"/>
      <c r="AI298" s="1018"/>
      <c r="AJ298" s="1018"/>
      <c r="AK298" s="1018"/>
      <c r="AL298" s="403"/>
      <c r="AN298" s="241"/>
      <c r="AP298" t="s">
        <v>1971</v>
      </c>
    </row>
    <row r="299" spans="1:82" s="4" customFormat="1" ht="12.75" customHeight="1">
      <c r="B299" s="37" t="s">
        <v>1972</v>
      </c>
      <c r="C299" s="37"/>
      <c r="D299" s="37"/>
      <c r="E299" s="37"/>
      <c r="F299" s="37"/>
      <c r="G299"/>
      <c r="H299" s="1018" t="s">
        <v>1973</v>
      </c>
      <c r="I299" s="1018"/>
      <c r="J299" s="1018"/>
      <c r="K299" s="1018"/>
      <c r="L299" s="1018"/>
      <c r="M299" s="1018"/>
      <c r="N299" s="1018"/>
      <c r="O299" s="1018"/>
      <c r="P299" s="1018"/>
      <c r="Q299" s="1018"/>
      <c r="R299" s="1018"/>
      <c r="S299"/>
      <c r="T299" s="37" t="s">
        <v>1972</v>
      </c>
      <c r="U299"/>
      <c r="V299" s="37"/>
      <c r="W299" s="37"/>
      <c r="X299" s="37"/>
      <c r="Y299" s="37"/>
      <c r="Z299"/>
      <c r="AA299" s="1018" t="s">
        <v>1974</v>
      </c>
      <c r="AB299" s="1018"/>
      <c r="AC299" s="1018"/>
      <c r="AD299" s="1018"/>
      <c r="AE299" s="1018"/>
      <c r="AF299" s="1018"/>
      <c r="AG299" s="1018"/>
      <c r="AH299" s="1018"/>
      <c r="AI299" s="1018"/>
      <c r="AJ299" s="1018"/>
      <c r="AK299" s="1018"/>
      <c r="AL299" s="403"/>
      <c r="AN299" s="241"/>
      <c r="AO299" s="177"/>
      <c r="AP299" t="s">
        <v>1975</v>
      </c>
    </row>
    <row r="300" spans="1:82" s="4" customFormat="1" ht="12.75" customHeight="1">
      <c r="B300" s="37" t="s">
        <v>988</v>
      </c>
      <c r="C300" s="37"/>
      <c r="D300" s="37"/>
      <c r="E300" s="37"/>
      <c r="F300" s="37"/>
      <c r="G300"/>
      <c r="H300" s="1018" t="s">
        <v>1976</v>
      </c>
      <c r="I300" s="1018"/>
      <c r="J300" s="1018"/>
      <c r="K300" s="1018"/>
      <c r="L300" s="1018"/>
      <c r="M300" s="1018"/>
      <c r="N300" s="1018"/>
      <c r="O300" s="1018"/>
      <c r="P300" s="1018"/>
      <c r="Q300" s="1018"/>
      <c r="R300" s="1018"/>
      <c r="S300"/>
      <c r="T300" s="37" t="s">
        <v>988</v>
      </c>
      <c r="U300"/>
      <c r="V300" s="37"/>
      <c r="W300" s="37"/>
      <c r="X300" s="37"/>
      <c r="Y300" s="37"/>
      <c r="Z300"/>
      <c r="AA300" s="1018"/>
      <c r="AB300" s="1018"/>
      <c r="AC300" s="1018"/>
      <c r="AD300" s="1018"/>
      <c r="AE300" s="1018"/>
      <c r="AF300" s="1018"/>
      <c r="AG300" s="1018"/>
      <c r="AH300" s="1018"/>
      <c r="AI300" s="1018"/>
      <c r="AJ300" s="1018"/>
      <c r="AK300" s="1018"/>
      <c r="AL300" s="403"/>
      <c r="AN300" s="241"/>
      <c r="AO300" s="177"/>
      <c r="AP300" t="s">
        <v>1977</v>
      </c>
    </row>
    <row r="301" spans="1:82" s="4" customFormat="1" ht="12.75" customHeight="1">
      <c r="B301" s="37" t="s">
        <v>990</v>
      </c>
      <c r="C301" s="37"/>
      <c r="D301" s="37"/>
      <c r="E301" s="37"/>
      <c r="F301" s="37"/>
      <c r="G301" s="37"/>
      <c r="H301" s="1021" t="s">
        <v>1978</v>
      </c>
      <c r="I301" s="1021"/>
      <c r="J301" s="1021"/>
      <c r="K301" s="1021"/>
      <c r="L301" s="1021"/>
      <c r="M301" s="1021"/>
      <c r="N301" s="37" t="s">
        <v>992</v>
      </c>
      <c r="O301" s="37"/>
      <c r="P301" s="1016"/>
      <c r="Q301" s="1016"/>
      <c r="R301" s="1016"/>
      <c r="S301" s="37"/>
      <c r="T301" s="37" t="s">
        <v>990</v>
      </c>
      <c r="U301"/>
      <c r="V301" s="37"/>
      <c r="W301" s="37"/>
      <c r="X301" s="37"/>
      <c r="Y301" s="37"/>
      <c r="Z301"/>
      <c r="AA301" s="1021" t="s">
        <v>1979</v>
      </c>
      <c r="AB301" s="1021"/>
      <c r="AC301" s="1021"/>
      <c r="AD301" s="1021"/>
      <c r="AE301" s="1021"/>
      <c r="AF301" s="1021"/>
      <c r="AG301" s="37" t="s">
        <v>992</v>
      </c>
      <c r="AH301" s="37"/>
      <c r="AI301" s="1016"/>
      <c r="AJ301" s="1016"/>
      <c r="AK301" s="1016"/>
      <c r="AL301" s="403"/>
      <c r="AN301" s="241"/>
      <c r="AO301" s="177"/>
      <c r="AP301" t="s">
        <v>1980</v>
      </c>
    </row>
    <row r="302" spans="1:82" s="4" customFormat="1" ht="12.75" customHeight="1">
      <c r="B302" s="37" t="s">
        <v>1981</v>
      </c>
      <c r="C302" s="37"/>
      <c r="D302" s="37"/>
      <c r="E302" s="37"/>
      <c r="F302" s="37"/>
      <c r="G302" s="37"/>
      <c r="H302" s="1018" t="s">
        <v>1968</v>
      </c>
      <c r="I302" s="1018"/>
      <c r="J302" s="1018"/>
      <c r="K302" s="1018"/>
      <c r="L302" s="1018"/>
      <c r="M302" s="1018"/>
      <c r="N302" s="1018"/>
      <c r="O302" s="1018"/>
      <c r="P302" s="1018"/>
      <c r="Q302" s="1018"/>
      <c r="R302" s="1018"/>
      <c r="S302" s="37"/>
      <c r="T302" s="37" t="s">
        <v>1981</v>
      </c>
      <c r="U302"/>
      <c r="V302" s="37"/>
      <c r="W302" s="37"/>
      <c r="X302" s="37"/>
      <c r="Y302" s="37"/>
      <c r="Z302"/>
      <c r="AA302" s="1018" t="s">
        <v>1971</v>
      </c>
      <c r="AB302" s="1018"/>
      <c r="AC302" s="1018"/>
      <c r="AD302" s="1018"/>
      <c r="AE302" s="1018"/>
      <c r="AF302" s="1018"/>
      <c r="AG302" s="1018"/>
      <c r="AH302" s="1018"/>
      <c r="AI302" s="1018"/>
      <c r="AJ302" s="1018"/>
      <c r="AK302" s="1018"/>
      <c r="AL302" s="403"/>
      <c r="AN302" s="241"/>
      <c r="AO302" s="177"/>
      <c r="AP302" t="s">
        <v>1982</v>
      </c>
    </row>
    <row r="303" spans="1:82" s="4" customFormat="1" ht="12.75" customHeight="1">
      <c r="B303" s="37" t="s">
        <v>1983</v>
      </c>
      <c r="C303" s="37"/>
      <c r="D303" s="37"/>
      <c r="E303" s="37"/>
      <c r="F303" s="37"/>
      <c r="G303" s="37"/>
      <c r="H303" s="1018" t="s">
        <v>1984</v>
      </c>
      <c r="I303" s="1018"/>
      <c r="J303" s="1018"/>
      <c r="K303" s="1018"/>
      <c r="L303" s="1018"/>
      <c r="M303" s="1018"/>
      <c r="N303" s="1018"/>
      <c r="O303" s="1018"/>
      <c r="P303" s="1018"/>
      <c r="Q303" s="1018"/>
      <c r="R303" s="1018"/>
      <c r="S303" s="37"/>
      <c r="T303" s="37" t="s">
        <v>1983</v>
      </c>
      <c r="U303"/>
      <c r="V303" s="37"/>
      <c r="W303" s="37"/>
      <c r="X303" s="37"/>
      <c r="Y303" s="37"/>
      <c r="Z303"/>
      <c r="AA303" s="1018" t="s">
        <v>1985</v>
      </c>
      <c r="AB303" s="1018"/>
      <c r="AC303" s="1018"/>
      <c r="AD303" s="1018"/>
      <c r="AE303" s="1018"/>
      <c r="AF303" s="1018"/>
      <c r="AG303" s="1018"/>
      <c r="AH303" s="1018"/>
      <c r="AI303" s="1018"/>
      <c r="AJ303" s="1018"/>
      <c r="AK303" s="1018"/>
      <c r="AL303" s="403"/>
      <c r="AN303" s="241"/>
      <c r="AP303" t="s">
        <v>1986</v>
      </c>
    </row>
    <row r="304" spans="1:82" s="4" customFormat="1" ht="12.75" customHeight="1">
      <c r="B304" s="37" t="s">
        <v>1987</v>
      </c>
      <c r="C304" s="37"/>
      <c r="D304" s="37"/>
      <c r="E304" s="37"/>
      <c r="F304" s="37"/>
      <c r="G304" s="37"/>
      <c r="H304" s="1560" t="s">
        <v>1988</v>
      </c>
      <c r="I304" s="1560"/>
      <c r="J304" s="1560"/>
      <c r="K304" s="1560"/>
      <c r="L304" s="1560"/>
      <c r="M304" s="1560"/>
      <c r="N304" s="1560"/>
      <c r="O304" s="1560"/>
      <c r="P304" s="1560"/>
      <c r="Q304" s="1560"/>
      <c r="R304" s="1560"/>
      <c r="S304" s="37"/>
      <c r="T304" s="37" t="s">
        <v>1987</v>
      </c>
      <c r="U304" s="37"/>
      <c r="V304" s="37"/>
      <c r="W304" s="37"/>
      <c r="X304" s="37"/>
      <c r="Y304" s="37"/>
      <c r="Z304" s="12"/>
      <c r="AA304" s="1560" t="s">
        <v>1989</v>
      </c>
      <c r="AB304" s="1560"/>
      <c r="AC304" s="1560"/>
      <c r="AD304" s="1560"/>
      <c r="AE304" s="1560"/>
      <c r="AF304" s="1560"/>
      <c r="AG304" s="1560"/>
      <c r="AH304" s="1560"/>
      <c r="AI304" s="1560"/>
      <c r="AJ304" s="1560"/>
      <c r="AK304" s="1560"/>
      <c r="AL304" s="403"/>
      <c r="AN304" s="241"/>
      <c r="AP304" t="s">
        <v>1990</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1991</v>
      </c>
    </row>
    <row r="306" spans="1:42" s="4" customFormat="1" ht="12.75" customHeight="1">
      <c r="B306" s="37" t="s">
        <v>1965</v>
      </c>
      <c r="C306" s="37"/>
      <c r="D306" s="37"/>
      <c r="E306" s="37"/>
      <c r="F306" s="37"/>
      <c r="G306"/>
      <c r="H306" s="1631" t="s">
        <v>1992</v>
      </c>
      <c r="I306" s="1020"/>
      <c r="J306" s="1020"/>
      <c r="K306" s="1020"/>
      <c r="L306" s="1020"/>
      <c r="M306" s="1020"/>
      <c r="N306" s="1020"/>
      <c r="O306" s="1020"/>
      <c r="P306" s="1020"/>
      <c r="Q306" s="1020"/>
      <c r="R306" s="1020"/>
      <c r="S306"/>
      <c r="T306" s="37" t="s">
        <v>1965</v>
      </c>
      <c r="U306"/>
      <c r="V306" s="37"/>
      <c r="W306" s="37"/>
      <c r="X306" s="37"/>
      <c r="Y306" s="37"/>
      <c r="Z306"/>
      <c r="AA306" s="1020" t="s">
        <v>1993</v>
      </c>
      <c r="AB306" s="1020"/>
      <c r="AC306" s="1020"/>
      <c r="AD306" s="1020"/>
      <c r="AE306" s="1020"/>
      <c r="AF306" s="1020"/>
      <c r="AG306" s="1020"/>
      <c r="AH306" s="1020"/>
      <c r="AI306" s="1020"/>
      <c r="AJ306" s="1020"/>
      <c r="AK306" s="1020"/>
      <c r="AL306" s="403"/>
      <c r="AN306" s="241"/>
      <c r="AP306" t="s">
        <v>1994</v>
      </c>
    </row>
    <row r="307" spans="1:42" s="20" customFormat="1" ht="12.75" customHeight="1">
      <c r="A307" s="4"/>
      <c r="B307" s="37" t="s">
        <v>1034</v>
      </c>
      <c r="C307" s="37"/>
      <c r="D307" s="37"/>
      <c r="E307" s="37"/>
      <c r="F307" s="37"/>
      <c r="G307"/>
      <c r="H307" s="1018" t="s">
        <v>1995</v>
      </c>
      <c r="I307" s="1018"/>
      <c r="J307" s="1018"/>
      <c r="K307" s="1018"/>
      <c r="L307" s="1018"/>
      <c r="M307" s="1018"/>
      <c r="N307" s="1018"/>
      <c r="O307" s="1018"/>
      <c r="P307" s="1018"/>
      <c r="Q307" s="1018"/>
      <c r="R307" s="1018"/>
      <c r="S307"/>
      <c r="T307" s="37" t="s">
        <v>1034</v>
      </c>
      <c r="U307"/>
      <c r="V307" s="37"/>
      <c r="W307" s="37"/>
      <c r="X307" s="37"/>
      <c r="Y307" s="37"/>
      <c r="Z307"/>
      <c r="AA307" s="1018" t="s">
        <v>1996</v>
      </c>
      <c r="AB307" s="1018"/>
      <c r="AC307" s="1018"/>
      <c r="AD307" s="1018"/>
      <c r="AE307" s="1018"/>
      <c r="AF307" s="1018"/>
      <c r="AG307" s="1018"/>
      <c r="AH307" s="1018"/>
      <c r="AI307" s="1018"/>
      <c r="AJ307" s="1018"/>
      <c r="AK307" s="1018"/>
      <c r="AL307" s="403"/>
      <c r="AM307" s="4"/>
      <c r="AN307" s="241"/>
      <c r="AO307" s="4"/>
      <c r="AP307" s="41" t="s">
        <v>1997</v>
      </c>
    </row>
    <row r="308" spans="1:42" s="20" customFormat="1" ht="12.75" customHeight="1">
      <c r="A308" s="4"/>
      <c r="B308" s="37" t="s">
        <v>1972</v>
      </c>
      <c r="C308" s="37"/>
      <c r="D308" s="37"/>
      <c r="E308" s="37"/>
      <c r="F308" s="37"/>
      <c r="G308"/>
      <c r="H308" s="1018" t="s">
        <v>1998</v>
      </c>
      <c r="I308" s="1018"/>
      <c r="J308" s="1018"/>
      <c r="K308" s="1018"/>
      <c r="L308" s="1018"/>
      <c r="M308" s="1018"/>
      <c r="N308" s="1018"/>
      <c r="O308" s="1018"/>
      <c r="P308" s="1018"/>
      <c r="Q308" s="1018"/>
      <c r="R308" s="1018"/>
      <c r="S308"/>
      <c r="T308" s="37" t="s">
        <v>1972</v>
      </c>
      <c r="U308"/>
      <c r="V308" s="37"/>
      <c r="W308" s="37"/>
      <c r="X308" s="37"/>
      <c r="Y308" s="37"/>
      <c r="Z308"/>
      <c r="AA308" s="1018" t="s">
        <v>1974</v>
      </c>
      <c r="AB308" s="1018"/>
      <c r="AC308" s="1018"/>
      <c r="AD308" s="1018"/>
      <c r="AE308" s="1018"/>
      <c r="AF308" s="1018"/>
      <c r="AG308" s="1018"/>
      <c r="AH308" s="1018"/>
      <c r="AI308" s="1018"/>
      <c r="AJ308" s="1018"/>
      <c r="AK308" s="1018"/>
      <c r="AL308" s="403"/>
      <c r="AM308" s="4"/>
      <c r="AN308" s="241"/>
      <c r="AO308" s="4"/>
    </row>
    <row r="309" spans="1:42" s="4" customFormat="1" ht="12.75" customHeight="1">
      <c r="B309" s="37" t="s">
        <v>988</v>
      </c>
      <c r="C309" s="37"/>
      <c r="D309" s="37"/>
      <c r="E309" s="37"/>
      <c r="F309" s="37"/>
      <c r="G309"/>
      <c r="H309" s="1018"/>
      <c r="I309" s="1018"/>
      <c r="J309" s="1018"/>
      <c r="K309" s="1018"/>
      <c r="L309" s="1018"/>
      <c r="M309" s="1018"/>
      <c r="N309" s="1018"/>
      <c r="O309" s="1018"/>
      <c r="P309" s="1018"/>
      <c r="Q309" s="1018"/>
      <c r="R309" s="1018"/>
      <c r="S309"/>
      <c r="T309" s="37" t="s">
        <v>988</v>
      </c>
      <c r="U309"/>
      <c r="V309" s="37"/>
      <c r="W309" s="37"/>
      <c r="X309" s="37"/>
      <c r="Y309" s="37"/>
      <c r="Z309"/>
      <c r="AA309" s="1018"/>
      <c r="AB309" s="1018"/>
      <c r="AC309" s="1018"/>
      <c r="AD309" s="1018"/>
      <c r="AE309" s="1018"/>
      <c r="AF309" s="1018"/>
      <c r="AG309" s="1018"/>
      <c r="AH309" s="1018"/>
      <c r="AI309" s="1018"/>
      <c r="AJ309" s="1018"/>
      <c r="AK309" s="1018"/>
      <c r="AL309" s="403"/>
      <c r="AN309" s="241"/>
    </row>
    <row r="310" spans="1:42" s="4" customFormat="1" ht="12.75" customHeight="1">
      <c r="B310" s="37" t="s">
        <v>990</v>
      </c>
      <c r="C310" s="37"/>
      <c r="D310" s="37"/>
      <c r="E310" s="37"/>
      <c r="F310" s="37"/>
      <c r="G310" s="37"/>
      <c r="H310" s="1021" t="s">
        <v>1999</v>
      </c>
      <c r="I310" s="1021"/>
      <c r="J310" s="1021"/>
      <c r="K310" s="1021"/>
      <c r="L310" s="1021"/>
      <c r="M310" s="1021"/>
      <c r="N310" s="37" t="s">
        <v>992</v>
      </c>
      <c r="O310" s="37"/>
      <c r="P310" s="1016"/>
      <c r="Q310" s="1016"/>
      <c r="R310" s="1016"/>
      <c r="S310" s="37"/>
      <c r="T310" s="37" t="s">
        <v>990</v>
      </c>
      <c r="U310"/>
      <c r="V310" s="37"/>
      <c r="W310" s="37"/>
      <c r="X310" s="37"/>
      <c r="Y310" s="37"/>
      <c r="Z310"/>
      <c r="AA310" s="1021" t="s">
        <v>2000</v>
      </c>
      <c r="AB310" s="1021"/>
      <c r="AC310" s="1021"/>
      <c r="AD310" s="1021"/>
      <c r="AE310" s="1021"/>
      <c r="AF310" s="1021"/>
      <c r="AG310" s="37" t="s">
        <v>992</v>
      </c>
      <c r="AH310" s="37"/>
      <c r="AI310" s="1016"/>
      <c r="AJ310" s="1016"/>
      <c r="AK310" s="1016"/>
      <c r="AL310" s="403"/>
      <c r="AN310" s="241"/>
    </row>
    <row r="311" spans="1:42" s="4" customFormat="1" ht="12.75" customHeight="1">
      <c r="B311" s="37" t="s">
        <v>1981</v>
      </c>
      <c r="C311" s="37"/>
      <c r="D311" s="37"/>
      <c r="E311" s="37"/>
      <c r="F311" s="37"/>
      <c r="G311" s="37"/>
      <c r="H311" s="1018" t="s">
        <v>1991</v>
      </c>
      <c r="I311" s="1018"/>
      <c r="J311" s="1018"/>
      <c r="K311" s="1018"/>
      <c r="L311" s="1018"/>
      <c r="M311" s="1018"/>
      <c r="N311" s="1018"/>
      <c r="O311" s="1018"/>
      <c r="P311" s="1018"/>
      <c r="Q311" s="1018"/>
      <c r="R311" s="1018"/>
      <c r="S311" s="37"/>
      <c r="T311" s="37" t="s">
        <v>1981</v>
      </c>
      <c r="U311"/>
      <c r="V311" s="37"/>
      <c r="W311" s="37"/>
      <c r="X311" s="37"/>
      <c r="Y311" s="37"/>
      <c r="Z311"/>
      <c r="AA311" s="1018" t="s">
        <v>1994</v>
      </c>
      <c r="AB311" s="1018"/>
      <c r="AC311" s="1018"/>
      <c r="AD311" s="1018"/>
      <c r="AE311" s="1018"/>
      <c r="AF311" s="1018"/>
      <c r="AG311" s="1018"/>
      <c r="AH311" s="1018"/>
      <c r="AI311" s="1018"/>
      <c r="AJ311" s="1018"/>
      <c r="AK311" s="1018"/>
      <c r="AL311" s="403"/>
      <c r="AN311" s="241"/>
    </row>
    <row r="312" spans="1:42" s="4" customFormat="1" ht="12.75" customHeight="1">
      <c r="B312" s="37" t="s">
        <v>1983</v>
      </c>
      <c r="C312" s="37"/>
      <c r="D312" s="37"/>
      <c r="E312" s="37"/>
      <c r="F312" s="37"/>
      <c r="G312" s="37"/>
      <c r="H312" s="1018" t="s">
        <v>2001</v>
      </c>
      <c r="I312" s="1018"/>
      <c r="J312" s="1018"/>
      <c r="K312" s="1018"/>
      <c r="L312" s="1018"/>
      <c r="M312" s="1018"/>
      <c r="N312" s="1018"/>
      <c r="O312" s="1018"/>
      <c r="P312" s="1018"/>
      <c r="Q312" s="1018"/>
      <c r="R312" s="1018"/>
      <c r="S312" s="37"/>
      <c r="T312" s="37" t="s">
        <v>1983</v>
      </c>
      <c r="U312"/>
      <c r="V312" s="37"/>
      <c r="W312" s="37"/>
      <c r="X312" s="37"/>
      <c r="Y312" s="37"/>
      <c r="Z312"/>
      <c r="AA312" s="1018" t="s">
        <v>2002</v>
      </c>
      <c r="AB312" s="1018"/>
      <c r="AC312" s="1018"/>
      <c r="AD312" s="1018"/>
      <c r="AE312" s="1018"/>
      <c r="AF312" s="1018"/>
      <c r="AG312" s="1018"/>
      <c r="AH312" s="1018"/>
      <c r="AI312" s="1018"/>
      <c r="AJ312" s="1018"/>
      <c r="AK312" s="1018"/>
      <c r="AL312" s="403"/>
      <c r="AN312" s="241"/>
    </row>
    <row r="313" spans="1:42" s="4" customFormat="1" ht="12.75" customHeight="1">
      <c r="B313" s="37" t="s">
        <v>1987</v>
      </c>
      <c r="C313" s="37"/>
      <c r="D313" s="37"/>
      <c r="E313" s="37"/>
      <c r="F313" s="37"/>
      <c r="G313" s="37"/>
      <c r="H313" s="1560" t="s">
        <v>2003</v>
      </c>
      <c r="I313" s="1560"/>
      <c r="J313" s="1560"/>
      <c r="K313" s="1560"/>
      <c r="L313" s="1560"/>
      <c r="M313" s="1560"/>
      <c r="N313" s="1560"/>
      <c r="O313" s="1560"/>
      <c r="P313" s="1560"/>
      <c r="Q313" s="1560"/>
      <c r="R313" s="1560"/>
      <c r="S313" s="37"/>
      <c r="T313" s="37" t="s">
        <v>1987</v>
      </c>
      <c r="U313" s="37"/>
      <c r="V313" s="37"/>
      <c r="W313" s="37"/>
      <c r="X313" s="37"/>
      <c r="Y313" s="37"/>
      <c r="Z313" s="12"/>
      <c r="AA313" s="1560" t="s">
        <v>2003</v>
      </c>
      <c r="AB313" s="1560"/>
      <c r="AC313" s="1560"/>
      <c r="AD313" s="1560"/>
      <c r="AE313" s="1560"/>
      <c r="AF313" s="1560"/>
      <c r="AG313" s="1560"/>
      <c r="AH313" s="1560"/>
      <c r="AI313" s="1560"/>
      <c r="AJ313" s="1560"/>
      <c r="AK313" s="1560"/>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1965</v>
      </c>
      <c r="C315" s="37"/>
      <c r="D315" s="37"/>
      <c r="E315" s="37"/>
      <c r="F315" s="37"/>
      <c r="G315"/>
      <c r="H315" s="1020" t="s">
        <v>2004</v>
      </c>
      <c r="I315" s="1020"/>
      <c r="J315" s="1020"/>
      <c r="K315" s="1020"/>
      <c r="L315" s="1020"/>
      <c r="M315" s="1020"/>
      <c r="N315" s="1020"/>
      <c r="O315" s="1020"/>
      <c r="P315" s="1020"/>
      <c r="Q315" s="1020"/>
      <c r="R315" s="1020"/>
      <c r="S315"/>
      <c r="T315" s="37" t="s">
        <v>1965</v>
      </c>
      <c r="U315"/>
      <c r="V315" s="37"/>
      <c r="W315" s="37"/>
      <c r="X315" s="37"/>
      <c r="Y315" s="37"/>
      <c r="Z315"/>
      <c r="AA315" s="1020" t="s">
        <v>2005</v>
      </c>
      <c r="AB315" s="1020"/>
      <c r="AC315" s="1020"/>
      <c r="AD315" s="1020"/>
      <c r="AE315" s="1020"/>
      <c r="AF315" s="1020"/>
      <c r="AG315" s="1020"/>
      <c r="AH315" s="1020"/>
      <c r="AI315" s="1020"/>
      <c r="AJ315" s="1020"/>
      <c r="AK315" s="1020"/>
      <c r="AL315" s="403"/>
      <c r="AN315" s="241"/>
    </row>
    <row r="316" spans="1:42" s="4" customFormat="1" ht="12.75" customHeight="1">
      <c r="B316" s="37" t="s">
        <v>1034</v>
      </c>
      <c r="C316" s="37"/>
      <c r="D316" s="37"/>
      <c r="E316" s="37"/>
      <c r="F316" s="37"/>
      <c r="G316"/>
      <c r="H316" s="1018" t="s">
        <v>2006</v>
      </c>
      <c r="I316" s="1018"/>
      <c r="J316" s="1018"/>
      <c r="K316" s="1018"/>
      <c r="L316" s="1018"/>
      <c r="M316" s="1018"/>
      <c r="N316" s="1018"/>
      <c r="O316" s="1018"/>
      <c r="P316" s="1018"/>
      <c r="Q316" s="1018"/>
      <c r="R316" s="1018"/>
      <c r="S316"/>
      <c r="T316" s="37" t="s">
        <v>1034</v>
      </c>
      <c r="U316"/>
      <c r="V316" s="37"/>
      <c r="W316" s="37"/>
      <c r="X316" s="37"/>
      <c r="Y316" s="37"/>
      <c r="Z316"/>
      <c r="AA316" s="1018" t="s">
        <v>2007</v>
      </c>
      <c r="AB316" s="1018"/>
      <c r="AC316" s="1018"/>
      <c r="AD316" s="1018"/>
      <c r="AE316" s="1018"/>
      <c r="AF316" s="1018"/>
      <c r="AG316" s="1018"/>
      <c r="AH316" s="1018"/>
      <c r="AI316" s="1018"/>
      <c r="AJ316" s="1018"/>
      <c r="AK316" s="1018"/>
      <c r="AL316" s="403"/>
      <c r="AN316" s="241"/>
    </row>
    <row r="317" spans="1:42" s="4" customFormat="1" ht="12.75" customHeight="1">
      <c r="B317" s="37" t="s">
        <v>1972</v>
      </c>
      <c r="C317" s="37"/>
      <c r="D317" s="37"/>
      <c r="E317" s="37"/>
      <c r="F317" s="37"/>
      <c r="G317"/>
      <c r="H317" s="1018" t="s">
        <v>2008</v>
      </c>
      <c r="I317" s="1018"/>
      <c r="J317" s="1018"/>
      <c r="K317" s="1018"/>
      <c r="L317" s="1018"/>
      <c r="M317" s="1018"/>
      <c r="N317" s="1018"/>
      <c r="O317" s="1018"/>
      <c r="P317" s="1018"/>
      <c r="Q317" s="1018"/>
      <c r="R317" s="1018"/>
      <c r="S317"/>
      <c r="T317" s="37" t="s">
        <v>1972</v>
      </c>
      <c r="U317"/>
      <c r="V317" s="37"/>
      <c r="W317" s="37"/>
      <c r="X317" s="37"/>
      <c r="Y317" s="37"/>
      <c r="Z317"/>
      <c r="AA317" s="1018" t="s">
        <v>2009</v>
      </c>
      <c r="AB317" s="1018"/>
      <c r="AC317" s="1018"/>
      <c r="AD317" s="1018"/>
      <c r="AE317" s="1018"/>
      <c r="AF317" s="1018"/>
      <c r="AG317" s="1018"/>
      <c r="AH317" s="1018"/>
      <c r="AI317" s="1018"/>
      <c r="AJ317" s="1018"/>
      <c r="AK317" s="1018"/>
      <c r="AL317" s="403"/>
      <c r="AN317" s="241"/>
    </row>
    <row r="318" spans="1:42" s="4" customFormat="1" ht="12.75" customHeight="1">
      <c r="B318" s="37" t="s">
        <v>988</v>
      </c>
      <c r="C318" s="37"/>
      <c r="D318" s="37"/>
      <c r="E318" s="37"/>
      <c r="F318" s="37"/>
      <c r="G318"/>
      <c r="H318" s="1018" t="s">
        <v>2010</v>
      </c>
      <c r="I318" s="1018"/>
      <c r="J318" s="1018"/>
      <c r="K318" s="1018"/>
      <c r="L318" s="1018"/>
      <c r="M318" s="1018"/>
      <c r="N318" s="1018"/>
      <c r="O318" s="1018"/>
      <c r="P318" s="1018"/>
      <c r="Q318" s="1018"/>
      <c r="R318" s="1018"/>
      <c r="S318"/>
      <c r="T318" s="37" t="s">
        <v>988</v>
      </c>
      <c r="U318"/>
      <c r="V318" s="37"/>
      <c r="W318" s="37"/>
      <c r="X318" s="37"/>
      <c r="Y318" s="37"/>
      <c r="Z318"/>
      <c r="AA318" s="1018"/>
      <c r="AB318" s="1018"/>
      <c r="AC318" s="1018"/>
      <c r="AD318" s="1018"/>
      <c r="AE318" s="1018"/>
      <c r="AF318" s="1018"/>
      <c r="AG318" s="1018"/>
      <c r="AH318" s="1018"/>
      <c r="AI318" s="1018"/>
      <c r="AJ318" s="1018"/>
      <c r="AK318" s="1018"/>
      <c r="AL318" s="403"/>
      <c r="AN318" s="241"/>
    </row>
    <row r="319" spans="1:42" s="4" customFormat="1" ht="12.75" customHeight="1">
      <c r="B319" s="37" t="s">
        <v>990</v>
      </c>
      <c r="C319" s="37"/>
      <c r="D319" s="37"/>
      <c r="E319" s="37"/>
      <c r="F319" s="37"/>
      <c r="G319" s="37"/>
      <c r="H319" s="1021">
        <v>4085356211</v>
      </c>
      <c r="I319" s="1021"/>
      <c r="J319" s="1021"/>
      <c r="K319" s="1021"/>
      <c r="L319" s="1021"/>
      <c r="M319" s="1021"/>
      <c r="N319" s="37" t="s">
        <v>992</v>
      </c>
      <c r="O319" s="37"/>
      <c r="P319" s="1016"/>
      <c r="Q319" s="1016"/>
      <c r="R319" s="1016"/>
      <c r="S319" s="37"/>
      <c r="T319" s="37" t="s">
        <v>990</v>
      </c>
      <c r="U319"/>
      <c r="V319" s="37"/>
      <c r="W319" s="37"/>
      <c r="X319" s="37"/>
      <c r="Y319" s="37"/>
      <c r="Z319"/>
      <c r="AA319" s="1021">
        <v>4084903041</v>
      </c>
      <c r="AB319" s="1021"/>
      <c r="AC319" s="1021"/>
      <c r="AD319" s="1021"/>
      <c r="AE319" s="1021"/>
      <c r="AF319" s="1021"/>
      <c r="AG319" s="37" t="s">
        <v>992</v>
      </c>
      <c r="AH319" s="37"/>
      <c r="AI319" s="1016"/>
      <c r="AJ319" s="1016"/>
      <c r="AK319" s="1016"/>
      <c r="AL319" s="403"/>
      <c r="AN319" s="241"/>
    </row>
    <row r="320" spans="1:42" s="4" customFormat="1" ht="12.75" customHeight="1">
      <c r="B320" s="37" t="s">
        <v>1981</v>
      </c>
      <c r="C320" s="37"/>
      <c r="D320" s="37"/>
      <c r="E320" s="37"/>
      <c r="F320" s="37"/>
      <c r="G320" s="37"/>
      <c r="H320" s="1018" t="s">
        <v>1982</v>
      </c>
      <c r="I320" s="1018"/>
      <c r="J320" s="1018"/>
      <c r="K320" s="1018"/>
      <c r="L320" s="1018"/>
      <c r="M320" s="1018"/>
      <c r="N320" s="1018"/>
      <c r="O320" s="1018"/>
      <c r="P320" s="1018"/>
      <c r="Q320" s="1018"/>
      <c r="R320" s="1018"/>
      <c r="S320" s="37"/>
      <c r="T320" s="37" t="s">
        <v>1981</v>
      </c>
      <c r="U320"/>
      <c r="V320" s="37"/>
      <c r="W320" s="37"/>
      <c r="X320" s="37"/>
      <c r="Y320" s="37"/>
      <c r="Z320"/>
      <c r="AA320" s="1018" t="s">
        <v>1977</v>
      </c>
      <c r="AB320" s="1018"/>
      <c r="AC320" s="1018"/>
      <c r="AD320" s="1018"/>
      <c r="AE320" s="1018"/>
      <c r="AF320" s="1018"/>
      <c r="AG320" s="1018"/>
      <c r="AH320" s="1018"/>
      <c r="AI320" s="1018"/>
      <c r="AJ320" s="1018"/>
      <c r="AK320" s="1018"/>
      <c r="AL320" s="403"/>
      <c r="AN320" s="241"/>
    </row>
    <row r="321" spans="2:40" s="4" customFormat="1" ht="12.75" customHeight="1">
      <c r="B321" s="37" t="s">
        <v>1983</v>
      </c>
      <c r="C321" s="37"/>
      <c r="D321" s="37"/>
      <c r="E321" s="37"/>
      <c r="F321" s="37"/>
      <c r="G321" s="37"/>
      <c r="H321" s="1018" t="s">
        <v>2011</v>
      </c>
      <c r="I321" s="1018"/>
      <c r="J321" s="1018"/>
      <c r="K321" s="1018"/>
      <c r="L321" s="1018"/>
      <c r="M321" s="1018"/>
      <c r="N321" s="1018"/>
      <c r="O321" s="1018"/>
      <c r="P321" s="1018"/>
      <c r="Q321" s="1018"/>
      <c r="R321" s="1018"/>
      <c r="S321" s="37"/>
      <c r="T321" s="37" t="s">
        <v>1983</v>
      </c>
      <c r="U321"/>
      <c r="V321" s="37"/>
      <c r="W321" s="37"/>
      <c r="X321" s="37"/>
      <c r="Y321" s="37"/>
      <c r="Z321"/>
      <c r="AA321" s="1018" t="s">
        <v>2012</v>
      </c>
      <c r="AB321" s="1018"/>
      <c r="AC321" s="1018"/>
      <c r="AD321" s="1018"/>
      <c r="AE321" s="1018"/>
      <c r="AF321" s="1018"/>
      <c r="AG321" s="1018"/>
      <c r="AH321" s="1018"/>
      <c r="AI321" s="1018"/>
      <c r="AJ321" s="1018"/>
      <c r="AK321" s="1018"/>
      <c r="AL321" s="403"/>
      <c r="AN321" s="241"/>
    </row>
    <row r="322" spans="2:40" s="4" customFormat="1" ht="12.75" customHeight="1">
      <c r="B322" s="37" t="s">
        <v>1987</v>
      </c>
      <c r="C322" s="37"/>
      <c r="D322" s="37"/>
      <c r="E322" s="37"/>
      <c r="F322" s="37"/>
      <c r="G322" s="37"/>
      <c r="H322" s="1560" t="s">
        <v>2013</v>
      </c>
      <c r="I322" s="1560"/>
      <c r="J322" s="1560"/>
      <c r="K322" s="1560"/>
      <c r="L322" s="1560"/>
      <c r="M322" s="1560"/>
      <c r="N322" s="1560"/>
      <c r="O322" s="1560"/>
      <c r="P322" s="1560"/>
      <c r="Q322" s="1560"/>
      <c r="R322" s="1560"/>
      <c r="S322" s="37"/>
      <c r="T322" s="37" t="s">
        <v>1987</v>
      </c>
      <c r="U322" s="37"/>
      <c r="V322" s="37"/>
      <c r="W322" s="37"/>
      <c r="X322" s="37"/>
      <c r="Y322" s="37"/>
      <c r="Z322" s="12"/>
      <c r="AA322" s="1560" t="s">
        <v>2014</v>
      </c>
      <c r="AB322" s="1560"/>
      <c r="AC322" s="1560"/>
      <c r="AD322" s="1560"/>
      <c r="AE322" s="1560"/>
      <c r="AF322" s="1560"/>
      <c r="AG322" s="1560"/>
      <c r="AH322" s="1560"/>
      <c r="AI322" s="1560"/>
      <c r="AJ322" s="1560"/>
      <c r="AK322" s="1560"/>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1965</v>
      </c>
      <c r="C324" s="37"/>
      <c r="D324" s="37"/>
      <c r="E324" s="37"/>
      <c r="F324" s="37"/>
      <c r="G324"/>
      <c r="H324" s="1020"/>
      <c r="I324" s="1020"/>
      <c r="J324" s="1020"/>
      <c r="K324" s="1020"/>
      <c r="L324" s="1020"/>
      <c r="M324" s="1020"/>
      <c r="N324" s="1020"/>
      <c r="O324" s="1020"/>
      <c r="P324" s="1020"/>
      <c r="Q324" s="1020"/>
      <c r="R324" s="1020"/>
      <c r="S324"/>
      <c r="T324" s="37" t="s">
        <v>1965</v>
      </c>
      <c r="U324"/>
      <c r="V324" s="37"/>
      <c r="W324" s="37"/>
      <c r="X324" s="37"/>
      <c r="Y324" s="37"/>
      <c r="Z324"/>
      <c r="AA324" s="1020"/>
      <c r="AB324" s="1020"/>
      <c r="AC324" s="1020"/>
      <c r="AD324" s="1020"/>
      <c r="AE324" s="1020"/>
      <c r="AF324" s="1020"/>
      <c r="AG324" s="1020"/>
      <c r="AH324" s="1020"/>
      <c r="AI324" s="1020"/>
      <c r="AJ324" s="1020"/>
      <c r="AK324" s="1020"/>
      <c r="AL324" s="403"/>
      <c r="AN324" s="241"/>
    </row>
    <row r="325" spans="2:40" s="4" customFormat="1" ht="12.75" customHeight="1">
      <c r="B325" s="37" t="s">
        <v>1034</v>
      </c>
      <c r="C325" s="37"/>
      <c r="D325" s="37"/>
      <c r="E325" s="37"/>
      <c r="F325" s="37"/>
      <c r="G325"/>
      <c r="H325" s="1018"/>
      <c r="I325" s="1018"/>
      <c r="J325" s="1018"/>
      <c r="K325" s="1018"/>
      <c r="L325" s="1018"/>
      <c r="M325" s="1018"/>
      <c r="N325" s="1018"/>
      <c r="O325" s="1018"/>
      <c r="P325" s="1018"/>
      <c r="Q325" s="1018"/>
      <c r="R325" s="1018"/>
      <c r="S325"/>
      <c r="T325" s="37" t="s">
        <v>1034</v>
      </c>
      <c r="U325"/>
      <c r="V325" s="37"/>
      <c r="W325" s="37"/>
      <c r="X325" s="37"/>
      <c r="Y325" s="37"/>
      <c r="Z325"/>
      <c r="AA325" s="1018"/>
      <c r="AB325" s="1018"/>
      <c r="AC325" s="1018"/>
      <c r="AD325" s="1018"/>
      <c r="AE325" s="1018"/>
      <c r="AF325" s="1018"/>
      <c r="AG325" s="1018"/>
      <c r="AH325" s="1018"/>
      <c r="AI325" s="1018"/>
      <c r="AJ325" s="1018"/>
      <c r="AK325" s="1018"/>
      <c r="AL325" s="403"/>
      <c r="AN325" s="241"/>
    </row>
    <row r="326" spans="2:40" s="4" customFormat="1" ht="12.75" customHeight="1">
      <c r="B326" s="37" t="s">
        <v>1972</v>
      </c>
      <c r="C326" s="37"/>
      <c r="D326" s="37"/>
      <c r="E326" s="37"/>
      <c r="F326" s="37"/>
      <c r="G326"/>
      <c r="H326" s="1018"/>
      <c r="I326" s="1018"/>
      <c r="J326" s="1018"/>
      <c r="K326" s="1018"/>
      <c r="L326" s="1018"/>
      <c r="M326" s="1018"/>
      <c r="N326" s="1018"/>
      <c r="O326" s="1018"/>
      <c r="P326" s="1018"/>
      <c r="Q326" s="1018"/>
      <c r="R326" s="1018"/>
      <c r="S326"/>
      <c r="T326" s="37" t="s">
        <v>1972</v>
      </c>
      <c r="U326"/>
      <c r="V326" s="37"/>
      <c r="W326" s="37"/>
      <c r="X326" s="37"/>
      <c r="Y326" s="37"/>
      <c r="Z326"/>
      <c r="AA326" s="1018"/>
      <c r="AB326" s="1018"/>
      <c r="AC326" s="1018"/>
      <c r="AD326" s="1018"/>
      <c r="AE326" s="1018"/>
      <c r="AF326" s="1018"/>
      <c r="AG326" s="1018"/>
      <c r="AH326" s="1018"/>
      <c r="AI326" s="1018"/>
      <c r="AJ326" s="1018"/>
      <c r="AK326" s="1018"/>
      <c r="AL326" s="403"/>
      <c r="AN326" s="241"/>
    </row>
    <row r="327" spans="2:40" s="4" customFormat="1" ht="12.75" customHeight="1">
      <c r="B327" s="37" t="s">
        <v>988</v>
      </c>
      <c r="C327" s="37"/>
      <c r="D327" s="37"/>
      <c r="E327" s="37"/>
      <c r="F327" s="37"/>
      <c r="G327"/>
      <c r="H327" s="1018"/>
      <c r="I327" s="1018"/>
      <c r="J327" s="1018"/>
      <c r="K327" s="1018"/>
      <c r="L327" s="1018"/>
      <c r="M327" s="1018"/>
      <c r="N327" s="1018"/>
      <c r="O327" s="1018"/>
      <c r="P327" s="1018"/>
      <c r="Q327" s="1018"/>
      <c r="R327" s="1018"/>
      <c r="S327"/>
      <c r="T327" s="37" t="s">
        <v>988</v>
      </c>
      <c r="U327"/>
      <c r="V327" s="37"/>
      <c r="W327" s="37"/>
      <c r="X327" s="37"/>
      <c r="Y327" s="37"/>
      <c r="Z327"/>
      <c r="AA327" s="1018"/>
      <c r="AB327" s="1018"/>
      <c r="AC327" s="1018"/>
      <c r="AD327" s="1018"/>
      <c r="AE327" s="1018"/>
      <c r="AF327" s="1018"/>
      <c r="AG327" s="1018"/>
      <c r="AH327" s="1018"/>
      <c r="AI327" s="1018"/>
      <c r="AJ327" s="1018"/>
      <c r="AK327" s="1018"/>
      <c r="AL327" s="403"/>
      <c r="AN327" s="241"/>
    </row>
    <row r="328" spans="2:40" s="4" customFormat="1" ht="12.75" customHeight="1">
      <c r="B328" s="37" t="s">
        <v>990</v>
      </c>
      <c r="C328" s="37"/>
      <c r="D328" s="37"/>
      <c r="E328" s="37"/>
      <c r="F328" s="37"/>
      <c r="G328" s="37"/>
      <c r="H328" s="1021"/>
      <c r="I328" s="1021"/>
      <c r="J328" s="1021"/>
      <c r="K328" s="1021"/>
      <c r="L328" s="1021"/>
      <c r="M328" s="1021"/>
      <c r="N328" s="37" t="s">
        <v>992</v>
      </c>
      <c r="O328" s="37"/>
      <c r="P328" s="1016"/>
      <c r="Q328" s="1016"/>
      <c r="R328" s="1016"/>
      <c r="S328" s="37"/>
      <c r="T328" s="37" t="s">
        <v>990</v>
      </c>
      <c r="U328"/>
      <c r="V328" s="37"/>
      <c r="W328" s="37"/>
      <c r="X328" s="37"/>
      <c r="Y328" s="37"/>
      <c r="Z328"/>
      <c r="AA328" s="1021"/>
      <c r="AB328" s="1021"/>
      <c r="AC328" s="1021"/>
      <c r="AD328" s="1021"/>
      <c r="AE328" s="1021"/>
      <c r="AF328" s="1021"/>
      <c r="AG328" s="37" t="s">
        <v>992</v>
      </c>
      <c r="AH328" s="37"/>
      <c r="AI328" s="1016"/>
      <c r="AJ328" s="1016"/>
      <c r="AK328" s="1016"/>
      <c r="AL328" s="403"/>
      <c r="AN328" s="241"/>
    </row>
    <row r="329" spans="2:40" s="4" customFormat="1" ht="12.75" customHeight="1">
      <c r="B329" s="37" t="s">
        <v>1981</v>
      </c>
      <c r="C329" s="37"/>
      <c r="D329" s="37"/>
      <c r="E329" s="37"/>
      <c r="F329" s="37"/>
      <c r="G329" s="37"/>
      <c r="H329" s="1018"/>
      <c r="I329" s="1018"/>
      <c r="J329" s="1018"/>
      <c r="K329" s="1018"/>
      <c r="L329" s="1018"/>
      <c r="M329" s="1018"/>
      <c r="N329" s="1018"/>
      <c r="O329" s="1018"/>
      <c r="P329" s="1018"/>
      <c r="Q329" s="1018"/>
      <c r="R329" s="1018"/>
      <c r="S329" s="37"/>
      <c r="T329" s="37" t="s">
        <v>1981</v>
      </c>
      <c r="U329"/>
      <c r="V329" s="37"/>
      <c r="W329" s="37"/>
      <c r="X329" s="37"/>
      <c r="Y329" s="37"/>
      <c r="Z329"/>
      <c r="AA329" s="1018"/>
      <c r="AB329" s="1018"/>
      <c r="AC329" s="1018"/>
      <c r="AD329" s="1018"/>
      <c r="AE329" s="1018"/>
      <c r="AF329" s="1018"/>
      <c r="AG329" s="1018"/>
      <c r="AH329" s="1018"/>
      <c r="AI329" s="1018"/>
      <c r="AJ329" s="1018"/>
      <c r="AK329" s="1018"/>
      <c r="AL329" s="403"/>
      <c r="AN329" s="241"/>
    </row>
    <row r="330" spans="2:40" s="4" customFormat="1" ht="12.75" customHeight="1">
      <c r="B330" s="37" t="s">
        <v>1983</v>
      </c>
      <c r="C330" s="37"/>
      <c r="D330" s="37"/>
      <c r="E330" s="37"/>
      <c r="F330" s="37"/>
      <c r="G330" s="37"/>
      <c r="H330" s="1018"/>
      <c r="I330" s="1018"/>
      <c r="J330" s="1018"/>
      <c r="K330" s="1018"/>
      <c r="L330" s="1018"/>
      <c r="M330" s="1018"/>
      <c r="N330" s="1018"/>
      <c r="O330" s="1018"/>
      <c r="P330" s="1018"/>
      <c r="Q330" s="1018"/>
      <c r="R330" s="1018"/>
      <c r="S330" s="37"/>
      <c r="T330" s="37" t="s">
        <v>1983</v>
      </c>
      <c r="U330"/>
      <c r="V330" s="37"/>
      <c r="W330" s="37"/>
      <c r="X330" s="37"/>
      <c r="Y330" s="37"/>
      <c r="Z330"/>
      <c r="AA330" s="1018"/>
      <c r="AB330" s="1018"/>
      <c r="AC330" s="1018"/>
      <c r="AD330" s="1018"/>
      <c r="AE330" s="1018"/>
      <c r="AF330" s="1018"/>
      <c r="AG330" s="1018"/>
      <c r="AH330" s="1018"/>
      <c r="AI330" s="1018"/>
      <c r="AJ330" s="1018"/>
      <c r="AK330" s="1018"/>
      <c r="AL330" s="403"/>
      <c r="AN330" s="241"/>
    </row>
    <row r="331" spans="2:40" s="4" customFormat="1" ht="12.75" customHeight="1">
      <c r="B331" s="37" t="s">
        <v>1987</v>
      </c>
      <c r="C331" s="37"/>
      <c r="D331" s="37"/>
      <c r="E331" s="37"/>
      <c r="F331" s="37"/>
      <c r="G331" s="37"/>
      <c r="H331" s="1560"/>
      <c r="I331" s="1560"/>
      <c r="J331" s="1560"/>
      <c r="K331" s="1560"/>
      <c r="L331" s="1560"/>
      <c r="M331" s="1560"/>
      <c r="N331" s="1560"/>
      <c r="O331" s="1560"/>
      <c r="P331" s="1560"/>
      <c r="Q331" s="1560"/>
      <c r="R331" s="1560"/>
      <c r="S331" s="37"/>
      <c r="T331" s="37" t="s">
        <v>1987</v>
      </c>
      <c r="U331" s="37"/>
      <c r="V331" s="37"/>
      <c r="W331" s="37"/>
      <c r="X331" s="37"/>
      <c r="Y331" s="37"/>
      <c r="Z331" s="12"/>
      <c r="AA331" s="1560"/>
      <c r="AB331" s="1560"/>
      <c r="AC331" s="1560"/>
      <c r="AD331" s="1560"/>
      <c r="AE331" s="1560"/>
      <c r="AF331" s="1560"/>
      <c r="AG331" s="1560"/>
      <c r="AH331" s="1560"/>
      <c r="AI331" s="1560"/>
      <c r="AJ331" s="1560"/>
      <c r="AK331" s="1560"/>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1965</v>
      </c>
      <c r="C333" s="37"/>
      <c r="D333" s="37"/>
      <c r="E333" s="37"/>
      <c r="F333" s="37"/>
      <c r="G333"/>
      <c r="H333" s="1020"/>
      <c r="I333" s="1020"/>
      <c r="J333" s="1020"/>
      <c r="K333" s="1020"/>
      <c r="L333" s="1020"/>
      <c r="M333" s="1020"/>
      <c r="N333" s="1020"/>
      <c r="O333" s="1020"/>
      <c r="P333" s="1020"/>
      <c r="Q333" s="1020"/>
      <c r="R333" s="1020"/>
      <c r="S333"/>
      <c r="T333" s="37" t="s">
        <v>1965</v>
      </c>
      <c r="U333"/>
      <c r="V333" s="37"/>
      <c r="W333" s="37"/>
      <c r="X333" s="37"/>
      <c r="Y333" s="37"/>
      <c r="Z333"/>
      <c r="AA333" s="1020"/>
      <c r="AB333" s="1020"/>
      <c r="AC333" s="1020"/>
      <c r="AD333" s="1020"/>
      <c r="AE333" s="1020"/>
      <c r="AF333" s="1020"/>
      <c r="AG333" s="1020"/>
      <c r="AH333" s="1020"/>
      <c r="AI333" s="1020"/>
      <c r="AJ333" s="1020"/>
      <c r="AK333" s="1020"/>
      <c r="AL333" s="37"/>
      <c r="AN333" s="241"/>
    </row>
    <row r="334" spans="2:40" s="4" customFormat="1" ht="12.75" customHeight="1">
      <c r="B334" s="37" t="s">
        <v>1034</v>
      </c>
      <c r="C334" s="37"/>
      <c r="D334" s="37"/>
      <c r="E334" s="37"/>
      <c r="F334" s="37"/>
      <c r="G334"/>
      <c r="H334" s="1018"/>
      <c r="I334" s="1018"/>
      <c r="J334" s="1018"/>
      <c r="K334" s="1018"/>
      <c r="L334" s="1018"/>
      <c r="M334" s="1018"/>
      <c r="N334" s="1018"/>
      <c r="O334" s="1018"/>
      <c r="P334" s="1018"/>
      <c r="Q334" s="1018"/>
      <c r="R334" s="1018"/>
      <c r="S334"/>
      <c r="T334" s="37" t="s">
        <v>1034</v>
      </c>
      <c r="U334"/>
      <c r="V334" s="37"/>
      <c r="W334" s="37"/>
      <c r="X334" s="37"/>
      <c r="Y334" s="37"/>
      <c r="Z334"/>
      <c r="AA334" s="1018"/>
      <c r="AB334" s="1018"/>
      <c r="AC334" s="1018"/>
      <c r="AD334" s="1018"/>
      <c r="AE334" s="1018"/>
      <c r="AF334" s="1018"/>
      <c r="AG334" s="1018"/>
      <c r="AH334" s="1018"/>
      <c r="AI334" s="1018"/>
      <c r="AJ334" s="1018"/>
      <c r="AK334" s="1018"/>
      <c r="AL334" s="37"/>
      <c r="AN334" s="241"/>
    </row>
    <row r="335" spans="2:40" s="4" customFormat="1" ht="18" customHeight="1">
      <c r="B335" s="37" t="s">
        <v>1972</v>
      </c>
      <c r="C335" s="37"/>
      <c r="D335" s="37"/>
      <c r="E335" s="37"/>
      <c r="F335" s="37"/>
      <c r="G335"/>
      <c r="H335" s="1018"/>
      <c r="I335" s="1018"/>
      <c r="J335" s="1018"/>
      <c r="K335" s="1018"/>
      <c r="L335" s="1018"/>
      <c r="M335" s="1018"/>
      <c r="N335" s="1018"/>
      <c r="O335" s="1018"/>
      <c r="P335" s="1018"/>
      <c r="Q335" s="1018"/>
      <c r="R335" s="1018"/>
      <c r="S335"/>
      <c r="T335" s="37" t="s">
        <v>1972</v>
      </c>
      <c r="U335"/>
      <c r="V335" s="37"/>
      <c r="W335" s="37"/>
      <c r="X335" s="37"/>
      <c r="Y335" s="37"/>
      <c r="Z335"/>
      <c r="AA335" s="1018"/>
      <c r="AB335" s="1018"/>
      <c r="AC335" s="1018"/>
      <c r="AD335" s="1018"/>
      <c r="AE335" s="1018"/>
      <c r="AF335" s="1018"/>
      <c r="AG335" s="1018"/>
      <c r="AH335" s="1018"/>
      <c r="AI335" s="1018"/>
      <c r="AJ335" s="1018"/>
      <c r="AK335" s="1018"/>
      <c r="AL335" s="37"/>
      <c r="AN335" s="241"/>
    </row>
    <row r="336" spans="2:40" s="4" customFormat="1" ht="12.75" customHeight="1">
      <c r="B336" s="37" t="s">
        <v>988</v>
      </c>
      <c r="C336" s="37"/>
      <c r="D336" s="37"/>
      <c r="E336" s="37"/>
      <c r="F336" s="37"/>
      <c r="G336"/>
      <c r="H336" s="1018"/>
      <c r="I336" s="1018"/>
      <c r="J336" s="1018"/>
      <c r="K336" s="1018"/>
      <c r="L336" s="1018"/>
      <c r="M336" s="1018"/>
      <c r="N336" s="1018"/>
      <c r="O336" s="1018"/>
      <c r="P336" s="1018"/>
      <c r="Q336" s="1018"/>
      <c r="R336" s="1018"/>
      <c r="S336"/>
      <c r="T336" s="37" t="s">
        <v>988</v>
      </c>
      <c r="U336"/>
      <c r="V336" s="37"/>
      <c r="W336" s="37"/>
      <c r="X336" s="37"/>
      <c r="Y336" s="37"/>
      <c r="Z336"/>
      <c r="AA336" s="1018"/>
      <c r="AB336" s="1018"/>
      <c r="AC336" s="1018"/>
      <c r="AD336" s="1018"/>
      <c r="AE336" s="1018"/>
      <c r="AF336" s="1018"/>
      <c r="AG336" s="1018"/>
      <c r="AH336" s="1018"/>
      <c r="AI336" s="1018"/>
      <c r="AJ336" s="1018"/>
      <c r="AK336" s="1018"/>
      <c r="AL336" s="37"/>
      <c r="AN336" s="241"/>
    </row>
    <row r="337" spans="1:76" s="4" customFormat="1" ht="12.75" customHeight="1">
      <c r="B337" s="37" t="s">
        <v>990</v>
      </c>
      <c r="C337" s="37"/>
      <c r="D337" s="37"/>
      <c r="E337" s="37"/>
      <c r="F337" s="37"/>
      <c r="G337" s="37"/>
      <c r="H337" s="1021"/>
      <c r="I337" s="1021"/>
      <c r="J337" s="1021"/>
      <c r="K337" s="1021"/>
      <c r="L337" s="1021"/>
      <c r="M337" s="1021"/>
      <c r="N337" s="37" t="s">
        <v>992</v>
      </c>
      <c r="O337" s="37"/>
      <c r="P337" s="1016"/>
      <c r="Q337" s="1016"/>
      <c r="R337" s="1016"/>
      <c r="S337" s="37"/>
      <c r="T337" s="37" t="s">
        <v>990</v>
      </c>
      <c r="U337"/>
      <c r="V337" s="37"/>
      <c r="W337" s="37"/>
      <c r="X337" s="37"/>
      <c r="Y337" s="37"/>
      <c r="Z337"/>
      <c r="AA337" s="1021"/>
      <c r="AB337" s="1021"/>
      <c r="AC337" s="1021"/>
      <c r="AD337" s="1021"/>
      <c r="AE337" s="1021"/>
      <c r="AF337" s="1021"/>
      <c r="AG337" s="37" t="s">
        <v>992</v>
      </c>
      <c r="AH337" s="37"/>
      <c r="AI337" s="1016"/>
      <c r="AJ337" s="1016"/>
      <c r="AK337" s="1016"/>
      <c r="AL337" s="37"/>
      <c r="AN337" s="241"/>
    </row>
    <row r="338" spans="1:76" s="4" customFormat="1" ht="12.75" customHeight="1">
      <c r="B338" s="37" t="s">
        <v>1981</v>
      </c>
      <c r="C338" s="37"/>
      <c r="D338" s="37"/>
      <c r="E338" s="37"/>
      <c r="F338" s="37"/>
      <c r="G338" s="37"/>
      <c r="H338" s="1018"/>
      <c r="I338" s="1018"/>
      <c r="J338" s="1018"/>
      <c r="K338" s="1018"/>
      <c r="L338" s="1018"/>
      <c r="M338" s="1018"/>
      <c r="N338" s="1018"/>
      <c r="O338" s="1018"/>
      <c r="P338" s="1018"/>
      <c r="Q338" s="1018"/>
      <c r="R338" s="1018"/>
      <c r="S338" s="37"/>
      <c r="T338" s="37" t="s">
        <v>1981</v>
      </c>
      <c r="U338"/>
      <c r="V338" s="37"/>
      <c r="W338" s="37"/>
      <c r="X338" s="37"/>
      <c r="Y338" s="37"/>
      <c r="Z338"/>
      <c r="AA338" s="1018"/>
      <c r="AB338" s="1018"/>
      <c r="AC338" s="1018"/>
      <c r="AD338" s="1018"/>
      <c r="AE338" s="1018"/>
      <c r="AF338" s="1018"/>
      <c r="AG338" s="1018"/>
      <c r="AH338" s="1018"/>
      <c r="AI338" s="1018"/>
      <c r="AJ338" s="1018"/>
      <c r="AK338" s="1018"/>
      <c r="AL338" s="37"/>
      <c r="AN338" s="241"/>
    </row>
    <row r="339" spans="1:76" s="4" customFormat="1" ht="12.75" customHeight="1">
      <c r="B339" s="37" t="s">
        <v>1983</v>
      </c>
      <c r="C339" s="37"/>
      <c r="D339" s="37"/>
      <c r="E339" s="37"/>
      <c r="F339" s="37"/>
      <c r="G339" s="37"/>
      <c r="H339" s="1018"/>
      <c r="I339" s="1018"/>
      <c r="J339" s="1018"/>
      <c r="K339" s="1018"/>
      <c r="L339" s="1018"/>
      <c r="M339" s="1018"/>
      <c r="N339" s="1018"/>
      <c r="O339" s="1018"/>
      <c r="P339" s="1018"/>
      <c r="Q339" s="1018"/>
      <c r="R339" s="1018"/>
      <c r="S339" s="37"/>
      <c r="T339" s="37" t="s">
        <v>1983</v>
      </c>
      <c r="U339"/>
      <c r="V339" s="37"/>
      <c r="W339" s="37"/>
      <c r="X339" s="37"/>
      <c r="Y339" s="37"/>
      <c r="Z339"/>
      <c r="AA339" s="1018"/>
      <c r="AB339" s="1018"/>
      <c r="AC339" s="1018"/>
      <c r="AD339" s="1018"/>
      <c r="AE339" s="1018"/>
      <c r="AF339" s="1018"/>
      <c r="AG339" s="1018"/>
      <c r="AH339" s="1018"/>
      <c r="AI339" s="1018"/>
      <c r="AJ339" s="1018"/>
      <c r="AK339" s="1018"/>
      <c r="AL339" s="37"/>
      <c r="AN339" s="241"/>
    </row>
    <row r="340" spans="1:76" s="4" customFormat="1" ht="12.75" customHeight="1">
      <c r="B340" s="37" t="s">
        <v>1987</v>
      </c>
      <c r="C340" s="37"/>
      <c r="D340" s="37"/>
      <c r="E340" s="37"/>
      <c r="F340" s="37"/>
      <c r="G340" s="37"/>
      <c r="H340" s="1560"/>
      <c r="I340" s="1560"/>
      <c r="J340" s="1560"/>
      <c r="K340" s="1560"/>
      <c r="L340" s="1560"/>
      <c r="M340" s="1560"/>
      <c r="N340" s="1560"/>
      <c r="O340" s="1560"/>
      <c r="P340" s="1560"/>
      <c r="Q340" s="1560"/>
      <c r="R340" s="1560"/>
      <c r="S340" s="37"/>
      <c r="T340" s="37" t="s">
        <v>1987</v>
      </c>
      <c r="U340" s="37"/>
      <c r="V340" s="37"/>
      <c r="W340" s="37"/>
      <c r="X340" s="37"/>
      <c r="Y340" s="37"/>
      <c r="Z340" s="12"/>
      <c r="AA340" s="1560"/>
      <c r="AB340" s="1560"/>
      <c r="AC340" s="1560"/>
      <c r="AD340" s="1560"/>
      <c r="AE340" s="1560"/>
      <c r="AF340" s="1560"/>
      <c r="AG340" s="1560"/>
      <c r="AH340" s="1560"/>
      <c r="AI340" s="1560"/>
      <c r="AJ340" s="1560"/>
      <c r="AK340" s="1560"/>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0"/>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2015</v>
      </c>
      <c r="C343" s="37"/>
      <c r="AC343" s="3"/>
      <c r="AE343" s="1568" t="s">
        <v>1821</v>
      </c>
      <c r="AF343" s="1568"/>
      <c r="AG343" s="1568"/>
      <c r="AH343" s="1568"/>
      <c r="AI343" s="1568"/>
      <c r="AJ343" s="1568"/>
      <c r="AK343" s="1568"/>
      <c r="AL343" s="3"/>
      <c r="AM343" s="719"/>
      <c r="AN343" s="3"/>
    </row>
    <row r="344" spans="1:76" s="4" customFormat="1" ht="12.75" customHeight="1">
      <c r="A344" s="3"/>
      <c r="B344" s="37"/>
      <c r="C344" s="1562" t="s">
        <v>2016</v>
      </c>
      <c r="D344" s="1562"/>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M344" s="72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62"/>
      <c r="D345" s="1562"/>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62"/>
      <c r="D346" s="1562"/>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62"/>
      <c r="D347" s="1562"/>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62"/>
      <c r="D348" s="1562"/>
      <c r="E348" s="1562"/>
      <c r="F348" s="1562"/>
      <c r="G348" s="1562"/>
      <c r="H348" s="1562"/>
      <c r="I348" s="1562"/>
      <c r="J348" s="1562"/>
      <c r="K348" s="1562"/>
      <c r="L348" s="1562"/>
      <c r="M348" s="1562"/>
      <c r="N348" s="1562"/>
      <c r="O348" s="1562"/>
      <c r="P348" s="1562"/>
      <c r="Q348" s="1562"/>
      <c r="R348" s="1562"/>
      <c r="S348" s="1562"/>
      <c r="T348" s="1562"/>
      <c r="U348" s="1562"/>
      <c r="V348" s="1562"/>
      <c r="W348" s="1562"/>
      <c r="X348" s="1562"/>
      <c r="Y348" s="1562"/>
      <c r="Z348" s="1562"/>
      <c r="AA348" s="1562"/>
      <c r="AB348" s="1562"/>
      <c r="AC348" s="1562"/>
      <c r="AD348" s="1562"/>
      <c r="AE348" s="1562"/>
      <c r="AF348" s="1562"/>
      <c r="AG348" s="1562"/>
      <c r="AH348" s="1562"/>
      <c r="AI348" s="1562"/>
      <c r="AJ348" s="1562"/>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62"/>
      <c r="D349" s="1562"/>
      <c r="E349" s="1562"/>
      <c r="F349" s="1562"/>
      <c r="G349" s="1562"/>
      <c r="H349" s="1562"/>
      <c r="I349" s="1562"/>
      <c r="J349" s="1562"/>
      <c r="K349" s="1562"/>
      <c r="L349" s="1562"/>
      <c r="M349" s="1562"/>
      <c r="N349" s="1562"/>
      <c r="O349" s="1562"/>
      <c r="P349" s="1562"/>
      <c r="Q349" s="1562"/>
      <c r="R349" s="1562"/>
      <c r="S349" s="1562"/>
      <c r="T349" s="1562"/>
      <c r="U349" s="1562"/>
      <c r="V349" s="1562"/>
      <c r="W349" s="1562"/>
      <c r="X349" s="1562"/>
      <c r="Y349" s="1562"/>
      <c r="Z349" s="1562"/>
      <c r="AA349" s="1562"/>
      <c r="AB349" s="1562"/>
      <c r="AC349" s="1562"/>
      <c r="AD349" s="1562"/>
      <c r="AE349" s="1562"/>
      <c r="AF349" s="1562"/>
      <c r="AG349" s="1562"/>
      <c r="AH349" s="1562"/>
      <c r="AI349" s="1562"/>
      <c r="AJ349" s="1562"/>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1562"/>
      <c r="D350" s="1562"/>
      <c r="E350" s="1562"/>
      <c r="F350" s="1562"/>
      <c r="G350" s="1562"/>
      <c r="H350" s="1562"/>
      <c r="I350" s="1562"/>
      <c r="J350" s="1562"/>
      <c r="K350" s="1562"/>
      <c r="L350" s="1562"/>
      <c r="M350" s="1562"/>
      <c r="N350" s="1562"/>
      <c r="O350" s="1562"/>
      <c r="P350" s="1562"/>
      <c r="Q350" s="1562"/>
      <c r="R350" s="1562"/>
      <c r="S350" s="1562"/>
      <c r="T350" s="1562"/>
      <c r="U350" s="1562"/>
      <c r="V350" s="1562"/>
      <c r="W350" s="1562"/>
      <c r="X350" s="1562"/>
      <c r="Y350" s="1562"/>
      <c r="Z350" s="1562"/>
      <c r="AA350" s="1562"/>
      <c r="AB350" s="1562"/>
      <c r="AC350" s="1562"/>
      <c r="AD350" s="1562"/>
      <c r="AE350" s="1562"/>
      <c r="AF350" s="1562"/>
      <c r="AG350" s="1562"/>
      <c r="AH350" s="1562"/>
      <c r="AI350" s="1562"/>
      <c r="AJ350" s="1562"/>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1562"/>
      <c r="D351" s="1562"/>
      <c r="E351" s="1562"/>
      <c r="F351" s="1562"/>
      <c r="G351" s="1562"/>
      <c r="H351" s="1562"/>
      <c r="I351" s="1562"/>
      <c r="J351" s="1562"/>
      <c r="K351" s="1562"/>
      <c r="L351" s="1562"/>
      <c r="M351" s="1562"/>
      <c r="N351" s="1562"/>
      <c r="O351" s="1562"/>
      <c r="P351" s="1562"/>
      <c r="Q351" s="1562"/>
      <c r="R351" s="1562"/>
      <c r="S351" s="1562"/>
      <c r="T351" s="1562"/>
      <c r="U351" s="1562"/>
      <c r="V351" s="1562"/>
      <c r="W351" s="1562"/>
      <c r="X351" s="1562"/>
      <c r="Y351" s="1562"/>
      <c r="Z351" s="1562"/>
      <c r="AA351" s="1562"/>
      <c r="AB351" s="1562"/>
      <c r="AC351" s="1562"/>
      <c r="AD351" s="1562"/>
      <c r="AE351" s="1562"/>
      <c r="AF351" s="1562"/>
      <c r="AG351" s="1562"/>
      <c r="AH351" s="1562"/>
      <c r="AI351" s="1562"/>
      <c r="AJ351" s="1562"/>
      <c r="AK351" s="26"/>
      <c r="AL351" s="26"/>
      <c r="AM351" s="26"/>
      <c r="AN351" s="241"/>
      <c r="AO351" s="161"/>
    </row>
    <row r="352" spans="1:76" s="4" customFormat="1" ht="12.75" customHeight="1">
      <c r="A352" s="26"/>
      <c r="B352" s="25"/>
      <c r="C352" s="1562" t="s">
        <v>2017</v>
      </c>
      <c r="D352" s="1562"/>
      <c r="E352" s="1562"/>
      <c r="F352" s="1562"/>
      <c r="G352" s="1562"/>
      <c r="H352" s="1562"/>
      <c r="I352" s="1562"/>
      <c r="J352" s="1562"/>
      <c r="K352" s="1562"/>
      <c r="L352" s="1562"/>
      <c r="M352" s="1562"/>
      <c r="N352" s="1562"/>
      <c r="O352" s="1562"/>
      <c r="P352" s="1562"/>
      <c r="Q352" s="1562"/>
      <c r="R352" s="1562"/>
      <c r="S352" s="1562"/>
      <c r="T352" s="1562"/>
      <c r="U352" s="1562"/>
      <c r="V352" s="1562"/>
      <c r="W352" s="1562"/>
      <c r="X352" s="1562"/>
      <c r="Y352" s="1562"/>
      <c r="Z352" s="1562"/>
      <c r="AA352" s="1562"/>
      <c r="AB352" s="1562"/>
      <c r="AC352" s="1562"/>
      <c r="AD352" s="1562"/>
      <c r="AE352" s="1562"/>
      <c r="AF352" s="1562"/>
      <c r="AG352" s="1562"/>
      <c r="AH352" s="1562"/>
      <c r="AI352" s="1562"/>
      <c r="AJ352" s="1562"/>
      <c r="AK352" s="26"/>
      <c r="AL352" s="26"/>
      <c r="AM352" s="26"/>
      <c r="AN352" s="241"/>
    </row>
    <row r="353" spans="1:46" s="4" customFormat="1" ht="12.75" customHeight="1">
      <c r="A353" s="26"/>
      <c r="B353" s="25"/>
      <c r="C353" s="1562"/>
      <c r="D353" s="1562"/>
      <c r="E353" s="1562"/>
      <c r="F353" s="1562"/>
      <c r="G353" s="1562"/>
      <c r="H353" s="1562"/>
      <c r="I353" s="1562"/>
      <c r="J353" s="1562"/>
      <c r="K353" s="1562"/>
      <c r="L353" s="1562"/>
      <c r="M353" s="1562"/>
      <c r="N353" s="1562"/>
      <c r="O353" s="1562"/>
      <c r="P353" s="1562"/>
      <c r="Q353" s="1562"/>
      <c r="R353" s="1562"/>
      <c r="S353" s="1562"/>
      <c r="T353" s="1562"/>
      <c r="U353" s="1562"/>
      <c r="V353" s="1562"/>
      <c r="W353" s="1562"/>
      <c r="X353" s="1562"/>
      <c r="Y353" s="1562"/>
      <c r="Z353" s="1562"/>
      <c r="AA353" s="1562"/>
      <c r="AB353" s="1562"/>
      <c r="AC353" s="1562"/>
      <c r="AD353" s="1562"/>
      <c r="AE353" s="1562"/>
      <c r="AF353" s="1562"/>
      <c r="AG353" s="1562"/>
      <c r="AH353" s="1562"/>
      <c r="AI353" s="1562"/>
      <c r="AJ353" s="1562"/>
      <c r="AK353" s="26"/>
      <c r="AL353" s="26"/>
      <c r="AM353" s="26"/>
      <c r="AN353" s="241"/>
    </row>
    <row r="354" spans="1:46" s="4" customFormat="1" ht="12.75" customHeight="1">
      <c r="A354" s="26"/>
      <c r="B354" s="25"/>
      <c r="C354" s="1562"/>
      <c r="D354" s="1562"/>
      <c r="E354" s="1562"/>
      <c r="F354" s="1562"/>
      <c r="G354" s="1562"/>
      <c r="H354" s="1562"/>
      <c r="I354" s="1562"/>
      <c r="J354" s="1562"/>
      <c r="K354" s="1562"/>
      <c r="L354" s="1562"/>
      <c r="M354" s="1562"/>
      <c r="N354" s="1562"/>
      <c r="O354" s="1562"/>
      <c r="P354" s="1562"/>
      <c r="Q354" s="1562"/>
      <c r="R354" s="1562"/>
      <c r="S354" s="1562"/>
      <c r="T354" s="1562"/>
      <c r="U354" s="1562"/>
      <c r="V354" s="1562"/>
      <c r="W354" s="1562"/>
      <c r="X354" s="1562"/>
      <c r="Y354" s="1562"/>
      <c r="Z354" s="1562"/>
      <c r="AA354" s="1562"/>
      <c r="AB354" s="1562"/>
      <c r="AC354" s="1562"/>
      <c r="AD354" s="1562"/>
      <c r="AE354" s="1562"/>
      <c r="AF354" s="1562"/>
      <c r="AG354" s="1562"/>
      <c r="AH354" s="1562"/>
      <c r="AI354" s="1562"/>
      <c r="AJ354" s="1562"/>
      <c r="AK354" s="26"/>
      <c r="AL354" s="26"/>
      <c r="AM354" s="26"/>
      <c r="AN354" s="241"/>
      <c r="AQ354"/>
    </row>
    <row r="355" spans="1:46" s="4" customFormat="1" ht="12.75" customHeight="1">
      <c r="A355" s="26"/>
      <c r="B355" s="25"/>
      <c r="C355" s="1562"/>
      <c r="D355" s="1562"/>
      <c r="E355" s="1562"/>
      <c r="F355" s="1562"/>
      <c r="G355" s="1562"/>
      <c r="H355" s="1562"/>
      <c r="I355" s="1562"/>
      <c r="J355" s="1562"/>
      <c r="K355" s="1562"/>
      <c r="L355" s="1562"/>
      <c r="M355" s="1562"/>
      <c r="N355" s="1562"/>
      <c r="O355" s="1562"/>
      <c r="P355" s="1562"/>
      <c r="Q355" s="1562"/>
      <c r="R355" s="1562"/>
      <c r="S355" s="1562"/>
      <c r="T355" s="1562"/>
      <c r="U355" s="1562"/>
      <c r="V355" s="1562"/>
      <c r="W355" s="1562"/>
      <c r="X355" s="1562"/>
      <c r="Y355" s="1562"/>
      <c r="Z355" s="1562"/>
      <c r="AA355" s="1562"/>
      <c r="AB355" s="1562"/>
      <c r="AC355" s="1562"/>
      <c r="AD355" s="1562"/>
      <c r="AE355" s="1562"/>
      <c r="AF355" s="1562"/>
      <c r="AG355" s="1562"/>
      <c r="AH355" s="1562"/>
      <c r="AI355" s="1562"/>
      <c r="AJ355" s="1562"/>
      <c r="AK355" s="26"/>
      <c r="AL355" s="26"/>
      <c r="AM355" s="26"/>
      <c r="AN355" s="241"/>
      <c r="AQ355"/>
    </row>
    <row r="356" spans="1:46" s="4" customFormat="1" ht="12.6" customHeight="1">
      <c r="A356" s="26"/>
      <c r="B356" s="25"/>
      <c r="C356" s="1562"/>
      <c r="D356" s="1562"/>
      <c r="E356" s="1562"/>
      <c r="F356" s="1562"/>
      <c r="G356" s="1562"/>
      <c r="H356" s="1562"/>
      <c r="I356" s="1562"/>
      <c r="J356" s="1562"/>
      <c r="K356" s="1562"/>
      <c r="L356" s="1562"/>
      <c r="M356" s="1562"/>
      <c r="N356" s="1562"/>
      <c r="O356" s="1562"/>
      <c r="P356" s="1562"/>
      <c r="Q356" s="1562"/>
      <c r="R356" s="1562"/>
      <c r="S356" s="1562"/>
      <c r="T356" s="1562"/>
      <c r="U356" s="1562"/>
      <c r="V356" s="1562"/>
      <c r="W356" s="1562"/>
      <c r="X356" s="1562"/>
      <c r="Y356" s="1562"/>
      <c r="Z356" s="1562"/>
      <c r="AA356" s="1562"/>
      <c r="AB356" s="1562"/>
      <c r="AC356" s="1562"/>
      <c r="AD356" s="1562"/>
      <c r="AE356" s="1562"/>
      <c r="AF356" s="1562"/>
      <c r="AG356" s="1562"/>
      <c r="AH356" s="1562"/>
      <c r="AI356" s="1562"/>
      <c r="AJ356" s="1562"/>
      <c r="AK356" s="26"/>
      <c r="AL356" s="26"/>
      <c r="AM356" s="26"/>
      <c r="AN356" s="241"/>
      <c r="AQ356"/>
      <c r="AR356"/>
    </row>
    <row r="357" spans="1:46" s="4" customFormat="1" ht="12.75" customHeight="1">
      <c r="A357" s="26"/>
      <c r="B357" s="25"/>
      <c r="C357" s="1562" t="s">
        <v>2018</v>
      </c>
      <c r="D357" s="1562"/>
      <c r="E357" s="1562"/>
      <c r="F357" s="1562"/>
      <c r="G357" s="1562"/>
      <c r="H357" s="1562"/>
      <c r="I357" s="1562"/>
      <c r="J357" s="1562"/>
      <c r="K357" s="1562"/>
      <c r="L357" s="1562"/>
      <c r="M357" s="1562"/>
      <c r="N357" s="1562"/>
      <c r="O357" s="1562"/>
      <c r="P357" s="1562"/>
      <c r="Q357" s="1562"/>
      <c r="R357" s="1562"/>
      <c r="S357" s="1562"/>
      <c r="T357" s="1562"/>
      <c r="U357" s="1562"/>
      <c r="V357" s="1562"/>
      <c r="W357" s="1562"/>
      <c r="X357" s="1562"/>
      <c r="Y357" s="1562"/>
      <c r="Z357" s="1562"/>
      <c r="AA357" s="1562"/>
      <c r="AB357" s="1562"/>
      <c r="AC357" s="1562"/>
      <c r="AD357" s="1562"/>
      <c r="AE357" s="1562"/>
      <c r="AF357" s="1562"/>
      <c r="AG357" s="1562"/>
      <c r="AH357" s="1562"/>
      <c r="AI357" s="1562"/>
      <c r="AJ357" s="1562"/>
      <c r="AK357" s="26"/>
      <c r="AL357" s="26"/>
      <c r="AM357" s="26"/>
      <c r="AN357" s="241"/>
      <c r="AQ357"/>
      <c r="AR357"/>
    </row>
    <row r="358" spans="1:46" s="4" customFormat="1" ht="12.75" customHeight="1">
      <c r="A358" s="26"/>
      <c r="B358" s="25"/>
      <c r="C358" s="1562"/>
      <c r="D358" s="1562"/>
      <c r="E358" s="1562"/>
      <c r="F358" s="1562"/>
      <c r="G358" s="1562"/>
      <c r="H358" s="1562"/>
      <c r="I358" s="1562"/>
      <c r="J358" s="1562"/>
      <c r="K358" s="1562"/>
      <c r="L358" s="1562"/>
      <c r="M358" s="1562"/>
      <c r="N358" s="1562"/>
      <c r="O358" s="1562"/>
      <c r="P358" s="1562"/>
      <c r="Q358" s="1562"/>
      <c r="R358" s="1562"/>
      <c r="S358" s="1562"/>
      <c r="T358" s="1562"/>
      <c r="U358" s="1562"/>
      <c r="V358" s="1562"/>
      <c r="W358" s="1562"/>
      <c r="X358" s="1562"/>
      <c r="Y358" s="1562"/>
      <c r="Z358" s="1562"/>
      <c r="AA358" s="1562"/>
      <c r="AB358" s="1562"/>
      <c r="AC358" s="1562"/>
      <c r="AD358" s="1562"/>
      <c r="AE358" s="1562"/>
      <c r="AF358" s="1562"/>
      <c r="AG358" s="1562"/>
      <c r="AH358" s="1562"/>
      <c r="AI358" s="1562"/>
      <c r="AJ358" s="1562"/>
      <c r="AK358" s="26"/>
      <c r="AL358" s="26"/>
      <c r="AM358" s="26"/>
      <c r="AN358" s="241"/>
      <c r="AR358"/>
    </row>
    <row r="359" spans="1:46" s="4" customFormat="1" ht="12.75" customHeight="1">
      <c r="A359" s="26"/>
      <c r="B359" s="25"/>
      <c r="C359" s="1562"/>
      <c r="D359" s="1562"/>
      <c r="E359" s="1562"/>
      <c r="F359" s="1562"/>
      <c r="G359" s="1562"/>
      <c r="H359" s="1562"/>
      <c r="I359" s="1562"/>
      <c r="J359" s="1562"/>
      <c r="K359" s="1562"/>
      <c r="L359" s="1562"/>
      <c r="M359" s="1562"/>
      <c r="N359" s="1562"/>
      <c r="O359" s="1562"/>
      <c r="P359" s="1562"/>
      <c r="Q359" s="1562"/>
      <c r="R359" s="1562"/>
      <c r="S359" s="1562"/>
      <c r="T359" s="1562"/>
      <c r="U359" s="1562"/>
      <c r="V359" s="1562"/>
      <c r="W359" s="1562"/>
      <c r="X359" s="1562"/>
      <c r="Y359" s="1562"/>
      <c r="Z359" s="1562"/>
      <c r="AA359" s="1562"/>
      <c r="AB359" s="1562"/>
      <c r="AC359" s="1562"/>
      <c r="AD359" s="1562"/>
      <c r="AE359" s="1562"/>
      <c r="AF359" s="1562"/>
      <c r="AG359" s="1562"/>
      <c r="AH359" s="1562"/>
      <c r="AI359" s="1562"/>
      <c r="AJ359" s="1562"/>
      <c r="AK359" s="26"/>
      <c r="AL359" s="26"/>
      <c r="AM359" s="26"/>
      <c r="AN359" s="241"/>
      <c r="AR359"/>
    </row>
    <row r="360" spans="1:46" s="4" customFormat="1" ht="12.75" customHeight="1">
      <c r="A360" s="26"/>
      <c r="B360" s="25"/>
      <c r="C360" s="1562" t="s">
        <v>2019</v>
      </c>
      <c r="D360" s="1562"/>
      <c r="E360" s="1562"/>
      <c r="F360" s="1562"/>
      <c r="G360" s="1562"/>
      <c r="H360" s="1562"/>
      <c r="I360" s="1562"/>
      <c r="J360" s="1562"/>
      <c r="K360" s="1562"/>
      <c r="L360" s="1562"/>
      <c r="M360" s="1562"/>
      <c r="N360" s="1562"/>
      <c r="O360" s="1562"/>
      <c r="P360" s="1562"/>
      <c r="Q360" s="1562"/>
      <c r="R360" s="1562"/>
      <c r="S360" s="1562"/>
      <c r="T360" s="1562"/>
      <c r="U360" s="1562"/>
      <c r="V360" s="1562"/>
      <c r="W360" s="1562"/>
      <c r="X360" s="1562"/>
      <c r="Y360" s="1562"/>
      <c r="Z360" s="1562"/>
      <c r="AA360" s="1562"/>
      <c r="AB360" s="1562"/>
      <c r="AC360" s="1562"/>
      <c r="AD360" s="1562"/>
      <c r="AE360" s="1562"/>
      <c r="AF360" s="1562"/>
      <c r="AG360" s="1562"/>
      <c r="AH360" s="1562"/>
      <c r="AI360" s="1562"/>
      <c r="AJ360" s="1562"/>
      <c r="AK360" s="26"/>
      <c r="AL360" s="26"/>
      <c r="AM360" s="26"/>
      <c r="AN360" s="241"/>
      <c r="AQ360"/>
      <c r="AR360"/>
    </row>
    <row r="361" spans="1:46" s="4" customFormat="1" ht="12.75" customHeight="1">
      <c r="A361" s="26"/>
      <c r="B361" s="25"/>
      <c r="C361" s="1562"/>
      <c r="D361" s="1562"/>
      <c r="E361" s="1562"/>
      <c r="F361" s="1562"/>
      <c r="G361" s="1562"/>
      <c r="H361" s="1562"/>
      <c r="I361" s="1562"/>
      <c r="J361" s="1562"/>
      <c r="K361" s="1562"/>
      <c r="L361" s="1562"/>
      <c r="M361" s="1562"/>
      <c r="N361" s="1562"/>
      <c r="O361" s="1562"/>
      <c r="P361" s="1562"/>
      <c r="Q361" s="1562"/>
      <c r="R361" s="1562"/>
      <c r="S361" s="1562"/>
      <c r="T361" s="1562"/>
      <c r="U361" s="1562"/>
      <c r="V361" s="1562"/>
      <c r="W361" s="1562"/>
      <c r="X361" s="1562"/>
      <c r="Y361" s="1562"/>
      <c r="Z361" s="1562"/>
      <c r="AA361" s="1562"/>
      <c r="AB361" s="1562"/>
      <c r="AC361" s="1562"/>
      <c r="AD361" s="1562"/>
      <c r="AE361" s="1562"/>
      <c r="AF361" s="1562"/>
      <c r="AG361" s="1562"/>
      <c r="AH361" s="1562"/>
      <c r="AI361" s="1562"/>
      <c r="AJ361" s="1562"/>
      <c r="AK361" s="26"/>
      <c r="AL361" s="26"/>
      <c r="AM361" s="26"/>
      <c r="AN361" s="241"/>
      <c r="AQ361"/>
      <c r="AR361"/>
    </row>
    <row r="362" spans="1:46" s="4" customFormat="1" ht="13.35" customHeight="1">
      <c r="A362" s="26"/>
      <c r="B362" s="25"/>
      <c r="C362" s="1562"/>
      <c r="D362" s="1562"/>
      <c r="E362" s="1562"/>
      <c r="F362" s="1562"/>
      <c r="G362" s="1562"/>
      <c r="H362" s="1562"/>
      <c r="I362" s="1562"/>
      <c r="J362" s="1562"/>
      <c r="K362" s="1562"/>
      <c r="L362" s="1562"/>
      <c r="M362" s="1562"/>
      <c r="N362" s="1562"/>
      <c r="O362" s="1562"/>
      <c r="P362" s="1562"/>
      <c r="Q362" s="1562"/>
      <c r="R362" s="1562"/>
      <c r="S362" s="1562"/>
      <c r="T362" s="1562"/>
      <c r="U362" s="1562"/>
      <c r="V362" s="1562"/>
      <c r="W362" s="1562"/>
      <c r="X362" s="1562"/>
      <c r="Y362" s="1562"/>
      <c r="Z362" s="1562"/>
      <c r="AA362" s="1562"/>
      <c r="AB362" s="1562"/>
      <c r="AC362" s="1562"/>
      <c r="AD362" s="1562"/>
      <c r="AE362" s="1562"/>
      <c r="AF362" s="1562"/>
      <c r="AG362" s="1562"/>
      <c r="AH362" s="1562"/>
      <c r="AI362" s="1562"/>
      <c r="AJ362" s="1562"/>
      <c r="AK362" s="26"/>
      <c r="AL362" s="26"/>
      <c r="AM362" s="26"/>
      <c r="AN362" s="241"/>
      <c r="AQ362"/>
      <c r="AR362"/>
    </row>
    <row r="363" spans="1:46" s="4" customFormat="1" ht="12.75" customHeight="1">
      <c r="A363" s="26"/>
      <c r="B363" s="25"/>
      <c r="C363" s="1562"/>
      <c r="D363" s="1562"/>
      <c r="E363" s="1562"/>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c r="AI363" s="1562"/>
      <c r="AJ363" s="1562"/>
      <c r="AK363" s="26"/>
      <c r="AL363" s="26"/>
      <c r="AM363" s="26"/>
      <c r="AN363" s="241"/>
      <c r="AO363" s="146"/>
      <c r="AP363" s="146"/>
      <c r="AQ363"/>
    </row>
    <row r="364" spans="1:46" s="4" customFormat="1" ht="11.85" customHeight="1">
      <c r="A364" s="26"/>
      <c r="B364" s="25"/>
      <c r="C364" s="1562"/>
      <c r="D364" s="1562"/>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c r="AI364" s="1562"/>
      <c r="AJ364" s="1562"/>
      <c r="AK364" s="26"/>
      <c r="AL364" s="26"/>
      <c r="AM364" s="26"/>
      <c r="AN364" s="241"/>
      <c r="AO364" s="589" t="s">
        <v>15</v>
      </c>
      <c r="AP364" s="63">
        <f>IF(C389="Yes",5,0)</f>
        <v>0</v>
      </c>
      <c r="AS364" s="3" t="s">
        <v>2020</v>
      </c>
    </row>
    <row r="365" spans="1:46" s="4" customFormat="1" ht="12.75" customHeight="1">
      <c r="A365" s="26"/>
      <c r="B365" s="25"/>
      <c r="C365" s="1562"/>
      <c r="D365" s="1562"/>
      <c r="E365" s="1562"/>
      <c r="F365" s="1562"/>
      <c r="G365" s="1562"/>
      <c r="H365" s="1562"/>
      <c r="I365" s="1562"/>
      <c r="J365" s="1562"/>
      <c r="K365" s="1562"/>
      <c r="L365" s="1562"/>
      <c r="M365" s="1562"/>
      <c r="N365" s="1562"/>
      <c r="O365" s="1562"/>
      <c r="P365" s="1562"/>
      <c r="Q365" s="1562"/>
      <c r="R365" s="1562"/>
      <c r="S365" s="1562"/>
      <c r="T365" s="1562"/>
      <c r="U365" s="1562"/>
      <c r="V365" s="1562"/>
      <c r="W365" s="1562"/>
      <c r="X365" s="1562"/>
      <c r="Y365" s="1562"/>
      <c r="Z365" s="1562"/>
      <c r="AA365" s="1562"/>
      <c r="AB365" s="1562"/>
      <c r="AC365" s="1562"/>
      <c r="AD365" s="1562"/>
      <c r="AE365" s="1562"/>
      <c r="AF365" s="1562"/>
      <c r="AG365" s="1562"/>
      <c r="AH365" s="1562"/>
      <c r="AI365" s="1562"/>
      <c r="AJ365" s="1562"/>
      <c r="AK365" s="26"/>
      <c r="AL365" s="26"/>
      <c r="AM365" s="26"/>
      <c r="AN365" s="241"/>
      <c r="AO365" s="589"/>
      <c r="AP365" s="63"/>
      <c r="AS365" s="1757">
        <f>IF(AQ378=0,AQ391,AQ378)</f>
        <v>10</v>
      </c>
      <c r="AT365" s="1757"/>
    </row>
    <row r="366" spans="1:46" s="4" customFormat="1" ht="12.75" customHeight="1">
      <c r="A366" s="26"/>
      <c r="B366" s="25"/>
      <c r="C366" s="1562"/>
      <c r="D366" s="1562"/>
      <c r="E366" s="1562"/>
      <c r="F366" s="1562"/>
      <c r="G366" s="1562"/>
      <c r="H366" s="1562"/>
      <c r="I366" s="1562"/>
      <c r="J366" s="1562"/>
      <c r="K366" s="1562"/>
      <c r="L366" s="1562"/>
      <c r="M366" s="1562"/>
      <c r="N366" s="1562"/>
      <c r="O366" s="1562"/>
      <c r="P366" s="1562"/>
      <c r="Q366" s="1562"/>
      <c r="R366" s="1562"/>
      <c r="S366" s="1562"/>
      <c r="T366" s="1562"/>
      <c r="U366" s="1562"/>
      <c r="V366" s="1562"/>
      <c r="W366" s="1562"/>
      <c r="X366" s="1562"/>
      <c r="Y366" s="1562"/>
      <c r="Z366" s="1562"/>
      <c r="AA366" s="1562"/>
      <c r="AB366" s="1562"/>
      <c r="AC366" s="1562"/>
      <c r="AD366" s="1562"/>
      <c r="AE366" s="1562"/>
      <c r="AF366" s="1562"/>
      <c r="AG366" s="1562"/>
      <c r="AH366" s="1562"/>
      <c r="AI366" s="1562"/>
      <c r="AJ366" s="1562"/>
      <c r="AK366" s="26"/>
      <c r="AL366" s="26"/>
      <c r="AM366" s="26"/>
      <c r="AN366" s="241"/>
      <c r="AO366" s="589" t="s">
        <v>28</v>
      </c>
      <c r="AP366" s="63">
        <f>IF(C399="Yes",5,0)</f>
        <v>0</v>
      </c>
      <c r="AS366" s="3" t="s">
        <v>2021</v>
      </c>
    </row>
    <row r="367" spans="1:46" s="4" customFormat="1" ht="12.75" customHeight="1">
      <c r="A367" s="26"/>
      <c r="B367" s="25"/>
      <c r="C367" s="1562"/>
      <c r="D367" s="1562"/>
      <c r="E367" s="1562"/>
      <c r="F367" s="1562"/>
      <c r="G367" s="1562"/>
      <c r="H367" s="1562"/>
      <c r="I367" s="1562"/>
      <c r="J367" s="1562"/>
      <c r="K367" s="1562"/>
      <c r="L367" s="1562"/>
      <c r="M367" s="1562"/>
      <c r="N367" s="1562"/>
      <c r="O367" s="1562"/>
      <c r="P367" s="1562"/>
      <c r="Q367" s="1562"/>
      <c r="R367" s="1562"/>
      <c r="S367" s="1562"/>
      <c r="T367" s="1562"/>
      <c r="U367" s="1562"/>
      <c r="V367" s="1562"/>
      <c r="W367" s="1562"/>
      <c r="X367" s="1562"/>
      <c r="Y367" s="1562"/>
      <c r="Z367" s="1562"/>
      <c r="AA367" s="1562"/>
      <c r="AB367" s="1562"/>
      <c r="AC367" s="1562"/>
      <c r="AD367" s="1562"/>
      <c r="AE367" s="1562"/>
      <c r="AF367" s="1562"/>
      <c r="AG367" s="1562"/>
      <c r="AH367" s="1562"/>
      <c r="AI367" s="1562"/>
      <c r="AJ367" s="1562"/>
      <c r="AK367" s="26"/>
      <c r="AL367" s="26"/>
      <c r="AM367" s="26"/>
      <c r="AN367" s="241"/>
      <c r="AO367" s="589"/>
      <c r="AP367" s="63"/>
      <c r="AS367" s="1757">
        <f>IF(AND(AQ378&gt;0,AQ391&gt;0),(AQ378+AQ391)/2,0)</f>
        <v>0</v>
      </c>
      <c r="AT367" s="1757"/>
    </row>
    <row r="368" spans="1:46" s="4" customFormat="1" ht="12.75" customHeight="1">
      <c r="A368" s="26"/>
      <c r="B368" s="25"/>
      <c r="C368" s="1562"/>
      <c r="D368" s="1562"/>
      <c r="E368" s="1562"/>
      <c r="F368" s="1562"/>
      <c r="G368" s="1562"/>
      <c r="H368" s="1562"/>
      <c r="I368" s="1562"/>
      <c r="J368" s="1562"/>
      <c r="K368" s="1562"/>
      <c r="L368" s="1562"/>
      <c r="M368" s="1562"/>
      <c r="N368" s="1562"/>
      <c r="O368" s="1562"/>
      <c r="P368" s="1562"/>
      <c r="Q368" s="1562"/>
      <c r="R368" s="1562"/>
      <c r="S368" s="1562"/>
      <c r="T368" s="1562"/>
      <c r="U368" s="1562"/>
      <c r="V368" s="1562"/>
      <c r="W368" s="1562"/>
      <c r="X368" s="1562"/>
      <c r="Y368" s="1562"/>
      <c r="Z368" s="1562"/>
      <c r="AA368" s="1562"/>
      <c r="AB368" s="1562"/>
      <c r="AC368" s="1562"/>
      <c r="AD368" s="1562"/>
      <c r="AE368" s="1562"/>
      <c r="AF368" s="1562"/>
      <c r="AG368" s="1562"/>
      <c r="AH368" s="1562"/>
      <c r="AI368" s="1562"/>
      <c r="AJ368" s="1562"/>
      <c r="AK368" s="26"/>
      <c r="AL368" s="26"/>
      <c r="AM368" s="26"/>
      <c r="AN368" s="241"/>
      <c r="AO368" s="589" t="s">
        <v>34</v>
      </c>
      <c r="AP368" s="63">
        <f>IF(C409="Yes",7,0)</f>
        <v>0</v>
      </c>
    </row>
    <row r="369" spans="1:153" s="4" customFormat="1" ht="12.75" customHeight="1">
      <c r="A369" s="26"/>
      <c r="B369" s="25"/>
      <c r="C369" s="1562" t="s">
        <v>2022</v>
      </c>
      <c r="D369" s="1562"/>
      <c r="E369" s="1562"/>
      <c r="F369" s="1562"/>
      <c r="G369" s="1562"/>
      <c r="H369" s="1562"/>
      <c r="I369" s="1562"/>
      <c r="J369" s="1562"/>
      <c r="K369" s="1562"/>
      <c r="L369" s="1562"/>
      <c r="M369" s="1562"/>
      <c r="N369" s="1562"/>
      <c r="O369" s="1562"/>
      <c r="P369" s="1562"/>
      <c r="Q369" s="1562"/>
      <c r="R369" s="1562"/>
      <c r="S369" s="1562"/>
      <c r="T369" s="1562"/>
      <c r="U369" s="1562"/>
      <c r="V369" s="1562"/>
      <c r="W369" s="1562"/>
      <c r="X369" s="1562"/>
      <c r="Y369" s="1562"/>
      <c r="Z369" s="1562"/>
      <c r="AA369" s="1562"/>
      <c r="AB369" s="1562"/>
      <c r="AC369" s="1562"/>
      <c r="AD369" s="1562"/>
      <c r="AE369" s="1562"/>
      <c r="AF369" s="1562"/>
      <c r="AG369" s="1562"/>
      <c r="AH369" s="1562"/>
      <c r="AI369" s="1562"/>
      <c r="AJ369" s="1562"/>
      <c r="AK369" s="26"/>
      <c r="AL369" s="26"/>
      <c r="AM369" s="26"/>
      <c r="AN369" s="241"/>
      <c r="AO369" s="241"/>
      <c r="AP369" s="63">
        <f>IF(C411="Yes",5,0)</f>
        <v>0</v>
      </c>
    </row>
    <row r="370" spans="1:153" s="4" customFormat="1" ht="12.75" customHeight="1">
      <c r="A370" s="26"/>
      <c r="B370" s="25"/>
      <c r="C370" s="1562"/>
      <c r="D370" s="1562"/>
      <c r="E370" s="1562"/>
      <c r="F370" s="1562"/>
      <c r="G370" s="1562"/>
      <c r="H370" s="1562"/>
      <c r="I370" s="1562"/>
      <c r="J370" s="1562"/>
      <c r="K370" s="1562"/>
      <c r="L370" s="1562"/>
      <c r="M370" s="1562"/>
      <c r="N370" s="1562"/>
      <c r="O370" s="1562"/>
      <c r="P370" s="1562"/>
      <c r="Q370" s="1562"/>
      <c r="R370" s="1562"/>
      <c r="S370" s="1562"/>
      <c r="T370" s="1562"/>
      <c r="U370" s="1562"/>
      <c r="V370" s="1562"/>
      <c r="W370" s="1562"/>
      <c r="X370" s="1562"/>
      <c r="Y370" s="1562"/>
      <c r="Z370" s="1562"/>
      <c r="AA370" s="1562"/>
      <c r="AB370" s="1562"/>
      <c r="AC370" s="1562"/>
      <c r="AD370" s="1562"/>
      <c r="AE370" s="1562"/>
      <c r="AF370" s="1562"/>
      <c r="AG370" s="1562"/>
      <c r="AH370" s="1562"/>
      <c r="AI370" s="1562"/>
      <c r="AJ370" s="1562"/>
      <c r="AK370" s="26"/>
      <c r="AL370" s="26"/>
      <c r="AM370" s="26"/>
      <c r="AN370" s="241"/>
      <c r="AO370" s="241"/>
      <c r="AP370" s="63"/>
    </row>
    <row r="371" spans="1:153" s="4" customFormat="1" ht="12.75" customHeight="1">
      <c r="A371" s="26"/>
      <c r="B371" s="25"/>
      <c r="C371" s="1562"/>
      <c r="D371" s="1562"/>
      <c r="E371" s="1562"/>
      <c r="F371" s="1562"/>
      <c r="G371" s="1562"/>
      <c r="H371" s="1562"/>
      <c r="I371" s="1562"/>
      <c r="J371" s="1562"/>
      <c r="K371" s="1562"/>
      <c r="L371" s="1562"/>
      <c r="M371" s="1562"/>
      <c r="N371" s="1562"/>
      <c r="O371" s="1562"/>
      <c r="P371" s="1562"/>
      <c r="Q371" s="1562"/>
      <c r="R371" s="1562"/>
      <c r="S371" s="1562"/>
      <c r="T371" s="1562"/>
      <c r="U371" s="1562"/>
      <c r="V371" s="1562"/>
      <c r="W371" s="1562"/>
      <c r="X371" s="1562"/>
      <c r="Y371" s="1562"/>
      <c r="Z371" s="1562"/>
      <c r="AA371" s="1562"/>
      <c r="AB371" s="1562"/>
      <c r="AC371" s="1562"/>
      <c r="AD371" s="1562"/>
      <c r="AE371" s="1562"/>
      <c r="AF371" s="1562"/>
      <c r="AG371" s="1562"/>
      <c r="AH371" s="1562"/>
      <c r="AI371" s="1562"/>
      <c r="AJ371" s="1562"/>
      <c r="AK371" s="26"/>
      <c r="AL371" s="26"/>
      <c r="AM371" s="26"/>
      <c r="AN371" s="241"/>
      <c r="AO371" s="589" t="s">
        <v>92</v>
      </c>
      <c r="AP371" s="63">
        <f>IF(C419="Yes",5,0)</f>
        <v>0</v>
      </c>
    </row>
    <row r="372" spans="1:153" s="4" customFormat="1" ht="11.85" customHeight="1">
      <c r="A372" s="26"/>
      <c r="B372" s="25"/>
      <c r="C372" s="1562"/>
      <c r="D372" s="1562"/>
      <c r="E372" s="1562"/>
      <c r="F372" s="1562"/>
      <c r="G372" s="1562"/>
      <c r="H372" s="1562"/>
      <c r="I372" s="1562"/>
      <c r="J372" s="1562"/>
      <c r="K372" s="1562"/>
      <c r="L372" s="1562"/>
      <c r="M372" s="1562"/>
      <c r="N372" s="1562"/>
      <c r="O372" s="1562"/>
      <c r="P372" s="1562"/>
      <c r="Q372" s="1562"/>
      <c r="R372" s="1562"/>
      <c r="S372" s="1562"/>
      <c r="T372" s="1562"/>
      <c r="U372" s="1562"/>
      <c r="V372" s="1562"/>
      <c r="W372" s="1562"/>
      <c r="X372" s="1562"/>
      <c r="Y372" s="1562"/>
      <c r="Z372" s="1562"/>
      <c r="AA372" s="1562"/>
      <c r="AB372" s="1562"/>
      <c r="AC372" s="1562"/>
      <c r="AD372" s="1562"/>
      <c r="AE372" s="1562"/>
      <c r="AF372" s="1562"/>
      <c r="AG372" s="1562"/>
      <c r="AH372" s="1562"/>
      <c r="AI372" s="1562"/>
      <c r="AJ372" s="1562"/>
      <c r="AK372" s="26"/>
      <c r="AL372" s="26"/>
      <c r="AM372" s="26"/>
      <c r="AN372" s="241"/>
      <c r="AO372" s="241"/>
      <c r="AP372" s="63">
        <f>IF(C421="Yes",3,0)</f>
        <v>0</v>
      </c>
    </row>
    <row r="373" spans="1:153" s="4" customFormat="1" ht="12.6" customHeight="1">
      <c r="A373" s="26"/>
      <c r="B373" s="25"/>
      <c r="C373" s="1562"/>
      <c r="D373" s="1562"/>
      <c r="E373" s="1562"/>
      <c r="F373" s="1562"/>
      <c r="G373" s="1562"/>
      <c r="H373" s="1562"/>
      <c r="I373" s="1562"/>
      <c r="J373" s="1562"/>
      <c r="K373" s="1562"/>
      <c r="L373" s="1562"/>
      <c r="M373" s="1562"/>
      <c r="N373" s="1562"/>
      <c r="O373" s="1562"/>
      <c r="P373" s="1562"/>
      <c r="Q373" s="1562"/>
      <c r="R373" s="1562"/>
      <c r="S373" s="1562"/>
      <c r="T373" s="1562"/>
      <c r="U373" s="1562"/>
      <c r="V373" s="1562"/>
      <c r="W373" s="1562"/>
      <c r="X373" s="1562"/>
      <c r="Y373" s="1562"/>
      <c r="Z373" s="1562"/>
      <c r="AA373" s="1562"/>
      <c r="AB373" s="1562"/>
      <c r="AC373" s="1562"/>
      <c r="AD373" s="1562"/>
      <c r="AE373" s="1562"/>
      <c r="AF373" s="1562"/>
      <c r="AG373" s="1562"/>
      <c r="AH373" s="1562"/>
      <c r="AI373" s="1562"/>
      <c r="AJ373" s="1562"/>
      <c r="AK373" s="26"/>
      <c r="AL373" s="26"/>
      <c r="AM373" s="26"/>
      <c r="AN373" s="241"/>
      <c r="AO373" s="241"/>
      <c r="AP373" s="63"/>
    </row>
    <row r="374" spans="1:153" s="4" customFormat="1" ht="12.75" customHeight="1">
      <c r="A374" s="26"/>
      <c r="B374" s="25"/>
      <c r="C374" s="1562"/>
      <c r="D374" s="1562"/>
      <c r="E374" s="1562"/>
      <c r="F374" s="1562"/>
      <c r="G374" s="1562"/>
      <c r="H374" s="1562"/>
      <c r="I374" s="1562"/>
      <c r="J374" s="1562"/>
      <c r="K374" s="1562"/>
      <c r="L374" s="1562"/>
      <c r="M374" s="1562"/>
      <c r="N374" s="1562"/>
      <c r="O374" s="1562"/>
      <c r="P374" s="1562"/>
      <c r="Q374" s="1562"/>
      <c r="R374" s="1562"/>
      <c r="S374" s="1562"/>
      <c r="T374" s="1562"/>
      <c r="U374" s="1562"/>
      <c r="V374" s="1562"/>
      <c r="W374" s="1562"/>
      <c r="X374" s="1562"/>
      <c r="Y374" s="1562"/>
      <c r="Z374" s="1562"/>
      <c r="AA374" s="1562"/>
      <c r="AB374" s="1562"/>
      <c r="AC374" s="1562"/>
      <c r="AD374" s="1562"/>
      <c r="AE374" s="1562"/>
      <c r="AF374" s="1562"/>
      <c r="AG374" s="1562"/>
      <c r="AH374" s="1562"/>
      <c r="AI374" s="1562"/>
      <c r="AJ374" s="1562"/>
      <c r="AK374" s="26"/>
      <c r="AL374" s="26"/>
      <c r="AM374" s="26"/>
      <c r="AN374" s="241"/>
      <c r="AO374" s="589" t="s">
        <v>96</v>
      </c>
      <c r="AP374" s="63">
        <f>IF(C424="Yes",5,0)</f>
        <v>0</v>
      </c>
    </row>
    <row r="375" spans="1:153" s="4" customFormat="1" ht="12.75" customHeight="1">
      <c r="A375" s="26"/>
      <c r="B375" s="25"/>
      <c r="C375" s="1562"/>
      <c r="D375" s="1562"/>
      <c r="E375" s="1562"/>
      <c r="F375" s="1562"/>
      <c r="G375" s="1562"/>
      <c r="H375" s="1562"/>
      <c r="I375" s="1562"/>
      <c r="J375" s="1562"/>
      <c r="K375" s="1562"/>
      <c r="L375" s="1562"/>
      <c r="M375" s="1562"/>
      <c r="N375" s="1562"/>
      <c r="O375" s="1562"/>
      <c r="P375" s="1562"/>
      <c r="Q375" s="1562"/>
      <c r="R375" s="1562"/>
      <c r="S375" s="1562"/>
      <c r="T375" s="1562"/>
      <c r="U375" s="1562"/>
      <c r="V375" s="1562"/>
      <c r="W375" s="1562"/>
      <c r="X375" s="1562"/>
      <c r="Y375" s="1562"/>
      <c r="Z375" s="1562"/>
      <c r="AA375" s="1562"/>
      <c r="AB375" s="1562"/>
      <c r="AC375" s="1562"/>
      <c r="AD375" s="1562"/>
      <c r="AE375" s="1562"/>
      <c r="AF375" s="1562"/>
      <c r="AG375" s="1562"/>
      <c r="AH375" s="1562"/>
      <c r="AI375" s="1562"/>
      <c r="AJ375" s="1562"/>
      <c r="AK375" s="26"/>
      <c r="AL375" s="26"/>
      <c r="AM375" s="26"/>
      <c r="AN375" s="241"/>
      <c r="AO375" s="589" t="s">
        <v>1319</v>
      </c>
      <c r="AP375" s="63">
        <f>IF(C433="Yes",5,0)</f>
        <v>0</v>
      </c>
    </row>
    <row r="376" spans="1:153" s="4" customFormat="1" ht="12.75" customHeight="1">
      <c r="A376" s="26"/>
      <c r="B376" s="25"/>
      <c r="C376" s="1562" t="s">
        <v>2023</v>
      </c>
      <c r="D376" s="1562"/>
      <c r="E376" s="1562"/>
      <c r="F376" s="1562"/>
      <c r="G376" s="1562"/>
      <c r="H376" s="1562"/>
      <c r="I376" s="1562"/>
      <c r="J376" s="1562"/>
      <c r="K376" s="1562"/>
      <c r="L376" s="1562"/>
      <c r="M376" s="1562"/>
      <c r="N376" s="1562"/>
      <c r="O376" s="1562"/>
      <c r="P376" s="1562"/>
      <c r="Q376" s="1562"/>
      <c r="R376" s="1562"/>
      <c r="S376" s="1562"/>
      <c r="T376" s="1562"/>
      <c r="U376" s="1562"/>
      <c r="V376" s="1562"/>
      <c r="W376" s="1562"/>
      <c r="X376" s="1562"/>
      <c r="Y376" s="1562"/>
      <c r="Z376" s="1562"/>
      <c r="AA376" s="1562"/>
      <c r="AB376" s="1562"/>
      <c r="AC376" s="1562"/>
      <c r="AD376" s="1562"/>
      <c r="AE376" s="1562"/>
      <c r="AF376" s="1562"/>
      <c r="AG376" s="1562"/>
      <c r="AH376" s="1562"/>
      <c r="AI376" s="1562"/>
      <c r="AJ376" s="1562"/>
      <c r="AK376" s="26"/>
      <c r="AL376" s="26"/>
      <c r="AM376" s="26"/>
      <c r="AN376" s="241"/>
      <c r="AO376" s="241"/>
      <c r="AP376" s="63">
        <f>IF(C435="Yes",3,0)</f>
        <v>0</v>
      </c>
    </row>
    <row r="377" spans="1:153" s="4" customFormat="1" ht="12.75" customHeight="1">
      <c r="A377" s="26"/>
      <c r="B377" s="25"/>
      <c r="C377" s="1562"/>
      <c r="D377" s="1562"/>
      <c r="E377" s="1562"/>
      <c r="F377" s="1562"/>
      <c r="G377" s="1562"/>
      <c r="H377" s="1562"/>
      <c r="I377" s="1562"/>
      <c r="J377" s="1562"/>
      <c r="K377" s="1562"/>
      <c r="L377" s="1562"/>
      <c r="M377" s="1562"/>
      <c r="N377" s="1562"/>
      <c r="O377" s="1562"/>
      <c r="P377" s="1562"/>
      <c r="Q377" s="1562"/>
      <c r="R377" s="1562"/>
      <c r="S377" s="1562"/>
      <c r="T377" s="1562"/>
      <c r="U377" s="1562"/>
      <c r="V377" s="1562"/>
      <c r="W377" s="1562"/>
      <c r="X377" s="1562"/>
      <c r="Y377" s="1562"/>
      <c r="Z377" s="1562"/>
      <c r="AA377" s="1562"/>
      <c r="AB377" s="1562"/>
      <c r="AC377" s="1562"/>
      <c r="AD377" s="1562"/>
      <c r="AE377" s="1562"/>
      <c r="AF377" s="1562"/>
      <c r="AG377" s="1562"/>
      <c r="AH377" s="1562"/>
      <c r="AI377" s="1562"/>
      <c r="AJ377" s="1562"/>
      <c r="AK377" s="26"/>
      <c r="AL377" s="26"/>
      <c r="AM377" s="26"/>
      <c r="AN377" s="241"/>
      <c r="AO377" s="590"/>
      <c r="AP377" s="48"/>
    </row>
    <row r="378" spans="1:153" s="4" customFormat="1" ht="68.099999999999994" customHeight="1">
      <c r="A378" s="26"/>
      <c r="B378" s="25"/>
      <c r="C378" s="1562"/>
      <c r="D378" s="1562"/>
      <c r="E378" s="1562"/>
      <c r="F378" s="1562"/>
      <c r="G378" s="1562"/>
      <c r="H378" s="1562"/>
      <c r="I378" s="1562"/>
      <c r="J378" s="1562"/>
      <c r="K378" s="1562"/>
      <c r="L378" s="1562"/>
      <c r="M378" s="1562"/>
      <c r="N378" s="1562"/>
      <c r="O378" s="1562"/>
      <c r="P378" s="1562"/>
      <c r="Q378" s="1562"/>
      <c r="R378" s="1562"/>
      <c r="S378" s="1562"/>
      <c r="T378" s="1562"/>
      <c r="U378" s="1562"/>
      <c r="V378" s="1562"/>
      <c r="W378" s="1562"/>
      <c r="X378" s="1562"/>
      <c r="Y378" s="1562"/>
      <c r="Z378" s="1562"/>
      <c r="AA378" s="1562"/>
      <c r="AB378" s="1562"/>
      <c r="AC378" s="1562"/>
      <c r="AD378" s="1562"/>
      <c r="AE378" s="1562"/>
      <c r="AF378" s="1562"/>
      <c r="AG378" s="1562"/>
      <c r="AH378" s="1562"/>
      <c r="AI378" s="1562"/>
      <c r="AJ378" s="1562"/>
      <c r="AK378" s="26"/>
      <c r="AL378" s="26"/>
      <c r="AM378" s="26"/>
      <c r="AN378" s="241"/>
      <c r="AO378" s="591" t="s">
        <v>2024</v>
      </c>
      <c r="AP378" s="144">
        <f>SUM(AP364:AP377)</f>
        <v>0</v>
      </c>
      <c r="AQ378" s="1171">
        <f>IF(AP378&gt;0,AP378,0)</f>
        <v>0</v>
      </c>
      <c r="AR378" s="1171"/>
    </row>
    <row r="379" spans="1:153" s="4" customFormat="1" ht="12.6" customHeight="1">
      <c r="A379" s="26"/>
      <c r="B379" s="25"/>
      <c r="C379" s="4" t="s">
        <v>2025</v>
      </c>
      <c r="AF379" s="26"/>
      <c r="AG379" s="26"/>
      <c r="AH379" s="26"/>
      <c r="AI379" s="26"/>
      <c r="AJ379" s="26"/>
      <c r="AK379" s="26"/>
      <c r="AL379" s="26"/>
      <c r="AM379" s="26"/>
      <c r="AN379" s="241"/>
      <c r="AO379" s="589" t="s">
        <v>1321</v>
      </c>
      <c r="AP379" s="63">
        <f>IF(C442="Yes",5,0)</f>
        <v>5</v>
      </c>
    </row>
    <row r="380" spans="1:153" s="4" customFormat="1" ht="12.75" customHeight="1">
      <c r="A380" s="26"/>
      <c r="B380" s="25"/>
      <c r="C380" s="592" t="s">
        <v>2026</v>
      </c>
      <c r="D380" s="593"/>
      <c r="E380" s="593"/>
      <c r="F380" s="593"/>
      <c r="G380" s="593"/>
      <c r="H380" s="593"/>
      <c r="I380" s="593"/>
      <c r="J380" s="593"/>
      <c r="K380" s="593"/>
      <c r="L380" s="593"/>
      <c r="M380" s="182"/>
      <c r="N380" s="182"/>
      <c r="O380" s="594"/>
      <c r="P380" s="593"/>
      <c r="Q380" s="593"/>
      <c r="R380" s="182"/>
      <c r="S380" s="182"/>
      <c r="T380" s="593"/>
      <c r="U380" s="1569">
        <f>Application!CQ657-U381</f>
        <v>0</v>
      </c>
      <c r="V380" s="1569"/>
      <c r="W380" s="1569"/>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2027</v>
      </c>
      <c r="D381" s="146"/>
      <c r="E381" s="146"/>
      <c r="F381" s="146"/>
      <c r="G381" s="146"/>
      <c r="H381" s="146"/>
      <c r="I381" s="146"/>
      <c r="J381" s="146"/>
      <c r="K381" s="146"/>
      <c r="L381" s="146"/>
      <c r="M381" s="146"/>
      <c r="N381" s="146"/>
      <c r="O381" s="146"/>
      <c r="P381" s="146"/>
      <c r="Q381" s="146"/>
      <c r="R381" s="146"/>
      <c r="S381" s="146"/>
      <c r="T381" s="146"/>
      <c r="U381" s="1570">
        <f>IF(Application!D214="SRO",Application!CQ636,Application!AG741)</f>
        <v>57</v>
      </c>
      <c r="V381" s="1570"/>
      <c r="W381" s="1570"/>
      <c r="X381" s="146"/>
      <c r="Y381" s="146"/>
      <c r="Z381" s="146"/>
      <c r="AA381" s="148"/>
      <c r="AC381" s="237"/>
      <c r="AD381" s="237"/>
      <c r="AE381" s="26"/>
      <c r="AF381" s="26"/>
      <c r="AG381" s="26"/>
      <c r="AH381" s="26"/>
      <c r="AI381" s="26"/>
      <c r="AJ381" s="26"/>
      <c r="AK381" s="26"/>
      <c r="AL381" s="26"/>
      <c r="AM381" s="26"/>
      <c r="AN381" s="241"/>
      <c r="AO381" s="589" t="s">
        <v>1322</v>
      </c>
      <c r="AP381" s="63">
        <f>IF(C454="Yes",5,0)</f>
        <v>5</v>
      </c>
    </row>
    <row r="382" spans="1:153" s="4" customFormat="1" ht="12.75" customHeight="1">
      <c r="A382" s="26"/>
      <c r="B382" s="25"/>
      <c r="C382" s="4" t="s">
        <v>2028</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1323</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2029</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2030</v>
      </c>
      <c r="F385" s="1754" t="s">
        <v>2031</v>
      </c>
      <c r="G385" s="1754"/>
      <c r="H385" s="1754"/>
      <c r="I385" s="1754"/>
      <c r="J385" s="1754"/>
      <c r="K385" s="1754"/>
      <c r="L385" s="1754"/>
      <c r="M385" s="1754"/>
      <c r="N385" s="1754"/>
      <c r="O385" s="1754"/>
      <c r="P385" s="1754"/>
      <c r="Q385" s="1754"/>
      <c r="R385" s="1754"/>
      <c r="S385" s="1754"/>
      <c r="T385" s="1754"/>
      <c r="U385" s="1754"/>
      <c r="V385" s="1754"/>
      <c r="W385" s="1754"/>
      <c r="X385" s="1754"/>
      <c r="Y385" s="1754"/>
      <c r="Z385" s="1754"/>
      <c r="AA385" s="1754"/>
      <c r="AB385" s="1754"/>
      <c r="AC385" s="1754"/>
      <c r="AD385" s="1754"/>
      <c r="AE385" s="1754"/>
      <c r="AF385" s="1754"/>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1"/>
      <c r="D386" s="37"/>
      <c r="E386" s="189"/>
      <c r="F386" s="1594"/>
      <c r="G386" s="1594"/>
      <c r="H386" s="1594"/>
      <c r="I386" s="1594"/>
      <c r="J386" s="1594"/>
      <c r="K386" s="1594"/>
      <c r="L386" s="1594"/>
      <c r="M386" s="1594"/>
      <c r="N386" s="1594"/>
      <c r="O386" s="1594"/>
      <c r="P386" s="1594"/>
      <c r="Q386" s="1594"/>
      <c r="R386" s="1594"/>
      <c r="S386" s="1594"/>
      <c r="T386" s="1594"/>
      <c r="U386" s="1594"/>
      <c r="V386" s="1594"/>
      <c r="W386" s="1594"/>
      <c r="X386" s="1594"/>
      <c r="Y386" s="1594"/>
      <c r="Z386" s="1594"/>
      <c r="AA386" s="1594"/>
      <c r="AB386" s="1594"/>
      <c r="AC386" s="1594"/>
      <c r="AD386" s="1594"/>
      <c r="AE386" s="1594"/>
      <c r="AF386" s="1594"/>
      <c r="AG386" s="3"/>
      <c r="AH386" s="3"/>
      <c r="AI386" s="3"/>
      <c r="AJ386" s="3"/>
      <c r="AK386" s="3"/>
      <c r="AL386" s="675"/>
      <c r="AM386"/>
      <c r="AN386" s="241"/>
      <c r="AO386" s="589" t="s">
        <v>1324</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1"/>
      <c r="D387" s="37"/>
      <c r="E387" s="189"/>
      <c r="F387" s="1594"/>
      <c r="G387" s="1594"/>
      <c r="H387" s="1594"/>
      <c r="I387" s="1594"/>
      <c r="J387" s="1594"/>
      <c r="K387" s="1594"/>
      <c r="L387" s="1594"/>
      <c r="M387" s="1594"/>
      <c r="N387" s="1594"/>
      <c r="O387" s="1594"/>
      <c r="P387" s="1594"/>
      <c r="Q387" s="1594"/>
      <c r="R387" s="1594"/>
      <c r="S387" s="1594"/>
      <c r="T387" s="1594"/>
      <c r="U387" s="1594"/>
      <c r="V387" s="1594"/>
      <c r="W387" s="1594"/>
      <c r="X387" s="1594"/>
      <c r="Y387" s="1594"/>
      <c r="Z387" s="1594"/>
      <c r="AA387" s="1594"/>
      <c r="AB387" s="1594"/>
      <c r="AC387" s="1594"/>
      <c r="AD387" s="1594"/>
      <c r="AE387" s="1594"/>
      <c r="AF387" s="1594"/>
      <c r="AG387" s="3"/>
      <c r="AH387" s="3"/>
      <c r="AI387" s="3"/>
      <c r="AJ387" s="3"/>
      <c r="AK387" s="3"/>
      <c r="AL387" s="675"/>
      <c r="AM387"/>
      <c r="AN387" s="241"/>
      <c r="AO387" s="589" t="s">
        <v>1325</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1"/>
      <c r="D388" s="37"/>
      <c r="E388" s="189"/>
      <c r="F388" s="1594"/>
      <c r="G388" s="1594"/>
      <c r="H388" s="1594"/>
      <c r="I388" s="1594"/>
      <c r="J388" s="1594"/>
      <c r="K388" s="1594"/>
      <c r="L388" s="1594"/>
      <c r="M388" s="1594"/>
      <c r="N388" s="1594"/>
      <c r="O388" s="1594"/>
      <c r="P388" s="1594"/>
      <c r="Q388" s="1594"/>
      <c r="R388" s="1594"/>
      <c r="S388" s="1594"/>
      <c r="T388" s="1594"/>
      <c r="U388" s="1594"/>
      <c r="V388" s="1594"/>
      <c r="W388" s="1594"/>
      <c r="X388" s="1594"/>
      <c r="Y388" s="1594"/>
      <c r="Z388" s="1594"/>
      <c r="AA388" s="1594"/>
      <c r="AB388" s="1594"/>
      <c r="AC388" s="1594"/>
      <c r="AD388" s="1594"/>
      <c r="AE388" s="1594"/>
      <c r="AF388" s="1594"/>
      <c r="AG388" s="3"/>
      <c r="AH388" s="3"/>
      <c r="AI388" s="3"/>
      <c r="AJ388" s="3"/>
      <c r="AK388" s="3"/>
      <c r="AL388" s="675"/>
      <c r="AM388"/>
      <c r="AN388" s="241"/>
      <c r="AO388" s="589" t="s">
        <v>1326</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53" t="s">
        <v>326</v>
      </c>
      <c r="D389" s="1065"/>
      <c r="E389" s="189"/>
      <c r="F389" s="284" t="s">
        <v>2032</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75" t="s">
        <v>2033</v>
      </c>
      <c r="AG389" s="1475"/>
      <c r="AH389" s="1475"/>
      <c r="AI389" s="1475"/>
      <c r="AJ389" s="1475"/>
      <c r="AK389" s="1475"/>
      <c r="AL389" s="1561"/>
      <c r="AM389" s="721"/>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2024</v>
      </c>
      <c r="AP391" s="3">
        <f>SUM(AP379:AP390)</f>
        <v>10</v>
      </c>
      <c r="AQ391" s="1171">
        <f>IF(AP391&gt;0,AP391,0)</f>
        <v>10</v>
      </c>
      <c r="AR391" s="1171"/>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2034</v>
      </c>
      <c r="F394" s="1754" t="s">
        <v>2035</v>
      </c>
      <c r="G394" s="1754"/>
      <c r="H394" s="1754"/>
      <c r="I394" s="1754"/>
      <c r="J394" s="1754"/>
      <c r="K394" s="1754"/>
      <c r="L394" s="1754"/>
      <c r="M394" s="1754"/>
      <c r="N394" s="1754"/>
      <c r="O394" s="1754"/>
      <c r="P394" s="1754"/>
      <c r="Q394" s="1754"/>
      <c r="R394" s="1754"/>
      <c r="S394" s="1754"/>
      <c r="T394" s="1754"/>
      <c r="U394" s="1754"/>
      <c r="V394" s="1754"/>
      <c r="W394" s="1754"/>
      <c r="X394" s="1754"/>
      <c r="Y394" s="1754"/>
      <c r="Z394" s="1754"/>
      <c r="AA394" s="1754"/>
      <c r="AB394" s="1754"/>
      <c r="AC394" s="1754"/>
      <c r="AD394" s="1754"/>
      <c r="AE394" s="1754"/>
      <c r="AF394" s="1754"/>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594"/>
      <c r="G395" s="1594"/>
      <c r="H395" s="1594"/>
      <c r="I395" s="1594"/>
      <c r="J395" s="1594"/>
      <c r="K395" s="1594"/>
      <c r="L395" s="1594"/>
      <c r="M395" s="1594"/>
      <c r="N395" s="1594"/>
      <c r="O395" s="1594"/>
      <c r="P395" s="1594"/>
      <c r="Q395" s="1594"/>
      <c r="R395" s="1594"/>
      <c r="S395" s="1594"/>
      <c r="T395" s="1594"/>
      <c r="U395" s="1594"/>
      <c r="V395" s="1594"/>
      <c r="W395" s="1594"/>
      <c r="X395" s="1594"/>
      <c r="Y395" s="1594"/>
      <c r="Z395" s="1594"/>
      <c r="AA395" s="1594"/>
      <c r="AB395" s="1594"/>
      <c r="AC395" s="1594"/>
      <c r="AD395" s="1594"/>
      <c r="AE395" s="1594"/>
      <c r="AF395" s="1594"/>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594"/>
      <c r="G396" s="1594"/>
      <c r="H396" s="1594"/>
      <c r="I396" s="1594"/>
      <c r="J396" s="1594"/>
      <c r="K396" s="1594"/>
      <c r="L396" s="1594"/>
      <c r="M396" s="1594"/>
      <c r="N396" s="1594"/>
      <c r="O396" s="1594"/>
      <c r="P396" s="1594"/>
      <c r="Q396" s="1594"/>
      <c r="R396" s="1594"/>
      <c r="S396" s="1594"/>
      <c r="T396" s="1594"/>
      <c r="U396" s="1594"/>
      <c r="V396" s="1594"/>
      <c r="W396" s="1594"/>
      <c r="X396" s="1594"/>
      <c r="Y396" s="1594"/>
      <c r="Z396" s="1594"/>
      <c r="AA396" s="1594"/>
      <c r="AB396" s="1594"/>
      <c r="AC396" s="1594"/>
      <c r="AD396" s="1594"/>
      <c r="AE396" s="1594"/>
      <c r="AF396" s="1594"/>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594"/>
      <c r="G397" s="1594"/>
      <c r="H397" s="1594"/>
      <c r="I397" s="1594"/>
      <c r="J397" s="1594"/>
      <c r="K397" s="1594"/>
      <c r="L397" s="1594"/>
      <c r="M397" s="1594"/>
      <c r="N397" s="1594"/>
      <c r="O397" s="1594"/>
      <c r="P397" s="1594"/>
      <c r="Q397" s="1594"/>
      <c r="R397" s="1594"/>
      <c r="S397" s="1594"/>
      <c r="T397" s="1594"/>
      <c r="U397" s="1594"/>
      <c r="V397" s="1594"/>
      <c r="W397" s="1594"/>
      <c r="X397" s="1594"/>
      <c r="Y397" s="1594"/>
      <c r="Z397" s="1594"/>
      <c r="AA397" s="1594"/>
      <c r="AB397" s="1594"/>
      <c r="AC397" s="1594"/>
      <c r="AD397" s="1594"/>
      <c r="AE397" s="1594"/>
      <c r="AF397" s="1594"/>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594"/>
      <c r="G398" s="1594"/>
      <c r="H398" s="1594"/>
      <c r="I398" s="1594"/>
      <c r="J398" s="1594"/>
      <c r="K398" s="1594"/>
      <c r="L398" s="1594"/>
      <c r="M398" s="1594"/>
      <c r="N398" s="1594"/>
      <c r="O398" s="1594"/>
      <c r="P398" s="1594"/>
      <c r="Q398" s="1594"/>
      <c r="R398" s="1594"/>
      <c r="S398" s="1594"/>
      <c r="T398" s="1594"/>
      <c r="U398" s="1594"/>
      <c r="V398" s="1594"/>
      <c r="W398" s="1594"/>
      <c r="X398" s="1594"/>
      <c r="Y398" s="1594"/>
      <c r="Z398" s="1594"/>
      <c r="AA398" s="1594"/>
      <c r="AB398" s="1594"/>
      <c r="AC398" s="1594"/>
      <c r="AD398" s="1594"/>
      <c r="AE398" s="1594"/>
      <c r="AF398" s="1594"/>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53" t="s">
        <v>326</v>
      </c>
      <c r="D399" s="1065"/>
      <c r="E399" s="168"/>
      <c r="F399" s="284" t="s">
        <v>2036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75" t="s">
        <v>2033</v>
      </c>
      <c r="AG399" s="1475"/>
      <c r="AH399" s="1475"/>
      <c r="AI399" s="1475"/>
      <c r="AJ399" s="1475"/>
      <c r="AK399" s="1475"/>
      <c r="AL399" s="1561"/>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2"/>
      <c r="D400" s="923"/>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272"/>
      <c r="D401" s="1272"/>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475"/>
      <c r="AG401" s="1475"/>
      <c r="AH401" s="1475"/>
      <c r="AI401" s="1475"/>
      <c r="AJ401" s="1475"/>
      <c r="AK401" s="1475"/>
      <c r="AL401" s="1475"/>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2037</v>
      </c>
      <c r="F404" s="1758" t="s">
        <v>2038</v>
      </c>
      <c r="G404" s="1758"/>
      <c r="H404" s="1758"/>
      <c r="I404" s="1758"/>
      <c r="J404" s="1758"/>
      <c r="K404" s="1758"/>
      <c r="L404" s="1758"/>
      <c r="M404" s="1758"/>
      <c r="N404" s="1758"/>
      <c r="O404" s="1758"/>
      <c r="P404" s="1758"/>
      <c r="Q404" s="1758"/>
      <c r="R404" s="1758"/>
      <c r="S404" s="1758"/>
      <c r="T404" s="1758"/>
      <c r="U404" s="1758"/>
      <c r="V404" s="1758"/>
      <c r="W404" s="1758"/>
      <c r="X404" s="1758"/>
      <c r="Y404" s="1758"/>
      <c r="Z404" s="1758"/>
      <c r="AA404" s="1758"/>
      <c r="AB404" s="1758"/>
      <c r="AC404" s="1758"/>
      <c r="AD404" s="1758"/>
      <c r="AE404" s="1758"/>
      <c r="AF404" s="1758"/>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25"/>
      <c r="G405" s="1625"/>
      <c r="H405" s="1625"/>
      <c r="I405" s="1625"/>
      <c r="J405" s="1625"/>
      <c r="K405" s="1625"/>
      <c r="L405" s="1625"/>
      <c r="M405" s="1625"/>
      <c r="N405" s="1625"/>
      <c r="O405" s="1625"/>
      <c r="P405" s="1625"/>
      <c r="Q405" s="1625"/>
      <c r="R405" s="1625"/>
      <c r="S405" s="1625"/>
      <c r="T405" s="1625"/>
      <c r="U405" s="1625"/>
      <c r="V405" s="1625"/>
      <c r="W405" s="1625"/>
      <c r="X405" s="1625"/>
      <c r="Y405" s="1625"/>
      <c r="Z405" s="1625"/>
      <c r="AA405" s="1625"/>
      <c r="AB405" s="1625"/>
      <c r="AC405" s="1625"/>
      <c r="AD405" s="1625"/>
      <c r="AE405" s="1625"/>
      <c r="AF405" s="1625"/>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25"/>
      <c r="G406" s="1625"/>
      <c r="H406" s="1625"/>
      <c r="I406" s="1625"/>
      <c r="J406" s="1625"/>
      <c r="K406" s="1625"/>
      <c r="L406" s="1625"/>
      <c r="M406" s="1625"/>
      <c r="N406" s="1625"/>
      <c r="O406" s="1625"/>
      <c r="P406" s="1625"/>
      <c r="Q406" s="1625"/>
      <c r="R406" s="1625"/>
      <c r="S406" s="1625"/>
      <c r="T406" s="1625"/>
      <c r="U406" s="1625"/>
      <c r="V406" s="1625"/>
      <c r="W406" s="1625"/>
      <c r="X406" s="1625"/>
      <c r="Y406" s="1625"/>
      <c r="Z406" s="1625"/>
      <c r="AA406" s="1625"/>
      <c r="AB406" s="1625"/>
      <c r="AC406" s="1625"/>
      <c r="AD406" s="1625"/>
      <c r="AE406" s="1625"/>
      <c r="AF406" s="1625"/>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25"/>
      <c r="G407" s="1625"/>
      <c r="H407" s="1625"/>
      <c r="I407" s="1625"/>
      <c r="J407" s="1625"/>
      <c r="K407" s="1625"/>
      <c r="L407" s="1625"/>
      <c r="M407" s="1625"/>
      <c r="N407" s="1625"/>
      <c r="O407" s="1625"/>
      <c r="P407" s="1625"/>
      <c r="Q407" s="1625"/>
      <c r="R407" s="1625"/>
      <c r="S407" s="1625"/>
      <c r="T407" s="1625"/>
      <c r="U407" s="1625"/>
      <c r="V407" s="1625"/>
      <c r="W407" s="1625"/>
      <c r="X407" s="1625"/>
      <c r="Y407" s="1625"/>
      <c r="Z407" s="1625"/>
      <c r="AA407" s="1625"/>
      <c r="AB407" s="1625"/>
      <c r="AC407" s="1625"/>
      <c r="AD407" s="1625"/>
      <c r="AE407" s="1625"/>
      <c r="AF407" s="1625"/>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25"/>
      <c r="G408" s="1625"/>
      <c r="H408" s="1625"/>
      <c r="I408" s="1625"/>
      <c r="J408" s="1625"/>
      <c r="K408" s="1625"/>
      <c r="L408" s="1625"/>
      <c r="M408" s="1625"/>
      <c r="N408" s="1625"/>
      <c r="O408" s="1625"/>
      <c r="P408" s="1625"/>
      <c r="Q408" s="1625"/>
      <c r="R408" s="1625"/>
      <c r="S408" s="1625"/>
      <c r="T408" s="1625"/>
      <c r="U408" s="1625"/>
      <c r="V408" s="1625"/>
      <c r="W408" s="1625"/>
      <c r="X408" s="1625"/>
      <c r="Y408" s="1625"/>
      <c r="Z408" s="1625"/>
      <c r="AA408" s="1625"/>
      <c r="AB408" s="1625"/>
      <c r="AC408" s="1625"/>
      <c r="AD408" s="1625"/>
      <c r="AE408" s="1625"/>
      <c r="AF408" s="1625"/>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53" t="s">
        <v>326</v>
      </c>
      <c r="D409" s="1065"/>
      <c r="E409" s="168"/>
      <c r="F409" s="284" t="s">
        <v>2039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75" t="s">
        <v>2040</v>
      </c>
      <c r="AG409" s="1475"/>
      <c r="AH409" s="1475"/>
      <c r="AI409" s="1475"/>
      <c r="AJ409" s="1475"/>
      <c r="AK409" s="1475"/>
      <c r="AL409" s="1561"/>
      <c r="AM409" s="721"/>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53" t="s">
        <v>326</v>
      </c>
      <c r="D411" s="1065"/>
      <c r="E411" s="168"/>
      <c r="F411" s="285" t="s">
        <v>2041</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475" t="s">
        <v>2033</v>
      </c>
      <c r="AG411" s="1475"/>
      <c r="AH411" s="1475"/>
      <c r="AI411" s="1475"/>
      <c r="AJ411" s="1475"/>
      <c r="AK411" s="1475"/>
      <c r="AL411" s="1561"/>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2042</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3"/>
      <c r="AF413" s="612"/>
      <c r="AG413" s="923"/>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2043</v>
      </c>
      <c r="F415" s="1754" t="s">
        <v>2044</v>
      </c>
      <c r="G415" s="1754"/>
      <c r="H415" s="1754"/>
      <c r="I415" s="1754"/>
      <c r="J415" s="1754"/>
      <c r="K415" s="1754"/>
      <c r="L415" s="1754"/>
      <c r="M415" s="1754"/>
      <c r="N415" s="1754"/>
      <c r="O415" s="1754"/>
      <c r="P415" s="1754"/>
      <c r="Q415" s="1754"/>
      <c r="R415" s="1754"/>
      <c r="S415" s="1754"/>
      <c r="T415" s="1754"/>
      <c r="U415" s="1754"/>
      <c r="V415" s="1754"/>
      <c r="W415" s="1754"/>
      <c r="X415" s="1754"/>
      <c r="Y415" s="1754"/>
      <c r="Z415" s="1754"/>
      <c r="AA415" s="1754"/>
      <c r="AB415" s="1754"/>
      <c r="AC415" s="1754"/>
      <c r="AD415" s="1754"/>
      <c r="AE415" s="1754"/>
      <c r="AF415" s="1754"/>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94"/>
      <c r="G416" s="1594"/>
      <c r="H416" s="1594"/>
      <c r="I416" s="1594"/>
      <c r="J416" s="1594"/>
      <c r="K416" s="1594"/>
      <c r="L416" s="1594"/>
      <c r="M416" s="1594"/>
      <c r="N416" s="1594"/>
      <c r="O416" s="1594"/>
      <c r="P416" s="1594"/>
      <c r="Q416" s="1594"/>
      <c r="R416" s="1594"/>
      <c r="S416" s="1594"/>
      <c r="T416" s="1594"/>
      <c r="U416" s="1594"/>
      <c r="V416" s="1594"/>
      <c r="W416" s="1594"/>
      <c r="X416" s="1594"/>
      <c r="Y416" s="1594"/>
      <c r="Z416" s="1594"/>
      <c r="AA416" s="1594"/>
      <c r="AB416" s="1594"/>
      <c r="AC416" s="1594"/>
      <c r="AD416" s="1594"/>
      <c r="AE416" s="1594"/>
      <c r="AF416" s="1594"/>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594"/>
      <c r="G417" s="1594"/>
      <c r="H417" s="1594"/>
      <c r="I417" s="1594"/>
      <c r="J417" s="1594"/>
      <c r="K417" s="1594"/>
      <c r="L417" s="1594"/>
      <c r="M417" s="1594"/>
      <c r="N417" s="1594"/>
      <c r="O417" s="1594"/>
      <c r="P417" s="1594"/>
      <c r="Q417" s="1594"/>
      <c r="R417" s="1594"/>
      <c r="S417" s="1594"/>
      <c r="T417" s="1594"/>
      <c r="U417" s="1594"/>
      <c r="V417" s="1594"/>
      <c r="W417" s="1594"/>
      <c r="X417" s="1594"/>
      <c r="Y417" s="1594"/>
      <c r="Z417" s="1594"/>
      <c r="AA417" s="1594"/>
      <c r="AB417" s="1594"/>
      <c r="AC417" s="1594"/>
      <c r="AD417" s="1594"/>
      <c r="AE417" s="1594"/>
      <c r="AF417" s="1594"/>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594"/>
      <c r="G418" s="1594"/>
      <c r="H418" s="1594"/>
      <c r="I418" s="1594"/>
      <c r="J418" s="1594"/>
      <c r="K418" s="1594"/>
      <c r="L418" s="1594"/>
      <c r="M418" s="1594"/>
      <c r="N418" s="1594"/>
      <c r="O418" s="1594"/>
      <c r="P418" s="1594"/>
      <c r="Q418" s="1594"/>
      <c r="R418" s="1594"/>
      <c r="S418" s="1594"/>
      <c r="T418" s="1594"/>
      <c r="U418" s="1594"/>
      <c r="V418" s="1594"/>
      <c r="W418" s="1594"/>
      <c r="X418" s="1594"/>
      <c r="Y418" s="1594"/>
      <c r="Z418" s="1594"/>
      <c r="AA418" s="1594"/>
      <c r="AB418" s="1594"/>
      <c r="AC418" s="1594"/>
      <c r="AD418" s="1594"/>
      <c r="AE418" s="1594"/>
      <c r="AF418" s="1594"/>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53" t="s">
        <v>326</v>
      </c>
      <c r="D419" s="1065"/>
      <c r="E419" s="168"/>
      <c r="F419" s="284" t="s">
        <v>2045</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475" t="s">
        <v>2033</v>
      </c>
      <c r="AG419" s="1475"/>
      <c r="AH419" s="1475"/>
      <c r="AI419" s="1475"/>
      <c r="AJ419" s="1475"/>
      <c r="AK419" s="1475"/>
      <c r="AL419" s="1561"/>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53" t="s">
        <v>326</v>
      </c>
      <c r="D421" s="1065"/>
      <c r="E421" s="189"/>
      <c r="F421" s="284" t="s">
        <v>2046</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475" t="s">
        <v>2047</v>
      </c>
      <c r="AG421" s="1475"/>
      <c r="AH421" s="1475"/>
      <c r="AI421" s="1475"/>
      <c r="AJ421" s="1475"/>
      <c r="AK421" s="1475"/>
      <c r="AL421" s="1561"/>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53" t="s">
        <v>326</v>
      </c>
      <c r="D424" s="1065"/>
      <c r="E424" s="599" t="s">
        <v>2048</v>
      </c>
      <c r="F424" s="1754" t="s">
        <v>2049</v>
      </c>
      <c r="G424" s="1754"/>
      <c r="H424" s="1754"/>
      <c r="I424" s="1754"/>
      <c r="J424" s="1754"/>
      <c r="K424" s="1754"/>
      <c r="L424" s="1754"/>
      <c r="M424" s="1754"/>
      <c r="N424" s="1754"/>
      <c r="O424" s="1754"/>
      <c r="P424" s="1754"/>
      <c r="Q424" s="1754"/>
      <c r="R424" s="1754"/>
      <c r="S424" s="1754"/>
      <c r="T424" s="1754"/>
      <c r="U424" s="1754"/>
      <c r="V424" s="1754"/>
      <c r="W424" s="1754"/>
      <c r="X424" s="1754"/>
      <c r="Y424" s="1754"/>
      <c r="Z424" s="1754"/>
      <c r="AA424" s="1754"/>
      <c r="AB424" s="1754"/>
      <c r="AC424" s="1754"/>
      <c r="AD424" s="1754"/>
      <c r="AE424" s="1754"/>
      <c r="AF424" s="638"/>
      <c r="AG424" s="924"/>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594"/>
      <c r="G425" s="1594"/>
      <c r="H425" s="1594"/>
      <c r="I425" s="1594"/>
      <c r="J425" s="1594"/>
      <c r="K425" s="1594"/>
      <c r="L425" s="1594"/>
      <c r="M425" s="1594"/>
      <c r="N425" s="1594"/>
      <c r="O425" s="1594"/>
      <c r="P425" s="1594"/>
      <c r="Q425" s="1594"/>
      <c r="R425" s="1594"/>
      <c r="S425" s="1594"/>
      <c r="T425" s="1594"/>
      <c r="U425" s="1594"/>
      <c r="V425" s="1594"/>
      <c r="W425" s="1594"/>
      <c r="X425" s="1594"/>
      <c r="Y425" s="1594"/>
      <c r="Z425" s="1594"/>
      <c r="AA425" s="1594"/>
      <c r="AB425" s="1594"/>
      <c r="AC425" s="1594"/>
      <c r="AD425" s="1594"/>
      <c r="AE425" s="1594"/>
      <c r="AF425" s="1558" t="s">
        <v>2033</v>
      </c>
      <c r="AG425" s="1558"/>
      <c r="AH425" s="1558"/>
      <c r="AI425" s="1558"/>
      <c r="AJ425" s="1558"/>
      <c r="AK425" s="1558"/>
      <c r="AL425" s="1559"/>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594"/>
      <c r="G426" s="1594"/>
      <c r="H426" s="1594"/>
      <c r="I426" s="1594"/>
      <c r="J426" s="1594"/>
      <c r="K426" s="1594"/>
      <c r="L426" s="1594"/>
      <c r="M426" s="1594"/>
      <c r="N426" s="1594"/>
      <c r="O426" s="1594"/>
      <c r="P426" s="1594"/>
      <c r="Q426" s="1594"/>
      <c r="R426" s="1594"/>
      <c r="S426" s="1594"/>
      <c r="T426" s="1594"/>
      <c r="U426" s="1594"/>
      <c r="V426" s="1594"/>
      <c r="W426" s="1594"/>
      <c r="X426" s="1594"/>
      <c r="Y426" s="1594"/>
      <c r="Z426" s="1594"/>
      <c r="AA426" s="1594"/>
      <c r="AB426" s="1594"/>
      <c r="AC426" s="1594"/>
      <c r="AD426" s="1594"/>
      <c r="AE426" s="1594"/>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777"/>
      <c r="G427" s="1777"/>
      <c r="H427" s="1777"/>
      <c r="I427" s="1777"/>
      <c r="J427" s="1777"/>
      <c r="K427" s="1777"/>
      <c r="L427" s="1777"/>
      <c r="M427" s="1777"/>
      <c r="N427" s="1777"/>
      <c r="O427" s="1777"/>
      <c r="P427" s="1777"/>
      <c r="Q427" s="1777"/>
      <c r="R427" s="1777"/>
      <c r="S427" s="1777"/>
      <c r="T427" s="1777"/>
      <c r="U427" s="1777"/>
      <c r="V427" s="1777"/>
      <c r="W427" s="1777"/>
      <c r="X427" s="1777"/>
      <c r="Y427" s="1777"/>
      <c r="Z427" s="1777"/>
      <c r="AA427" s="1777"/>
      <c r="AB427" s="1777"/>
      <c r="AC427" s="1777"/>
      <c r="AD427" s="1777"/>
      <c r="AE427" s="1777"/>
      <c r="AF427" s="612"/>
      <c r="AG427" s="923"/>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2050</v>
      </c>
      <c r="F429" s="1754" t="s">
        <v>2051</v>
      </c>
      <c r="G429" s="1754"/>
      <c r="H429" s="1754"/>
      <c r="I429" s="1754"/>
      <c r="J429" s="1754"/>
      <c r="K429" s="1754"/>
      <c r="L429" s="1754"/>
      <c r="M429" s="1754"/>
      <c r="N429" s="1754"/>
      <c r="O429" s="1754"/>
      <c r="P429" s="1754"/>
      <c r="Q429" s="1754"/>
      <c r="R429" s="1754"/>
      <c r="S429" s="1754"/>
      <c r="T429" s="1754"/>
      <c r="U429" s="1754"/>
      <c r="V429" s="1754"/>
      <c r="W429" s="1754"/>
      <c r="X429" s="1754"/>
      <c r="Y429" s="1754"/>
      <c r="Z429" s="1754"/>
      <c r="AA429" s="1754"/>
      <c r="AB429" s="1754"/>
      <c r="AC429" s="1754"/>
      <c r="AD429" s="1754"/>
      <c r="AE429" s="1754"/>
      <c r="AF429" s="617"/>
      <c r="AG429" s="617"/>
      <c r="AH429" s="617"/>
      <c r="AI429" s="617"/>
      <c r="AJ429" s="617"/>
      <c r="AK429" s="617"/>
      <c r="AL429" s="618"/>
      <c r="AM429"/>
    </row>
    <row r="430" spans="1:153">
      <c r="A430" s="37"/>
      <c r="C430" s="604"/>
      <c r="E430" s="168"/>
      <c r="F430" s="1594"/>
      <c r="G430" s="1594"/>
      <c r="H430" s="1594"/>
      <c r="I430" s="1594"/>
      <c r="J430" s="1594"/>
      <c r="K430" s="1594"/>
      <c r="L430" s="1594"/>
      <c r="M430" s="1594"/>
      <c r="N430" s="1594"/>
      <c r="O430" s="1594"/>
      <c r="P430" s="1594"/>
      <c r="Q430" s="1594"/>
      <c r="R430" s="1594"/>
      <c r="S430" s="1594"/>
      <c r="T430" s="1594"/>
      <c r="U430" s="1594"/>
      <c r="V430" s="1594"/>
      <c r="W430" s="1594"/>
      <c r="X430" s="1594"/>
      <c r="Y430" s="1594"/>
      <c r="Z430" s="1594"/>
      <c r="AA430" s="1594"/>
      <c r="AB430" s="1594"/>
      <c r="AC430" s="1594"/>
      <c r="AD430" s="1594"/>
      <c r="AE430" s="1594"/>
      <c r="AF430" s="3"/>
      <c r="AG430" s="37"/>
      <c r="AH430" s="4"/>
      <c r="AI430" s="4"/>
      <c r="AJ430" s="4"/>
      <c r="AK430" s="4"/>
      <c r="AL430" s="605"/>
      <c r="AM430"/>
    </row>
    <row r="431" spans="1:153" s="4" customFormat="1" ht="12.75" customHeight="1">
      <c r="A431" s="37"/>
      <c r="B431" s="21"/>
      <c r="C431" s="604"/>
      <c r="D431" s="21"/>
      <c r="E431" s="168"/>
      <c r="F431" s="1594"/>
      <c r="G431" s="1594"/>
      <c r="H431" s="1594"/>
      <c r="I431" s="1594"/>
      <c r="J431" s="1594"/>
      <c r="K431" s="1594"/>
      <c r="L431" s="1594"/>
      <c r="M431" s="1594"/>
      <c r="N431" s="1594"/>
      <c r="O431" s="1594"/>
      <c r="P431" s="1594"/>
      <c r="Q431" s="1594"/>
      <c r="R431" s="1594"/>
      <c r="S431" s="1594"/>
      <c r="T431" s="1594"/>
      <c r="U431" s="1594"/>
      <c r="V431" s="1594"/>
      <c r="W431" s="1594"/>
      <c r="X431" s="1594"/>
      <c r="Y431" s="1594"/>
      <c r="Z431" s="1594"/>
      <c r="AA431" s="1594"/>
      <c r="AB431" s="1594"/>
      <c r="AC431" s="1594"/>
      <c r="AD431" s="1594"/>
      <c r="AE431" s="1594"/>
      <c r="AL431" s="605"/>
      <c r="AM431"/>
      <c r="AN431" s="241"/>
    </row>
    <row r="432" spans="1:153" s="4" customFormat="1" ht="12.75" customHeight="1">
      <c r="A432" s="37"/>
      <c r="B432" s="21"/>
      <c r="C432" s="607"/>
      <c r="F432" s="1594"/>
      <c r="G432" s="1594"/>
      <c r="H432" s="1594"/>
      <c r="I432" s="1594"/>
      <c r="J432" s="1594"/>
      <c r="K432" s="1594"/>
      <c r="L432" s="1594"/>
      <c r="M432" s="1594"/>
      <c r="N432" s="1594"/>
      <c r="O432" s="1594"/>
      <c r="P432" s="1594"/>
      <c r="Q432" s="1594"/>
      <c r="R432" s="1594"/>
      <c r="S432" s="1594"/>
      <c r="T432" s="1594"/>
      <c r="U432" s="1594"/>
      <c r="V432" s="1594"/>
      <c r="W432" s="1594"/>
      <c r="X432" s="1594"/>
      <c r="Y432" s="1594"/>
      <c r="Z432" s="1594"/>
      <c r="AA432" s="1594"/>
      <c r="AB432" s="1594"/>
      <c r="AC432" s="1594"/>
      <c r="AD432" s="1594"/>
      <c r="AE432" s="1594"/>
      <c r="AL432" s="605"/>
      <c r="AM432"/>
      <c r="AN432" s="241"/>
    </row>
    <row r="433" spans="1:60" s="4" customFormat="1" ht="12.75" customHeight="1">
      <c r="A433" s="37"/>
      <c r="B433" s="21"/>
      <c r="C433" s="1753" t="s">
        <v>326</v>
      </c>
      <c r="D433" s="1065"/>
      <c r="E433" s="168"/>
      <c r="F433" s="284" t="s">
        <v>2052</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58" t="s">
        <v>2033</v>
      </c>
      <c r="AG433" s="1558"/>
      <c r="AH433" s="1558"/>
      <c r="AI433" s="1558"/>
      <c r="AJ433" s="1558"/>
      <c r="AK433" s="1558"/>
      <c r="AL433" s="1559"/>
      <c r="AM433"/>
      <c r="AN433" s="241"/>
    </row>
    <row r="434" spans="1:60" s="4" customFormat="1" ht="12.75" customHeight="1">
      <c r="A434" s="37"/>
      <c r="B434" s="21"/>
      <c r="C434" s="607"/>
      <c r="AL434" s="605"/>
      <c r="AM434"/>
      <c r="AN434" s="241"/>
    </row>
    <row r="435" spans="1:60" s="4" customFormat="1" ht="12.75" customHeight="1">
      <c r="A435" s="37"/>
      <c r="B435" s="21"/>
      <c r="C435" s="1753" t="s">
        <v>326</v>
      </c>
      <c r="D435" s="1065"/>
      <c r="E435" s="189"/>
      <c r="F435" s="284" t="s">
        <v>2053</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58" t="s">
        <v>2047</v>
      </c>
      <c r="AG435" s="1558"/>
      <c r="AH435" s="1558"/>
      <c r="AI435" s="1558"/>
      <c r="AJ435" s="1558"/>
      <c r="AK435" s="1558"/>
      <c r="AL435" s="1559"/>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3"/>
      <c r="AF436" s="612"/>
      <c r="AG436" s="923"/>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2054</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2055</v>
      </c>
      <c r="F439" s="1754" t="s">
        <v>2056</v>
      </c>
      <c r="G439" s="1754"/>
      <c r="H439" s="1754"/>
      <c r="I439" s="1754"/>
      <c r="J439" s="1754"/>
      <c r="K439" s="1754"/>
      <c r="L439" s="1754"/>
      <c r="M439" s="1754"/>
      <c r="N439" s="1754"/>
      <c r="O439" s="1754"/>
      <c r="P439" s="1754"/>
      <c r="Q439" s="1754"/>
      <c r="R439" s="1754"/>
      <c r="S439" s="1754"/>
      <c r="T439" s="1754"/>
      <c r="U439" s="1754"/>
      <c r="V439" s="1754"/>
      <c r="W439" s="1754"/>
      <c r="X439" s="1754"/>
      <c r="Y439" s="1754"/>
      <c r="Z439" s="1754"/>
      <c r="AA439" s="1754"/>
      <c r="AB439" s="1754"/>
      <c r="AC439" s="1754"/>
      <c r="AD439" s="1754"/>
      <c r="AE439" s="1754"/>
      <c r="AF439" s="598"/>
      <c r="AG439" s="598"/>
      <c r="AH439" s="598"/>
      <c r="AI439" s="598"/>
      <c r="AJ439" s="598"/>
      <c r="AK439" s="598"/>
      <c r="AL439" s="620"/>
      <c r="AM439"/>
      <c r="AN439" s="241"/>
    </row>
    <row r="440" spans="1:60" s="4" customFormat="1" ht="12.75" customHeight="1">
      <c r="A440" s="37"/>
      <c r="B440" s="21"/>
      <c r="C440" s="604"/>
      <c r="D440" s="21"/>
      <c r="E440" s="168"/>
      <c r="F440" s="1594"/>
      <c r="G440" s="1594"/>
      <c r="H440" s="1594"/>
      <c r="I440" s="1594"/>
      <c r="J440" s="1594"/>
      <c r="K440" s="1594"/>
      <c r="L440" s="1594"/>
      <c r="M440" s="1594"/>
      <c r="N440" s="1594"/>
      <c r="O440" s="1594"/>
      <c r="P440" s="1594"/>
      <c r="Q440" s="1594"/>
      <c r="R440" s="1594"/>
      <c r="S440" s="1594"/>
      <c r="T440" s="1594"/>
      <c r="U440" s="1594"/>
      <c r="V440" s="1594"/>
      <c r="W440" s="1594"/>
      <c r="X440" s="1594"/>
      <c r="Y440" s="1594"/>
      <c r="Z440" s="1594"/>
      <c r="AA440" s="1594"/>
      <c r="AB440" s="1594"/>
      <c r="AC440" s="1594"/>
      <c r="AD440" s="1594"/>
      <c r="AE440" s="1594"/>
      <c r="AF440" s="3"/>
      <c r="AG440" s="37"/>
      <c r="AL440" s="605"/>
      <c r="AM440"/>
      <c r="AN440" s="241"/>
    </row>
    <row r="441" spans="1:60" s="4" customFormat="1" ht="12.6" customHeight="1">
      <c r="A441" s="37"/>
      <c r="B441" s="21"/>
      <c r="C441" s="604"/>
      <c r="D441" s="21"/>
      <c r="E441" s="168"/>
      <c r="F441" s="1594"/>
      <c r="G441" s="1594"/>
      <c r="H441" s="1594"/>
      <c r="I441" s="1594"/>
      <c r="J441" s="1594"/>
      <c r="K441" s="1594"/>
      <c r="L441" s="1594"/>
      <c r="M441" s="1594"/>
      <c r="N441" s="1594"/>
      <c r="O441" s="1594"/>
      <c r="P441" s="1594"/>
      <c r="Q441" s="1594"/>
      <c r="R441" s="1594"/>
      <c r="S441" s="1594"/>
      <c r="T441" s="1594"/>
      <c r="U441" s="1594"/>
      <c r="V441" s="1594"/>
      <c r="W441" s="1594"/>
      <c r="X441" s="1594"/>
      <c r="Y441" s="1594"/>
      <c r="Z441" s="1594"/>
      <c r="AA441" s="1594"/>
      <c r="AB441" s="1594"/>
      <c r="AC441" s="1594"/>
      <c r="AD441" s="1594"/>
      <c r="AE441" s="1594"/>
      <c r="AL441" s="605"/>
      <c r="AM441"/>
      <c r="AN441" s="241"/>
    </row>
    <row r="442" spans="1:60" s="4" customFormat="1" ht="12.75" customHeight="1">
      <c r="A442" s="37"/>
      <c r="B442" s="21"/>
      <c r="C442" s="1753" t="s">
        <v>765</v>
      </c>
      <c r="D442" s="1065"/>
      <c r="E442" s="168"/>
      <c r="F442" s="284" t="s">
        <v>2057</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58" t="s">
        <v>2033</v>
      </c>
      <c r="AG442" s="1558"/>
      <c r="AH442" s="1558"/>
      <c r="AI442" s="1558"/>
      <c r="AJ442" s="1558"/>
      <c r="AK442" s="1558"/>
      <c r="AL442" s="1559"/>
      <c r="AM442"/>
      <c r="AN442" s="241"/>
    </row>
    <row r="443" spans="1:60" s="4" customFormat="1" ht="12.75" customHeight="1">
      <c r="A443" s="37"/>
      <c r="B443" s="21"/>
      <c r="C443" s="723"/>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2"/>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2058</v>
      </c>
      <c r="F445" s="1754" t="s">
        <v>2059</v>
      </c>
      <c r="G445" s="1754"/>
      <c r="H445" s="1754"/>
      <c r="I445" s="1754"/>
      <c r="J445" s="1754"/>
      <c r="K445" s="1754"/>
      <c r="L445" s="1754"/>
      <c r="M445" s="1754"/>
      <c r="N445" s="1754"/>
      <c r="O445" s="1754"/>
      <c r="P445" s="1754"/>
      <c r="Q445" s="1754"/>
      <c r="R445" s="1754"/>
      <c r="S445" s="1754"/>
      <c r="T445" s="1754"/>
      <c r="U445" s="1754"/>
      <c r="V445" s="1754"/>
      <c r="W445" s="1754"/>
      <c r="X445" s="1754"/>
      <c r="Y445" s="1754"/>
      <c r="Z445" s="1754"/>
      <c r="AA445" s="1754"/>
      <c r="AB445" s="1754"/>
      <c r="AC445" s="1754"/>
      <c r="AD445" s="1754"/>
      <c r="AE445" s="1754"/>
      <c r="AF445" s="617"/>
      <c r="AG445" s="617"/>
      <c r="AH445" s="617"/>
      <c r="AI445" s="617"/>
      <c r="AJ445" s="617"/>
      <c r="AK445" s="617"/>
      <c r="AL445" s="618"/>
      <c r="AM445"/>
      <c r="AO445" s="4"/>
      <c r="AP445" s="4"/>
      <c r="BD445" s="21"/>
      <c r="BE445" s="21"/>
      <c r="BF445" s="21"/>
      <c r="BG445" s="21"/>
      <c r="BH445" s="21"/>
    </row>
    <row r="446" spans="1:60">
      <c r="A446" s="37"/>
      <c r="C446" s="604"/>
      <c r="E446" s="168"/>
      <c r="F446" s="1594"/>
      <c r="G446" s="1594"/>
      <c r="H446" s="1594"/>
      <c r="I446" s="1594"/>
      <c r="J446" s="1594"/>
      <c r="K446" s="1594"/>
      <c r="L446" s="1594"/>
      <c r="M446" s="1594"/>
      <c r="N446" s="1594"/>
      <c r="O446" s="1594"/>
      <c r="P446" s="1594"/>
      <c r="Q446" s="1594"/>
      <c r="R446" s="1594"/>
      <c r="S446" s="1594"/>
      <c r="T446" s="1594"/>
      <c r="U446" s="1594"/>
      <c r="V446" s="1594"/>
      <c r="W446" s="1594"/>
      <c r="X446" s="1594"/>
      <c r="Y446" s="1594"/>
      <c r="Z446" s="1594"/>
      <c r="AA446" s="1594"/>
      <c r="AB446" s="1594"/>
      <c r="AC446" s="1594"/>
      <c r="AD446" s="1594"/>
      <c r="AE446" s="1594"/>
      <c r="AF446" s="86"/>
      <c r="AG446" s="86"/>
      <c r="AH446" s="86"/>
      <c r="AI446" s="86"/>
      <c r="AJ446" s="86"/>
      <c r="AK446" s="86"/>
      <c r="AL446" s="678"/>
      <c r="AM446"/>
      <c r="AO446" s="4"/>
      <c r="AP446" s="4"/>
    </row>
    <row r="447" spans="1:60" s="4" customFormat="1" ht="12.75" customHeight="1">
      <c r="A447" s="37"/>
      <c r="B447" s="21"/>
      <c r="C447" s="604"/>
      <c r="D447" s="21"/>
      <c r="E447" s="168"/>
      <c r="F447" s="1594"/>
      <c r="G447" s="1594"/>
      <c r="H447" s="1594"/>
      <c r="I447" s="1594"/>
      <c r="J447" s="1594"/>
      <c r="K447" s="1594"/>
      <c r="L447" s="1594"/>
      <c r="M447" s="1594"/>
      <c r="N447" s="1594"/>
      <c r="O447" s="1594"/>
      <c r="P447" s="1594"/>
      <c r="Q447" s="1594"/>
      <c r="R447" s="1594"/>
      <c r="S447" s="1594"/>
      <c r="T447" s="1594"/>
      <c r="U447" s="1594"/>
      <c r="V447" s="1594"/>
      <c r="W447" s="1594"/>
      <c r="X447" s="1594"/>
      <c r="Y447" s="1594"/>
      <c r="Z447" s="1594"/>
      <c r="AA447" s="1594"/>
      <c r="AB447" s="1594"/>
      <c r="AC447" s="1594"/>
      <c r="AD447" s="1594"/>
      <c r="AE447" s="1594"/>
      <c r="AF447" s="86"/>
      <c r="AG447" s="86"/>
      <c r="AH447" s="86"/>
      <c r="AI447" s="86"/>
      <c r="AJ447" s="86"/>
      <c r="AK447" s="86"/>
      <c r="AL447" s="678"/>
      <c r="AM447"/>
      <c r="AN447" s="241"/>
    </row>
    <row r="448" spans="1:60" s="4" customFormat="1" ht="12.75" customHeight="1">
      <c r="A448" s="37"/>
      <c r="B448" s="21"/>
      <c r="C448" s="621"/>
      <c r="D448" s="1"/>
      <c r="E448" s="189"/>
      <c r="F448" s="1594"/>
      <c r="G448" s="1594"/>
      <c r="H448" s="1594"/>
      <c r="I448" s="1594"/>
      <c r="J448" s="1594"/>
      <c r="K448" s="1594"/>
      <c r="L448" s="1594"/>
      <c r="M448" s="1594"/>
      <c r="N448" s="1594"/>
      <c r="O448" s="1594"/>
      <c r="P448" s="1594"/>
      <c r="Q448" s="1594"/>
      <c r="R448" s="1594"/>
      <c r="S448" s="1594"/>
      <c r="T448" s="1594"/>
      <c r="U448" s="1594"/>
      <c r="V448" s="1594"/>
      <c r="W448" s="1594"/>
      <c r="X448" s="1594"/>
      <c r="Y448" s="1594"/>
      <c r="Z448" s="1594"/>
      <c r="AA448" s="1594"/>
      <c r="AB448" s="1594"/>
      <c r="AC448" s="1594"/>
      <c r="AD448" s="1594"/>
      <c r="AE448" s="1594"/>
      <c r="AF448" s="86"/>
      <c r="AG448" s="86"/>
      <c r="AH448" s="86"/>
      <c r="AI448" s="86"/>
      <c r="AJ448" s="86"/>
      <c r="AK448" s="86"/>
      <c r="AL448" s="678"/>
      <c r="AM448"/>
      <c r="AN448" s="241"/>
      <c r="AO448" s="34"/>
      <c r="AP448" s="21"/>
    </row>
    <row r="449" spans="1:49" s="4" customFormat="1" ht="12.75" customHeight="1">
      <c r="A449" s="37"/>
      <c r="B449" s="21"/>
      <c r="C449" s="621"/>
      <c r="D449" s="1"/>
      <c r="E449" s="189"/>
      <c r="F449" s="1594"/>
      <c r="G449" s="1594"/>
      <c r="H449" s="1594"/>
      <c r="I449" s="1594"/>
      <c r="J449" s="1594"/>
      <c r="K449" s="1594"/>
      <c r="L449" s="1594"/>
      <c r="M449" s="1594"/>
      <c r="N449" s="1594"/>
      <c r="O449" s="1594"/>
      <c r="P449" s="1594"/>
      <c r="Q449" s="1594"/>
      <c r="R449" s="1594"/>
      <c r="S449" s="1594"/>
      <c r="T449" s="1594"/>
      <c r="U449" s="1594"/>
      <c r="V449" s="1594"/>
      <c r="W449" s="1594"/>
      <c r="X449" s="1594"/>
      <c r="Y449" s="1594"/>
      <c r="Z449" s="1594"/>
      <c r="AA449" s="1594"/>
      <c r="AB449" s="1594"/>
      <c r="AC449" s="1594"/>
      <c r="AD449" s="1594"/>
      <c r="AE449" s="1594"/>
      <c r="AF449" s="86"/>
      <c r="AG449" s="86"/>
      <c r="AH449" s="86"/>
      <c r="AI449" s="86"/>
      <c r="AJ449" s="86"/>
      <c r="AK449" s="86"/>
      <c r="AL449" s="678"/>
      <c r="AM449"/>
      <c r="AN449" s="241"/>
    </row>
    <row r="450" spans="1:49" s="4" customFormat="1" ht="12.75" customHeight="1">
      <c r="A450" s="37"/>
      <c r="B450" s="21"/>
      <c r="C450" s="621"/>
      <c r="D450" s="1"/>
      <c r="E450" s="189"/>
      <c r="F450" s="1594"/>
      <c r="G450" s="1594"/>
      <c r="H450" s="1594"/>
      <c r="I450" s="1594"/>
      <c r="J450" s="1594"/>
      <c r="K450" s="1594"/>
      <c r="L450" s="1594"/>
      <c r="M450" s="1594"/>
      <c r="N450" s="1594"/>
      <c r="O450" s="1594"/>
      <c r="P450" s="1594"/>
      <c r="Q450" s="1594"/>
      <c r="R450" s="1594"/>
      <c r="S450" s="1594"/>
      <c r="T450" s="1594"/>
      <c r="U450" s="1594"/>
      <c r="V450" s="1594"/>
      <c r="W450" s="1594"/>
      <c r="X450" s="1594"/>
      <c r="Y450" s="1594"/>
      <c r="Z450" s="1594"/>
      <c r="AA450" s="1594"/>
      <c r="AB450" s="1594"/>
      <c r="AC450" s="1594"/>
      <c r="AD450" s="1594"/>
      <c r="AE450" s="1594"/>
      <c r="AF450" s="86"/>
      <c r="AG450" s="86"/>
      <c r="AH450" s="86"/>
      <c r="AI450" s="86"/>
      <c r="AJ450" s="86"/>
      <c r="AK450" s="86"/>
      <c r="AL450" s="678"/>
      <c r="AM450"/>
      <c r="AN450" s="241"/>
    </row>
    <row r="451" spans="1:49" s="4" customFormat="1" ht="12.75" customHeight="1">
      <c r="A451" s="37"/>
      <c r="B451" s="21"/>
      <c r="C451" s="621"/>
      <c r="D451" s="1"/>
      <c r="E451" s="189"/>
      <c r="F451" s="1594"/>
      <c r="G451" s="1594"/>
      <c r="H451" s="1594"/>
      <c r="I451" s="1594"/>
      <c r="J451" s="1594"/>
      <c r="K451" s="1594"/>
      <c r="L451" s="1594"/>
      <c r="M451" s="1594"/>
      <c r="N451" s="1594"/>
      <c r="O451" s="1594"/>
      <c r="P451" s="1594"/>
      <c r="Q451" s="1594"/>
      <c r="R451" s="1594"/>
      <c r="S451" s="1594"/>
      <c r="T451" s="1594"/>
      <c r="U451" s="1594"/>
      <c r="V451" s="1594"/>
      <c r="W451" s="1594"/>
      <c r="X451" s="1594"/>
      <c r="Y451" s="1594"/>
      <c r="Z451" s="1594"/>
      <c r="AA451" s="1594"/>
      <c r="AB451" s="1594"/>
      <c r="AC451" s="1594"/>
      <c r="AD451" s="1594"/>
      <c r="AE451" s="1594"/>
      <c r="AF451" s="86"/>
      <c r="AG451" s="86"/>
      <c r="AH451" s="86"/>
      <c r="AI451" s="86"/>
      <c r="AJ451" s="86"/>
      <c r="AK451" s="86"/>
      <c r="AL451" s="678"/>
      <c r="AM451"/>
      <c r="AN451" s="241"/>
    </row>
    <row r="452" spans="1:49" s="4" customFormat="1" ht="12.75" customHeight="1">
      <c r="A452" s="37"/>
      <c r="B452" s="21"/>
      <c r="C452" s="621"/>
      <c r="D452" s="1"/>
      <c r="E452" s="189"/>
      <c r="F452" s="1594"/>
      <c r="G452" s="1594"/>
      <c r="H452" s="1594"/>
      <c r="I452" s="1594"/>
      <c r="J452" s="1594"/>
      <c r="K452" s="1594"/>
      <c r="L452" s="1594"/>
      <c r="M452" s="1594"/>
      <c r="N452" s="1594"/>
      <c r="O452" s="1594"/>
      <c r="P452" s="1594"/>
      <c r="Q452" s="1594"/>
      <c r="R452" s="1594"/>
      <c r="S452" s="1594"/>
      <c r="T452" s="1594"/>
      <c r="U452" s="1594"/>
      <c r="V452" s="1594"/>
      <c r="W452" s="1594"/>
      <c r="X452" s="1594"/>
      <c r="Y452" s="1594"/>
      <c r="Z452" s="1594"/>
      <c r="AA452" s="1594"/>
      <c r="AB452" s="1594"/>
      <c r="AC452" s="1594"/>
      <c r="AD452" s="1594"/>
      <c r="AE452" s="1594"/>
      <c r="AF452" s="86"/>
      <c r="AG452" s="86"/>
      <c r="AH452" s="86"/>
      <c r="AI452" s="86"/>
      <c r="AJ452" s="86"/>
      <c r="AK452" s="86"/>
      <c r="AL452" s="678"/>
      <c r="AM452"/>
      <c r="AN452" s="241"/>
    </row>
    <row r="453" spans="1:49" s="4" customFormat="1" ht="17.25" customHeight="1">
      <c r="A453" s="37"/>
      <c r="B453" s="21"/>
      <c r="C453" s="621"/>
      <c r="D453" s="1"/>
      <c r="E453" s="189"/>
      <c r="F453" s="1594"/>
      <c r="G453" s="1594"/>
      <c r="H453" s="1594"/>
      <c r="I453" s="1594"/>
      <c r="J453" s="1594"/>
      <c r="K453" s="1594"/>
      <c r="L453" s="1594"/>
      <c r="M453" s="1594"/>
      <c r="N453" s="1594"/>
      <c r="O453" s="1594"/>
      <c r="P453" s="1594"/>
      <c r="Q453" s="1594"/>
      <c r="R453" s="1594"/>
      <c r="S453" s="1594"/>
      <c r="T453" s="1594"/>
      <c r="U453" s="1594"/>
      <c r="V453" s="1594"/>
      <c r="W453" s="1594"/>
      <c r="X453" s="1594"/>
      <c r="Y453" s="1594"/>
      <c r="Z453" s="1594"/>
      <c r="AA453" s="1594"/>
      <c r="AB453" s="1594"/>
      <c r="AC453" s="1594"/>
      <c r="AD453" s="1594"/>
      <c r="AE453" s="1594"/>
      <c r="AL453" s="605"/>
      <c r="AM453"/>
      <c r="AN453" s="241"/>
    </row>
    <row r="454" spans="1:49" s="4" customFormat="1" ht="12.75" customHeight="1">
      <c r="A454" s="37"/>
      <c r="B454" s="21"/>
      <c r="C454" s="1753" t="s">
        <v>765</v>
      </c>
      <c r="D454" s="1065"/>
      <c r="E454" s="189"/>
      <c r="F454" s="20" t="s">
        <v>2060</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58" t="s">
        <v>2033</v>
      </c>
      <c r="AG454" s="1558"/>
      <c r="AH454" s="1558"/>
      <c r="AI454" s="1558"/>
      <c r="AJ454" s="1558"/>
      <c r="AK454" s="1558"/>
      <c r="AL454" s="1559"/>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2061</v>
      </c>
      <c r="F457" s="1754" t="s">
        <v>2062</v>
      </c>
      <c r="G457" s="1754"/>
      <c r="H457" s="1754"/>
      <c r="I457" s="1754"/>
      <c r="J457" s="1754"/>
      <c r="K457" s="1754"/>
      <c r="L457" s="1754"/>
      <c r="M457" s="1754"/>
      <c r="N457" s="1754"/>
      <c r="O457" s="1754"/>
      <c r="P457" s="1754"/>
      <c r="Q457" s="1754"/>
      <c r="R457" s="1754"/>
      <c r="S457" s="1754"/>
      <c r="T457" s="1754"/>
      <c r="U457" s="1754"/>
      <c r="V457" s="1754"/>
      <c r="W457" s="1754"/>
      <c r="X457" s="1754"/>
      <c r="Y457" s="1754"/>
      <c r="Z457" s="1754"/>
      <c r="AA457" s="1754"/>
      <c r="AB457" s="1754"/>
      <c r="AC457" s="1754"/>
      <c r="AD457" s="1754"/>
      <c r="AE457" s="1754"/>
      <c r="AF457" s="598"/>
      <c r="AG457" s="598"/>
      <c r="AH457" s="598"/>
      <c r="AI457" s="598"/>
      <c r="AJ457" s="598"/>
      <c r="AK457" s="598"/>
      <c r="AL457" s="620"/>
      <c r="AM457"/>
      <c r="AN457" s="241"/>
    </row>
    <row r="458" spans="1:49" s="4" customFormat="1" ht="12.75" customHeight="1">
      <c r="A458" s="37"/>
      <c r="B458" s="21"/>
      <c r="C458" s="621"/>
      <c r="D458" s="1"/>
      <c r="E458" s="189"/>
      <c r="F458" s="1594"/>
      <c r="G458" s="1594"/>
      <c r="H458" s="1594"/>
      <c r="I458" s="1594"/>
      <c r="J458" s="1594"/>
      <c r="K458" s="1594"/>
      <c r="L458" s="1594"/>
      <c r="M458" s="1594"/>
      <c r="N458" s="1594"/>
      <c r="O458" s="1594"/>
      <c r="P458" s="1594"/>
      <c r="Q458" s="1594"/>
      <c r="R458" s="1594"/>
      <c r="S458" s="1594"/>
      <c r="T458" s="1594"/>
      <c r="U458" s="1594"/>
      <c r="V458" s="1594"/>
      <c r="W458" s="1594"/>
      <c r="X458" s="1594"/>
      <c r="Y458" s="1594"/>
      <c r="Z458" s="1594"/>
      <c r="AA458" s="1594"/>
      <c r="AB458" s="1594"/>
      <c r="AC458" s="1594"/>
      <c r="AD458" s="1594"/>
      <c r="AE458" s="1594"/>
      <c r="AF458" s="18"/>
      <c r="AG458" s="18"/>
      <c r="AH458" s="18"/>
      <c r="AI458" s="18"/>
      <c r="AJ458" s="18"/>
      <c r="AK458" s="18"/>
      <c r="AL458" s="675"/>
      <c r="AM458"/>
      <c r="AN458" s="241"/>
    </row>
    <row r="459" spans="1:49" s="4" customFormat="1" ht="12.75" customHeight="1">
      <c r="A459" s="37"/>
      <c r="B459" s="21"/>
      <c r="C459" s="621"/>
      <c r="D459" s="1"/>
      <c r="E459" s="189"/>
      <c r="F459" s="1594"/>
      <c r="G459" s="1594"/>
      <c r="H459" s="1594"/>
      <c r="I459" s="1594"/>
      <c r="J459" s="1594"/>
      <c r="K459" s="1594"/>
      <c r="L459" s="1594"/>
      <c r="M459" s="1594"/>
      <c r="N459" s="1594"/>
      <c r="O459" s="1594"/>
      <c r="P459" s="1594"/>
      <c r="Q459" s="1594"/>
      <c r="R459" s="1594"/>
      <c r="S459" s="1594"/>
      <c r="T459" s="1594"/>
      <c r="U459" s="1594"/>
      <c r="V459" s="1594"/>
      <c r="W459" s="1594"/>
      <c r="X459" s="1594"/>
      <c r="Y459" s="1594"/>
      <c r="Z459" s="1594"/>
      <c r="AA459" s="1594"/>
      <c r="AB459" s="1594"/>
      <c r="AC459" s="1594"/>
      <c r="AD459" s="1594"/>
      <c r="AE459" s="1594"/>
      <c r="AF459" s="18"/>
      <c r="AG459" s="18"/>
      <c r="AH459" s="18"/>
      <c r="AI459" s="18"/>
      <c r="AJ459" s="18"/>
      <c r="AK459" s="18"/>
      <c r="AL459" s="675"/>
      <c r="AM459"/>
      <c r="AN459" s="241"/>
    </row>
    <row r="460" spans="1:49" s="4" customFormat="1" ht="12.75" customHeight="1">
      <c r="A460" s="37"/>
      <c r="B460" s="21"/>
      <c r="C460" s="621"/>
      <c r="D460" s="1"/>
      <c r="E460" s="189"/>
      <c r="F460" s="1594"/>
      <c r="G460" s="1594"/>
      <c r="H460" s="1594"/>
      <c r="I460" s="1594"/>
      <c r="J460" s="1594"/>
      <c r="K460" s="1594"/>
      <c r="L460" s="1594"/>
      <c r="M460" s="1594"/>
      <c r="N460" s="1594"/>
      <c r="O460" s="1594"/>
      <c r="P460" s="1594"/>
      <c r="Q460" s="1594"/>
      <c r="R460" s="1594"/>
      <c r="S460" s="1594"/>
      <c r="T460" s="1594"/>
      <c r="U460" s="1594"/>
      <c r="V460" s="1594"/>
      <c r="W460" s="1594"/>
      <c r="X460" s="1594"/>
      <c r="Y460" s="1594"/>
      <c r="Z460" s="1594"/>
      <c r="AA460" s="1594"/>
      <c r="AB460" s="1594"/>
      <c r="AC460" s="1594"/>
      <c r="AD460" s="1594"/>
      <c r="AE460" s="1594"/>
      <c r="AL460" s="605"/>
      <c r="AM460"/>
      <c r="AN460" s="241"/>
    </row>
    <row r="461" spans="1:49" s="4" customFormat="1" ht="12.75" customHeight="1">
      <c r="A461" s="37"/>
      <c r="B461" s="21"/>
      <c r="C461" s="1753" t="s">
        <v>326</v>
      </c>
      <c r="D461" s="1065"/>
      <c r="E461" s="189"/>
      <c r="F461" s="284" t="s">
        <v>2063</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58" t="s">
        <v>2033</v>
      </c>
      <c r="AG461" s="1558"/>
      <c r="AH461" s="1558"/>
      <c r="AI461" s="1558"/>
      <c r="AJ461" s="1558"/>
      <c r="AK461" s="1558"/>
      <c r="AL461" s="1559"/>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2042</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3"/>
      <c r="AF463" s="612"/>
      <c r="AG463" s="923"/>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775" t="s">
        <v>326</v>
      </c>
      <c r="D465" s="1776"/>
      <c r="E465" s="599" t="s">
        <v>2064</v>
      </c>
      <c r="F465" s="1754" t="s">
        <v>2065</v>
      </c>
      <c r="G465" s="1754"/>
      <c r="H465" s="1754"/>
      <c r="I465" s="1754"/>
      <c r="J465" s="1754"/>
      <c r="K465" s="1754"/>
      <c r="L465" s="1754"/>
      <c r="M465" s="1754"/>
      <c r="N465" s="1754"/>
      <c r="O465" s="1754"/>
      <c r="P465" s="1754"/>
      <c r="Q465" s="1754"/>
      <c r="R465" s="1754"/>
      <c r="S465" s="1754"/>
      <c r="T465" s="1754"/>
      <c r="U465" s="1754"/>
      <c r="V465" s="1754"/>
      <c r="W465" s="1754"/>
      <c r="X465" s="1754"/>
      <c r="Y465" s="1754"/>
      <c r="Z465" s="1754"/>
      <c r="AA465" s="1754"/>
      <c r="AB465" s="1754"/>
      <c r="AC465" s="1754"/>
      <c r="AD465" s="1754"/>
      <c r="AE465" s="1754"/>
      <c r="AF465" s="1788" t="s">
        <v>2033</v>
      </c>
      <c r="AG465" s="1788"/>
      <c r="AH465" s="1788"/>
      <c r="AI465" s="1788"/>
      <c r="AJ465" s="1788"/>
      <c r="AK465" s="1788"/>
      <c r="AL465" s="1789"/>
      <c r="AM465"/>
      <c r="AN465" s="575"/>
      <c r="AQ465" s="142"/>
    </row>
    <row r="466" spans="1:54" s="4" customFormat="1" ht="12.75" customHeight="1">
      <c r="A466" s="37"/>
      <c r="B466" s="21"/>
      <c r="C466" s="621"/>
      <c r="D466" s="1"/>
      <c r="E466" s="189"/>
      <c r="F466" s="1594"/>
      <c r="G466" s="1594"/>
      <c r="H466" s="1594"/>
      <c r="I466" s="1594"/>
      <c r="J466" s="1594"/>
      <c r="K466" s="1594"/>
      <c r="L466" s="1594"/>
      <c r="M466" s="1594"/>
      <c r="N466" s="1594"/>
      <c r="O466" s="1594"/>
      <c r="P466" s="1594"/>
      <c r="Q466" s="1594"/>
      <c r="R466" s="1594"/>
      <c r="S466" s="1594"/>
      <c r="T466" s="1594"/>
      <c r="U466" s="1594"/>
      <c r="V466" s="1594"/>
      <c r="W466" s="1594"/>
      <c r="X466" s="1594"/>
      <c r="Y466" s="1594"/>
      <c r="Z466" s="1594"/>
      <c r="AA466" s="1594"/>
      <c r="AB466" s="1594"/>
      <c r="AC466" s="1594"/>
      <c r="AD466" s="1594"/>
      <c r="AE466" s="1594"/>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777"/>
      <c r="G467" s="1777"/>
      <c r="H467" s="1777"/>
      <c r="I467" s="1777"/>
      <c r="J467" s="1777"/>
      <c r="K467" s="1777"/>
      <c r="L467" s="1777"/>
      <c r="M467" s="1777"/>
      <c r="N467" s="1777"/>
      <c r="O467" s="1777"/>
      <c r="P467" s="1777"/>
      <c r="Q467" s="1777"/>
      <c r="R467" s="1777"/>
      <c r="S467" s="1777"/>
      <c r="T467" s="1777"/>
      <c r="U467" s="1777"/>
      <c r="V467" s="1777"/>
      <c r="W467" s="1777"/>
      <c r="X467" s="1777"/>
      <c r="Y467" s="1777"/>
      <c r="Z467" s="1777"/>
      <c r="AA467" s="1777"/>
      <c r="AB467" s="1777"/>
      <c r="AC467" s="1777"/>
      <c r="AD467" s="1777"/>
      <c r="AE467" s="1777"/>
      <c r="AF467" s="676"/>
      <c r="AG467" s="676"/>
      <c r="AH467" s="676"/>
      <c r="AI467" s="676"/>
      <c r="AJ467" s="676"/>
      <c r="AK467" s="676"/>
      <c r="AL467" s="677"/>
      <c r="AM467"/>
      <c r="AN467" s="913"/>
      <c r="AO467" s="4" t="s">
        <v>2066</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3"/>
      <c r="AO468" s="4" t="s">
        <v>2067</v>
      </c>
      <c r="AP468" s="4">
        <v>5</v>
      </c>
      <c r="AQ468" s="142"/>
    </row>
    <row r="469" spans="1:54" s="4" customFormat="1" ht="12.75" customHeight="1">
      <c r="A469" s="37"/>
      <c r="B469" s="21"/>
      <c r="C469" s="1775" t="s">
        <v>326</v>
      </c>
      <c r="D469" s="1776"/>
      <c r="E469" s="599" t="s">
        <v>2068</v>
      </c>
      <c r="F469" s="1754" t="s">
        <v>2069</v>
      </c>
      <c r="G469" s="1754"/>
      <c r="H469" s="1754"/>
      <c r="I469" s="1754"/>
      <c r="J469" s="1754"/>
      <c r="K469" s="1754"/>
      <c r="L469" s="1754"/>
      <c r="M469" s="1754"/>
      <c r="N469" s="1754"/>
      <c r="O469" s="1754"/>
      <c r="P469" s="1754"/>
      <c r="Q469" s="1754"/>
      <c r="R469" s="1754"/>
      <c r="S469" s="1754"/>
      <c r="T469" s="1754"/>
      <c r="U469" s="1754"/>
      <c r="V469" s="1754"/>
      <c r="W469" s="1754"/>
      <c r="X469" s="1754"/>
      <c r="Y469" s="1754"/>
      <c r="Z469" s="1754"/>
      <c r="AA469" s="1754"/>
      <c r="AB469" s="1754"/>
      <c r="AC469" s="1754"/>
      <c r="AD469" s="1754"/>
      <c r="AE469" s="1754"/>
      <c r="AF469" s="1788" t="s">
        <v>2033</v>
      </c>
      <c r="AG469" s="1788"/>
      <c r="AH469" s="1788"/>
      <c r="AI469" s="1788"/>
      <c r="AJ469" s="1788"/>
      <c r="AK469" s="1788"/>
      <c r="AL469" s="1789"/>
      <c r="AM469"/>
      <c r="AN469" s="913"/>
      <c r="AO469" s="4" t="s">
        <v>2070</v>
      </c>
      <c r="AP469" s="4">
        <v>5</v>
      </c>
      <c r="AQ469" s="37"/>
    </row>
    <row r="470" spans="1:54" s="4" customFormat="1" ht="12.75" customHeight="1">
      <c r="A470" s="37"/>
      <c r="B470" s="21"/>
      <c r="C470" s="604"/>
      <c r="D470" s="21"/>
      <c r="E470" s="168"/>
      <c r="F470" s="1594"/>
      <c r="G470" s="1594"/>
      <c r="H470" s="1594"/>
      <c r="I470" s="1594"/>
      <c r="J470" s="1594"/>
      <c r="K470" s="1594"/>
      <c r="L470" s="1594"/>
      <c r="M470" s="1594"/>
      <c r="N470" s="1594"/>
      <c r="O470" s="1594"/>
      <c r="P470" s="1594"/>
      <c r="Q470" s="1594"/>
      <c r="R470" s="1594"/>
      <c r="S470" s="1594"/>
      <c r="T470" s="1594"/>
      <c r="U470" s="1594"/>
      <c r="V470" s="1594"/>
      <c r="W470" s="1594"/>
      <c r="X470" s="1594"/>
      <c r="Y470" s="1594"/>
      <c r="Z470" s="1594"/>
      <c r="AA470" s="1594"/>
      <c r="AB470" s="1594"/>
      <c r="AC470" s="1594"/>
      <c r="AD470" s="1594"/>
      <c r="AE470" s="1594"/>
      <c r="AF470" s="3"/>
      <c r="AG470" s="37"/>
      <c r="AL470" s="605"/>
      <c r="AM470"/>
      <c r="AN470" s="913"/>
      <c r="AO470" s="4" t="s">
        <v>2071</v>
      </c>
      <c r="AP470" s="4">
        <v>5</v>
      </c>
    </row>
    <row r="471" spans="1:54" s="4" customFormat="1" ht="12.75" customHeight="1">
      <c r="A471" s="37"/>
      <c r="B471" s="21"/>
      <c r="C471" s="604"/>
      <c r="D471" s="21"/>
      <c r="E471" s="168"/>
      <c r="F471" s="1594"/>
      <c r="G471" s="1594"/>
      <c r="H471" s="1594"/>
      <c r="I471" s="1594"/>
      <c r="J471" s="1594"/>
      <c r="K471" s="1594"/>
      <c r="L471" s="1594"/>
      <c r="M471" s="1594"/>
      <c r="N471" s="1594"/>
      <c r="O471" s="1594"/>
      <c r="P471" s="1594"/>
      <c r="Q471" s="1594"/>
      <c r="R471" s="1594"/>
      <c r="S471" s="1594"/>
      <c r="T471" s="1594"/>
      <c r="U471" s="1594"/>
      <c r="V471" s="1594"/>
      <c r="W471" s="1594"/>
      <c r="X471" s="1594"/>
      <c r="Y471" s="1594"/>
      <c r="Z471" s="1594"/>
      <c r="AA471" s="1594"/>
      <c r="AB471" s="1594"/>
      <c r="AC471" s="1594"/>
      <c r="AD471" s="1594"/>
      <c r="AE471" s="1594"/>
      <c r="AF471" s="3"/>
      <c r="AG471" s="37"/>
      <c r="AL471" s="605"/>
      <c r="AM471"/>
      <c r="AN471" s="913"/>
      <c r="AO471" s="4" t="s">
        <v>2072</v>
      </c>
      <c r="AP471" s="4">
        <v>5</v>
      </c>
    </row>
    <row r="472" spans="1:54" s="4" customFormat="1" ht="4.5" customHeight="1">
      <c r="A472" s="37"/>
      <c r="B472" s="21"/>
      <c r="C472" s="600"/>
      <c r="D472" s="601"/>
      <c r="E472" s="602"/>
      <c r="F472" s="1777"/>
      <c r="G472" s="1777"/>
      <c r="H472" s="1777"/>
      <c r="I472" s="1777"/>
      <c r="J472" s="1777"/>
      <c r="K472" s="1777"/>
      <c r="L472" s="1777"/>
      <c r="M472" s="1777"/>
      <c r="N472" s="1777"/>
      <c r="O472" s="1777"/>
      <c r="P472" s="1777"/>
      <c r="Q472" s="1777"/>
      <c r="R472" s="1777"/>
      <c r="S472" s="1777"/>
      <c r="T472" s="1777"/>
      <c r="U472" s="1777"/>
      <c r="V472" s="1777"/>
      <c r="W472" s="1777"/>
      <c r="X472" s="1777"/>
      <c r="Y472" s="1777"/>
      <c r="Z472" s="1777"/>
      <c r="AA472" s="1777"/>
      <c r="AB472" s="1777"/>
      <c r="AC472" s="1777"/>
      <c r="AD472" s="1777"/>
      <c r="AE472" s="1777"/>
      <c r="AF472" s="676"/>
      <c r="AG472" s="676"/>
      <c r="AH472" s="676"/>
      <c r="AI472" s="676"/>
      <c r="AJ472" s="676"/>
      <c r="AK472" s="676"/>
      <c r="AL472" s="677"/>
      <c r="AM472"/>
      <c r="AN472" s="241"/>
      <c r="AO472" s="4" t="s">
        <v>2073</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2074</v>
      </c>
      <c r="AP473" s="4">
        <v>5</v>
      </c>
    </row>
    <row r="474" spans="1:54" s="4" customFormat="1" ht="12.75" customHeight="1">
      <c r="A474" s="37"/>
      <c r="B474" s="21"/>
      <c r="C474" s="597"/>
      <c r="D474" s="598"/>
      <c r="E474" s="599" t="s">
        <v>2075</v>
      </c>
      <c r="F474" s="1754" t="s">
        <v>2076</v>
      </c>
      <c r="G474" s="1754"/>
      <c r="H474" s="1754"/>
      <c r="I474" s="1754"/>
      <c r="J474" s="1754"/>
      <c r="K474" s="1754"/>
      <c r="L474" s="1754"/>
      <c r="M474" s="1754"/>
      <c r="N474" s="1754"/>
      <c r="O474" s="1754"/>
      <c r="P474" s="1754"/>
      <c r="Q474" s="1754"/>
      <c r="R474" s="1754"/>
      <c r="S474" s="1754"/>
      <c r="T474" s="1754"/>
      <c r="U474" s="1754"/>
      <c r="V474" s="1754"/>
      <c r="W474" s="1754"/>
      <c r="X474" s="1754"/>
      <c r="Y474" s="1754"/>
      <c r="Z474" s="1754"/>
      <c r="AA474" s="1754"/>
      <c r="AB474" s="1754"/>
      <c r="AC474" s="1754"/>
      <c r="AD474" s="1754"/>
      <c r="AE474" s="1754"/>
      <c r="AF474" s="1754"/>
      <c r="AG474" s="924"/>
      <c r="AH474" s="598"/>
      <c r="AI474" s="598"/>
      <c r="AJ474" s="598"/>
      <c r="AK474" s="598"/>
      <c r="AL474" s="620"/>
      <c r="AM474"/>
      <c r="AN474" s="241"/>
      <c r="AO474" s="4" t="s">
        <v>2077</v>
      </c>
      <c r="AP474" s="4">
        <v>1</v>
      </c>
    </row>
    <row r="475" spans="1:54" s="4" customFormat="1" ht="12.75" customHeight="1">
      <c r="A475" s="37"/>
      <c r="B475" s="21"/>
      <c r="C475" s="604"/>
      <c r="D475" s="21"/>
      <c r="E475" s="168"/>
      <c r="F475" s="1594"/>
      <c r="G475" s="1594"/>
      <c r="H475" s="1594"/>
      <c r="I475" s="1594"/>
      <c r="J475" s="1594"/>
      <c r="K475" s="1594"/>
      <c r="L475" s="1594"/>
      <c r="M475" s="1594"/>
      <c r="N475" s="1594"/>
      <c r="O475" s="1594"/>
      <c r="P475" s="1594"/>
      <c r="Q475" s="1594"/>
      <c r="R475" s="1594"/>
      <c r="S475" s="1594"/>
      <c r="T475" s="1594"/>
      <c r="U475" s="1594"/>
      <c r="V475" s="1594"/>
      <c r="W475" s="1594"/>
      <c r="X475" s="1594"/>
      <c r="Y475" s="1594"/>
      <c r="Z475" s="1594"/>
      <c r="AA475" s="1594"/>
      <c r="AB475" s="1594"/>
      <c r="AC475" s="1594"/>
      <c r="AD475" s="1594"/>
      <c r="AE475" s="1594"/>
      <c r="AF475" s="1594"/>
      <c r="AL475" s="605"/>
      <c r="AM475"/>
      <c r="AN475" s="241"/>
      <c r="AS475" s="283"/>
      <c r="AW475" s="283" t="s">
        <v>2078</v>
      </c>
      <c r="BA475" s="283" t="s">
        <v>2079</v>
      </c>
    </row>
    <row r="476" spans="1:54" s="4" customFormat="1" ht="12.75" customHeight="1">
      <c r="A476" s="37"/>
      <c r="B476" s="21"/>
      <c r="C476" s="607"/>
      <c r="F476" s="1594"/>
      <c r="G476" s="1594"/>
      <c r="H476" s="1594"/>
      <c r="I476" s="1594"/>
      <c r="J476" s="1594"/>
      <c r="K476" s="1594"/>
      <c r="L476" s="1594"/>
      <c r="M476" s="1594"/>
      <c r="N476" s="1594"/>
      <c r="O476" s="1594"/>
      <c r="P476" s="1594"/>
      <c r="Q476" s="1594"/>
      <c r="R476" s="1594"/>
      <c r="S476" s="1594"/>
      <c r="T476" s="1594"/>
      <c r="U476" s="1594"/>
      <c r="V476" s="1594"/>
      <c r="W476" s="1594"/>
      <c r="X476" s="1594"/>
      <c r="Y476" s="1594"/>
      <c r="Z476" s="1594"/>
      <c r="AA476" s="1594"/>
      <c r="AB476" s="1594"/>
      <c r="AC476" s="1594"/>
      <c r="AD476" s="1594"/>
      <c r="AE476" s="1594"/>
      <c r="AF476" s="1594"/>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594"/>
      <c r="G477" s="1594"/>
      <c r="H477" s="1594"/>
      <c r="I477" s="1594"/>
      <c r="J477" s="1594"/>
      <c r="K477" s="1594"/>
      <c r="L477" s="1594"/>
      <c r="M477" s="1594"/>
      <c r="N477" s="1594"/>
      <c r="O477" s="1594"/>
      <c r="P477" s="1594"/>
      <c r="Q477" s="1594"/>
      <c r="R477" s="1594"/>
      <c r="S477" s="1594"/>
      <c r="T477" s="1594"/>
      <c r="U477" s="1594"/>
      <c r="V477" s="1594"/>
      <c r="W477" s="1594"/>
      <c r="X477" s="1594"/>
      <c r="Y477" s="1594"/>
      <c r="Z477" s="1594"/>
      <c r="AA477" s="1594"/>
      <c r="AB477" s="1594"/>
      <c r="AC477" s="1594"/>
      <c r="AD477" s="1594"/>
      <c r="AE477" s="1594"/>
      <c r="AF477" s="1594"/>
      <c r="AL477" s="605"/>
      <c r="AM477"/>
      <c r="AN477" s="241"/>
      <c r="AO477" s="286">
        <v>7.0000000000000007E-2</v>
      </c>
      <c r="AP477" s="32">
        <v>3</v>
      </c>
      <c r="AR477" s="4" t="s">
        <v>2080</v>
      </c>
      <c r="AS477" s="32">
        <v>3</v>
      </c>
      <c r="AT477" s="27"/>
      <c r="AW477" s="286">
        <v>0.4</v>
      </c>
      <c r="AX477" s="27">
        <v>3</v>
      </c>
      <c r="BA477" s="286">
        <v>0.4</v>
      </c>
      <c r="BB477" s="27">
        <v>4</v>
      </c>
    </row>
    <row r="478" spans="1:54" s="4" customFormat="1" ht="12.75" customHeight="1">
      <c r="A478" s="37"/>
      <c r="B478" s="21"/>
      <c r="C478" s="1753" t="s">
        <v>326</v>
      </c>
      <c r="D478" s="1065"/>
      <c r="E478" s="189"/>
      <c r="F478" s="284" t="s">
        <v>2052</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475" t="s">
        <v>2033</v>
      </c>
      <c r="AG478" s="1475"/>
      <c r="AH478" s="1475"/>
      <c r="AI478" s="1475"/>
      <c r="AJ478" s="1475"/>
      <c r="AK478" s="1475"/>
      <c r="AL478" s="1561"/>
      <c r="AM478"/>
      <c r="AN478" s="241"/>
      <c r="AO478" s="286">
        <v>0.12</v>
      </c>
      <c r="AP478" s="32">
        <v>5</v>
      </c>
      <c r="AR478" s="4" t="s">
        <v>2081</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2082</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2083</v>
      </c>
      <c r="AK484" s="1034">
        <f>IF(AS367=0,AS365,AS367)</f>
        <v>10</v>
      </c>
      <c r="AL484" s="1035"/>
      <c r="AM484" s="1037"/>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2084</v>
      </c>
      <c r="C487" s="3"/>
      <c r="E487" s="20"/>
      <c r="AE487" s="1475" t="s">
        <v>2085</v>
      </c>
      <c r="AF487" s="1475"/>
      <c r="AG487" s="1475"/>
      <c r="AH487" s="1475"/>
      <c r="AI487" s="1475"/>
      <c r="AJ487" s="1475"/>
      <c r="AK487" s="1475"/>
      <c r="AL487" s="18"/>
      <c r="AN487" s="241"/>
      <c r="AO487" s="4" t="s">
        <v>2066</v>
      </c>
      <c r="AP487" s="4">
        <v>5</v>
      </c>
    </row>
    <row r="488" spans="1:50" s="4" customFormat="1" ht="12.75" hidden="1" customHeight="1">
      <c r="A488" s="3"/>
      <c r="B488" s="37" t="s">
        <v>2086</v>
      </c>
      <c r="C488" s="3"/>
      <c r="E488" s="20"/>
      <c r="AE488" s="18"/>
      <c r="AF488" s="18"/>
      <c r="AG488" s="18"/>
      <c r="AH488" s="18"/>
      <c r="AI488" s="18"/>
      <c r="AJ488" s="18"/>
      <c r="AK488" s="18"/>
      <c r="AL488" s="18"/>
      <c r="AN488" s="241"/>
      <c r="AO488" s="4" t="s">
        <v>2087</v>
      </c>
      <c r="AP488" s="4">
        <v>5</v>
      </c>
    </row>
    <row r="489" spans="1:50" s="4" customFormat="1" ht="12.75" hidden="1" customHeight="1">
      <c r="A489" s="3"/>
      <c r="B489" s="3" t="s">
        <v>2088</v>
      </c>
      <c r="C489" s="3"/>
      <c r="E489" s="20"/>
      <c r="AE489" s="18"/>
      <c r="AF489" s="18"/>
      <c r="AG489" s="18"/>
      <c r="AH489" s="18"/>
      <c r="AI489" s="18"/>
      <c r="AJ489" s="18"/>
      <c r="AK489" s="18"/>
      <c r="AL489" s="18"/>
      <c r="AN489" s="241"/>
      <c r="AO489" s="4" t="s">
        <v>2070</v>
      </c>
      <c r="AP489" s="4">
        <v>5</v>
      </c>
      <c r="AQ489" s="3"/>
      <c r="AR489" s="3"/>
      <c r="AS489" s="283"/>
      <c r="AW489" s="283"/>
    </row>
    <row r="490" spans="1:50" s="4" customFormat="1" ht="12.75" hidden="1" customHeight="1">
      <c r="A490" s="3"/>
      <c r="B490" s="3" t="s">
        <v>2089</v>
      </c>
      <c r="C490" s="3"/>
      <c r="E490" s="20"/>
      <c r="AE490" s="18"/>
      <c r="AF490" s="18"/>
      <c r="AG490" s="18"/>
      <c r="AH490" s="18"/>
      <c r="AI490" s="18"/>
      <c r="AJ490" s="18"/>
      <c r="AK490" s="18"/>
      <c r="AL490" s="18"/>
      <c r="AN490" s="241"/>
      <c r="AO490" s="4" t="s">
        <v>2071</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2072</v>
      </c>
      <c r="AP491" s="4">
        <v>5</v>
      </c>
      <c r="AQ491" s="3"/>
      <c r="AR491" s="3"/>
      <c r="AW491" s="97"/>
    </row>
    <row r="492" spans="1:50" s="4" customFormat="1" ht="12.75" hidden="1" customHeight="1">
      <c r="A492" s="3"/>
      <c r="C492" s="158" t="s">
        <v>2090</v>
      </c>
      <c r="D492"/>
      <c r="AE492" s="18"/>
      <c r="AF492" s="18"/>
      <c r="AG492" s="20"/>
      <c r="AH492" s="20"/>
      <c r="AI492" s="20"/>
      <c r="AJ492" s="20"/>
      <c r="AK492" s="20"/>
      <c r="AL492" s="20"/>
      <c r="AN492" s="241"/>
      <c r="AO492" s="4" t="s">
        <v>2073</v>
      </c>
      <c r="AP492" s="4">
        <v>5</v>
      </c>
      <c r="AW492" s="97"/>
    </row>
    <row r="493" spans="1:50" s="4" customFormat="1" ht="12.75" hidden="1" customHeight="1">
      <c r="A493" s="3"/>
      <c r="C493" s="1765" t="s">
        <v>326</v>
      </c>
      <c r="D493" s="1766"/>
      <c r="E493" s="643" t="s">
        <v>46</v>
      </c>
      <c r="F493" s="1762" t="s">
        <v>2091</v>
      </c>
      <c r="G493" s="1762"/>
      <c r="H493" s="1762"/>
      <c r="I493" s="1762"/>
      <c r="J493" s="1762"/>
      <c r="K493" s="1762"/>
      <c r="L493" s="1762"/>
      <c r="M493" s="1762"/>
      <c r="N493" s="1762"/>
      <c r="O493" s="1762"/>
      <c r="P493" s="1762"/>
      <c r="Q493" s="1762"/>
      <c r="R493" s="1762"/>
      <c r="S493" s="1762"/>
      <c r="T493" s="1762"/>
      <c r="U493" s="1762"/>
      <c r="V493" s="1762"/>
      <c r="W493" s="1762"/>
      <c r="X493" s="1762"/>
      <c r="Y493" s="1762"/>
      <c r="Z493" s="1762"/>
      <c r="AA493" s="1762"/>
      <c r="AB493" s="1762"/>
      <c r="AC493" s="1762"/>
      <c r="AD493" s="1762"/>
      <c r="AE493" s="1762"/>
      <c r="AF493" s="598"/>
      <c r="AG493" s="598"/>
      <c r="AH493" s="598"/>
      <c r="AI493" s="598"/>
      <c r="AJ493" s="598"/>
      <c r="AK493" s="620"/>
      <c r="AN493" s="241"/>
      <c r="AO493" s="4" t="s">
        <v>2092</v>
      </c>
      <c r="AP493" s="4">
        <v>5</v>
      </c>
      <c r="AS493" s="286"/>
      <c r="AT493" s="27"/>
      <c r="AW493" s="97"/>
      <c r="AX493" s="32"/>
    </row>
    <row r="494" spans="1:50" s="4" customFormat="1" ht="12.75" hidden="1" customHeight="1">
      <c r="C494" s="622"/>
      <c r="E494" s="119"/>
      <c r="F494" s="1763"/>
      <c r="G494" s="1763"/>
      <c r="H494" s="1763"/>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G494" s="19"/>
      <c r="AH494" s="19"/>
      <c r="AI494" s="19"/>
      <c r="AJ494" s="19"/>
      <c r="AK494" s="605"/>
      <c r="AN494" s="241"/>
      <c r="AO494" s="4" t="s">
        <v>2077</v>
      </c>
      <c r="AP494" s="4">
        <v>1</v>
      </c>
    </row>
    <row r="495" spans="1:50" s="4" customFormat="1" ht="12.75" hidden="1" customHeight="1">
      <c r="C495" s="623"/>
      <c r="D495" s="613"/>
      <c r="E495" s="624"/>
      <c r="F495" s="1412" t="s">
        <v>326</v>
      </c>
      <c r="G495" s="1412"/>
      <c r="H495" s="1412"/>
      <c r="I495" s="1412"/>
      <c r="J495" s="1412"/>
      <c r="K495" s="1412"/>
      <c r="L495" s="1412"/>
      <c r="M495" s="1412"/>
      <c r="N495" s="1412"/>
      <c r="O495" s="1412"/>
      <c r="P495" s="1412"/>
      <c r="Q495" s="1412"/>
      <c r="R495" s="1412"/>
      <c r="S495" s="1412"/>
      <c r="T495" s="1412"/>
      <c r="U495" s="1412"/>
      <c r="V495" s="1412"/>
      <c r="W495" s="1412"/>
      <c r="X495" s="1412"/>
      <c r="Y495" s="1412"/>
      <c r="Z495" s="1412"/>
      <c r="AA495" s="625"/>
      <c r="AB495" s="626"/>
      <c r="AC495" s="626"/>
      <c r="AD495" s="613"/>
      <c r="AE495" s="613"/>
      <c r="AF495" s="613"/>
      <c r="AG495" s="627">
        <f>IF($C$493="Yes",(VLOOKUP($F$495,$AO$466:$AP$474,2,FALSE)),0)</f>
        <v>0</v>
      </c>
      <c r="AH495" s="628" t="s">
        <v>2093</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75" t="s">
        <v>765</v>
      </c>
      <c r="D497" s="1776"/>
      <c r="E497" s="643" t="s">
        <v>48</v>
      </c>
      <c r="F497" s="629" t="s">
        <v>2094</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2095</v>
      </c>
      <c r="F498" s="216" t="s">
        <v>2096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2097</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2098</v>
      </c>
      <c r="G500" s="4"/>
      <c r="H500" s="4"/>
      <c r="I500" s="216"/>
      <c r="J500" s="216"/>
      <c r="K500" s="216"/>
      <c r="L500" s="216"/>
      <c r="M500" s="216"/>
      <c r="N500" s="216"/>
      <c r="O500" s="216"/>
      <c r="P500" s="216"/>
      <c r="Q500" s="216"/>
      <c r="R500" s="216"/>
      <c r="S500" s="216"/>
      <c r="T500" s="216"/>
      <c r="U500" s="216"/>
      <c r="V500" s="1764" t="s">
        <v>326</v>
      </c>
      <c r="W500" s="1764"/>
      <c r="X500" s="1764"/>
      <c r="Y500" s="216"/>
      <c r="Z500" s="216"/>
      <c r="AA500" s="216"/>
      <c r="AB500" s="216"/>
      <c r="AC500" s="216"/>
      <c r="AD500" s="74"/>
      <c r="AE500" s="74"/>
      <c r="AF500" s="74"/>
      <c r="AG500" s="82">
        <f>IF(AND($C$497="Yes",$V$502="N/A",$V$507="N/A",$V$511="N/A",$V$513="N/A"),(VLOOKUP(V500,$AR$476:$AS$478,2,FALSE)),0)</f>
        <v>0</v>
      </c>
      <c r="AH500" s="105" t="s">
        <v>2093</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2099</v>
      </c>
      <c r="G502" s="4"/>
      <c r="H502" s="4"/>
      <c r="I502" s="216"/>
      <c r="J502" s="216"/>
      <c r="K502" s="216"/>
      <c r="L502" s="216"/>
      <c r="M502" s="216"/>
      <c r="N502" s="216"/>
      <c r="O502" s="216"/>
      <c r="P502" s="216"/>
      <c r="Q502" s="216"/>
      <c r="R502" s="216"/>
      <c r="S502" s="216"/>
      <c r="T502" s="216"/>
      <c r="U502" s="216"/>
      <c r="V502" s="1764" t="s">
        <v>326</v>
      </c>
      <c r="W502" s="1764"/>
      <c r="X502" s="1764"/>
      <c r="Y502" s="216"/>
      <c r="Z502" s="216"/>
      <c r="AA502" s="216"/>
      <c r="AB502" s="216"/>
      <c r="AC502" s="216"/>
      <c r="AD502" s="74"/>
      <c r="AE502" s="74"/>
      <c r="AF502" s="74"/>
      <c r="AG502" s="82">
        <f>IF(AND($C$497="Yes",$V$500="N/A", $V$507="N/A",$V$511="N/A",$V$513="N/A"),(VLOOKUP(V502,$AO$476:$AP$478,2,FALSE)),0)</f>
        <v>0</v>
      </c>
      <c r="AH502" s="105" t="s">
        <v>2093</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2100</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2101</v>
      </c>
      <c r="AP504" s="32">
        <v>2</v>
      </c>
    </row>
    <row r="505" spans="1:147" s="4" customFormat="1" ht="12.75" hidden="1" customHeight="1">
      <c r="C505" s="622"/>
      <c r="F505" s="74" t="s">
        <v>2102</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2103</v>
      </c>
      <c r="AP505" s="4">
        <v>2</v>
      </c>
    </row>
    <row r="506" spans="1:147" s="20" customFormat="1" ht="12.75" hidden="1" customHeight="1">
      <c r="A506" s="4"/>
      <c r="B506" s="4"/>
      <c r="C506" s="607"/>
      <c r="D506"/>
      <c r="E506"/>
      <c r="F506" s="74" t="s">
        <v>2104</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2105</v>
      </c>
      <c r="AP506" s="4">
        <v>2</v>
      </c>
    </row>
    <row r="507" spans="1:147" s="4" customFormat="1" ht="12.75" hidden="1" customHeight="1">
      <c r="C507" s="633"/>
      <c r="F507" s="632" t="s">
        <v>2106</v>
      </c>
      <c r="M507" s="119"/>
      <c r="N507" s="119"/>
      <c r="O507" s="119"/>
      <c r="P507" s="119"/>
      <c r="Q507" s="19"/>
      <c r="R507" s="19"/>
      <c r="S507" s="19"/>
      <c r="T507" s="19"/>
      <c r="U507" s="19"/>
      <c r="V507" s="1764" t="s">
        <v>326</v>
      </c>
      <c r="W507" s="1764"/>
      <c r="X507" s="1764"/>
      <c r="Y507" s="19"/>
      <c r="Z507" s="19"/>
      <c r="AA507" s="19"/>
      <c r="AB507" s="19"/>
      <c r="AC507" s="19"/>
      <c r="AG507" s="82">
        <f>IF(AND($C$497="Yes",$V$500="N/A",$V$502="N/A", $V$511="N/A",$V$513="N/A"),(VLOOKUP($V$507,$AO$480:$AP$482,2,FALSE)),0)</f>
        <v>0</v>
      </c>
      <c r="AH507" s="105" t="s">
        <v>2093</v>
      </c>
      <c r="AI507" s="19"/>
      <c r="AJ507" s="19"/>
      <c r="AK507" s="605"/>
      <c r="AN507" s="913"/>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2107</v>
      </c>
      <c r="D509" s="598"/>
      <c r="E509" s="598"/>
      <c r="F509" s="637" t="s">
        <v>2108</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265"/>
      <c r="E510" s="1265"/>
      <c r="F510" s="216" t="s">
        <v>2109</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2110</v>
      </c>
      <c r="AP510" s="32">
        <v>5</v>
      </c>
      <c r="AQ510" s="3"/>
    </row>
    <row r="511" spans="1:147" customFormat="1" ht="12.75" hidden="1" customHeight="1">
      <c r="A511" s="97"/>
      <c r="B511" s="4"/>
      <c r="C511" s="622"/>
      <c r="D511" s="4"/>
      <c r="E511" s="4"/>
      <c r="F511" s="472" t="s">
        <v>2098</v>
      </c>
      <c r="G511" s="4"/>
      <c r="H511" s="4"/>
      <c r="I511" s="4"/>
      <c r="J511" s="4"/>
      <c r="K511" s="4"/>
      <c r="L511" s="4"/>
      <c r="M511" s="4"/>
      <c r="N511" s="4"/>
      <c r="O511" s="4"/>
      <c r="P511" s="4"/>
      <c r="Q511" s="4"/>
      <c r="R511" s="4"/>
      <c r="S511" s="4"/>
      <c r="T511" s="4"/>
      <c r="U511" s="4"/>
      <c r="V511" s="1764" t="s">
        <v>326</v>
      </c>
      <c r="W511" s="1764"/>
      <c r="X511" s="1764"/>
      <c r="Y511" s="4"/>
      <c r="Z511" s="4"/>
      <c r="AA511" s="4"/>
      <c r="AB511" s="4"/>
      <c r="AC511" s="4"/>
      <c r="AD511" s="4"/>
      <c r="AE511" s="4"/>
      <c r="AF511" s="4"/>
      <c r="AG511" s="82">
        <f>IF(AND($C$497="Yes",$V$500="N/A",V502="N/A",$V$507="N/A",$V$513="N/A"),(VLOOKUP($V$511,$AW$476:$AX$479,2,FALSE)),0)</f>
        <v>0</v>
      </c>
      <c r="AH511" s="105" t="s">
        <v>2093</v>
      </c>
      <c r="AI511" s="19"/>
      <c r="AJ511" s="4"/>
      <c r="AK511" s="605"/>
      <c r="AL511" s="4"/>
      <c r="AM511" s="4"/>
      <c r="AN511" s="173"/>
      <c r="AO511" s="4" t="s">
        <v>2111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2112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2099</v>
      </c>
      <c r="G513" s="625"/>
      <c r="H513" s="625"/>
      <c r="I513" s="613"/>
      <c r="J513" s="613"/>
      <c r="K513" s="613"/>
      <c r="L513" s="613"/>
      <c r="M513" s="613"/>
      <c r="N513" s="613"/>
      <c r="O513" s="613"/>
      <c r="P513" s="613"/>
      <c r="Q513" s="613"/>
      <c r="R513" s="613"/>
      <c r="S513" s="613"/>
      <c r="T513" s="613"/>
      <c r="U513" s="613"/>
      <c r="V513" s="1764" t="s">
        <v>326</v>
      </c>
      <c r="W513" s="1764"/>
      <c r="X513" s="1764"/>
      <c r="Y513" s="613"/>
      <c r="Z513" s="613"/>
      <c r="AA513" s="613"/>
      <c r="AB513" s="613"/>
      <c r="AC513" s="613"/>
      <c r="AD513" s="613"/>
      <c r="AE513" s="613"/>
      <c r="AF513" s="613"/>
      <c r="AG513" s="635">
        <f>IF(AND($C$497="Yes",$V$500="N/A",$V$502="N/A",$V$507="N/A",$V$511="N/A"),(VLOOKUP($V$513,$BA$476:$BB$478,2,FALSE)),0)</f>
        <v>0</v>
      </c>
      <c r="AH513" s="628" t="s">
        <v>2093</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767" t="s">
        <v>2113</v>
      </c>
      <c r="AV514" s="1768"/>
      <c r="AW514" s="1768"/>
      <c r="AX514" s="1768"/>
      <c r="AY514" s="1768"/>
      <c r="AZ514" s="1768"/>
      <c r="BA514" s="1768"/>
      <c r="BB514" s="20"/>
      <c r="BC514" s="20"/>
      <c r="BE514" s="4"/>
      <c r="BF514" s="4"/>
      <c r="BG514" s="4"/>
      <c r="BH514" s="4"/>
      <c r="BI514" s="4"/>
      <c r="BJ514" s="1750" t="s">
        <v>2114</v>
      </c>
      <c r="BK514" s="1751"/>
      <c r="BL514" s="1751"/>
      <c r="BM514" s="1751"/>
      <c r="BN514" s="1751"/>
      <c r="BO514" s="1751"/>
      <c r="BP514" s="1751"/>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2115</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767"/>
      <c r="AV515" s="1768"/>
      <c r="AW515" s="1768"/>
      <c r="AX515" s="1768"/>
      <c r="AY515" s="1768"/>
      <c r="AZ515" s="1768"/>
      <c r="BA515" s="1768"/>
      <c r="BB515" s="20"/>
      <c r="BC515" s="20"/>
      <c r="BE515" s="4"/>
      <c r="BF515" s="4"/>
      <c r="BG515" s="4"/>
      <c r="BH515" s="4"/>
      <c r="BI515" s="4"/>
      <c r="BJ515" s="1750"/>
      <c r="BK515" s="1751"/>
      <c r="BL515" s="1751"/>
      <c r="BM515" s="1751"/>
      <c r="BN515" s="1751"/>
      <c r="BO515" s="1751"/>
      <c r="BP515" s="1751"/>
      <c r="BQ515" s="20"/>
      <c r="BR515" s="4"/>
    </row>
    <row r="516" spans="1:147" customFormat="1" ht="12.75" hidden="1" customHeight="1">
      <c r="A516" s="97"/>
      <c r="B516" s="4"/>
      <c r="C516" s="1765" t="s">
        <v>326</v>
      </c>
      <c r="D516" s="1766"/>
      <c r="E516" s="643" t="s">
        <v>46</v>
      </c>
      <c r="F516" s="1762" t="s">
        <v>2091</v>
      </c>
      <c r="G516" s="1762"/>
      <c r="H516" s="1762"/>
      <c r="I516" s="1762"/>
      <c r="J516" s="1762"/>
      <c r="K516" s="1762"/>
      <c r="L516" s="1762"/>
      <c r="M516" s="1762"/>
      <c r="N516" s="1762"/>
      <c r="O516" s="1762"/>
      <c r="P516" s="1762"/>
      <c r="Q516" s="1762"/>
      <c r="R516" s="1762"/>
      <c r="S516" s="1762"/>
      <c r="T516" s="1762"/>
      <c r="U516" s="1762"/>
      <c r="V516" s="1762"/>
      <c r="W516" s="1762"/>
      <c r="X516" s="1762"/>
      <c r="Y516" s="1762"/>
      <c r="Z516" s="1762"/>
      <c r="AA516" s="1762"/>
      <c r="AB516" s="1762"/>
      <c r="AC516" s="1762"/>
      <c r="AD516" s="1762"/>
      <c r="AE516" s="1762"/>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763"/>
      <c r="G517" s="1763"/>
      <c r="H517" s="1763"/>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4"/>
      <c r="AG517" s="19"/>
      <c r="AH517" s="19"/>
      <c r="AI517" s="19"/>
      <c r="AJ517" s="19"/>
      <c r="AK517" s="605"/>
      <c r="AL517" s="4"/>
      <c r="AM517" s="4"/>
      <c r="AN517" s="571"/>
      <c r="AO517" s="34"/>
      <c r="AP517" s="1347" t="s">
        <v>2116</v>
      </c>
      <c r="AQ517" s="1348"/>
      <c r="AR517" s="1349"/>
      <c r="AS517" s="531">
        <v>80</v>
      </c>
      <c r="AT517" s="4">
        <v>0</v>
      </c>
      <c r="AU517" s="136">
        <v>10</v>
      </c>
      <c r="AV517" s="136">
        <v>25</v>
      </c>
      <c r="AW517" s="136">
        <v>37.5</v>
      </c>
      <c r="AX517" s="136">
        <v>35</v>
      </c>
      <c r="AY517" s="136">
        <v>37.5</v>
      </c>
      <c r="AZ517" s="136">
        <v>50</v>
      </c>
      <c r="BA517" s="136">
        <v>50</v>
      </c>
      <c r="BB517" s="21"/>
      <c r="BC517" s="21"/>
      <c r="BE517" s="1347" t="s">
        <v>2116</v>
      </c>
      <c r="BF517" s="1348"/>
      <c r="BG517" s="1349"/>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769" t="s">
        <v>326</v>
      </c>
      <c r="G518" s="1769"/>
      <c r="H518" s="1769"/>
      <c r="I518" s="1769"/>
      <c r="J518" s="1769"/>
      <c r="K518" s="1769"/>
      <c r="L518" s="1769"/>
      <c r="M518" s="1769"/>
      <c r="N518" s="1769"/>
      <c r="O518" s="1769"/>
      <c r="P518" s="1769"/>
      <c r="Q518" s="1769"/>
      <c r="R518" s="1769"/>
      <c r="S518" s="1769"/>
      <c r="T518" s="1769"/>
      <c r="U518" s="1769"/>
      <c r="V518" s="1769"/>
      <c r="W518" s="1769"/>
      <c r="X518" s="1769"/>
      <c r="Y518" s="1769"/>
      <c r="Z518" s="1769"/>
      <c r="AA518" s="625"/>
      <c r="AB518" s="626"/>
      <c r="AC518" s="626"/>
      <c r="AD518" s="613"/>
      <c r="AE518" s="613"/>
      <c r="AF518" s="613"/>
      <c r="AG518" s="627">
        <f>IF($C$516="Yes",(VLOOKUP($F$518,$AO$486:$AP$494,2,FALSE)),0)</f>
        <v>0</v>
      </c>
      <c r="AH518" s="628" t="s">
        <v>2093</v>
      </c>
      <c r="AI518" s="627"/>
      <c r="AJ518" s="626"/>
      <c r="AK518" s="614"/>
      <c r="AL518" s="4"/>
      <c r="AM518" s="4"/>
      <c r="AN518" s="571"/>
      <c r="AO518" s="34"/>
      <c r="AP518" s="1350"/>
      <c r="AQ518" s="1351"/>
      <c r="AR518" s="1352"/>
      <c r="AS518" s="531">
        <v>75</v>
      </c>
      <c r="AT518" s="4">
        <v>0</v>
      </c>
      <c r="AU518" s="136">
        <v>10</v>
      </c>
      <c r="AV518" s="136">
        <v>25</v>
      </c>
      <c r="AW518" s="136">
        <v>37.5</v>
      </c>
      <c r="AX518" s="136">
        <v>35</v>
      </c>
      <c r="AY518" s="136">
        <v>37.5</v>
      </c>
      <c r="AZ518" s="136">
        <v>50</v>
      </c>
      <c r="BA518" s="136">
        <v>50</v>
      </c>
      <c r="BB518" s="21"/>
      <c r="BC518" s="21"/>
      <c r="BE518" s="1350"/>
      <c r="BF518" s="1351"/>
      <c r="BG518" s="1352"/>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350"/>
      <c r="AQ519" s="1351"/>
      <c r="AR519" s="1352"/>
      <c r="AS519" s="531">
        <v>70</v>
      </c>
      <c r="AT519" s="4">
        <v>0</v>
      </c>
      <c r="AU519" s="136">
        <v>10</v>
      </c>
      <c r="AV519" s="136">
        <v>25</v>
      </c>
      <c r="AW519" s="136">
        <v>37.5</v>
      </c>
      <c r="AX519" s="136">
        <v>35</v>
      </c>
      <c r="AY519" s="136">
        <v>37.5</v>
      </c>
      <c r="AZ519" s="136">
        <v>50</v>
      </c>
      <c r="BA519" s="136">
        <v>50</v>
      </c>
      <c r="BB519" s="21"/>
      <c r="BC519" s="21"/>
      <c r="BE519" s="1350"/>
      <c r="BF519" s="1351"/>
      <c r="BG519" s="1352"/>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65" t="s">
        <v>326</v>
      </c>
      <c r="D520" s="1766"/>
      <c r="E520" s="643" t="s">
        <v>48</v>
      </c>
      <c r="F520" s="1778" t="s">
        <v>2117</v>
      </c>
      <c r="G520" s="1778"/>
      <c r="H520" s="1778"/>
      <c r="I520" s="1778"/>
      <c r="J520" s="1778"/>
      <c r="K520" s="1778"/>
      <c r="L520" s="1778"/>
      <c r="M520" s="1778"/>
      <c r="N520" s="1778"/>
      <c r="O520" s="1778"/>
      <c r="P520" s="1778"/>
      <c r="Q520" s="1778"/>
      <c r="R520" s="1778"/>
      <c r="S520" s="1778"/>
      <c r="T520" s="1778"/>
      <c r="U520" s="1778"/>
      <c r="V520" s="1778"/>
      <c r="W520" s="1778"/>
      <c r="X520" s="1778"/>
      <c r="Y520" s="1778"/>
      <c r="Z520" s="1778"/>
      <c r="AA520" s="1778"/>
      <c r="AB520" s="1778"/>
      <c r="AC520" s="1778"/>
      <c r="AD520" s="1778"/>
      <c r="AE520" s="1778"/>
      <c r="AF520" s="598"/>
      <c r="AG520" s="630"/>
      <c r="AH520" s="630"/>
      <c r="AI520" s="630"/>
      <c r="AJ520" s="630"/>
      <c r="AK520" s="620"/>
      <c r="AL520" s="4"/>
      <c r="AM520" s="4"/>
      <c r="AN520" s="571"/>
      <c r="AO520" s="34"/>
      <c r="AP520" s="1350"/>
      <c r="AQ520" s="1351"/>
      <c r="AR520" s="1352"/>
      <c r="AS520" s="531">
        <v>65</v>
      </c>
      <c r="AT520" s="4">
        <v>0</v>
      </c>
      <c r="AU520" s="136">
        <v>10</v>
      </c>
      <c r="AV520" s="136">
        <v>25</v>
      </c>
      <c r="AW520" s="136">
        <v>37.5</v>
      </c>
      <c r="AX520" s="136">
        <v>35</v>
      </c>
      <c r="AY520" s="136">
        <v>37.5</v>
      </c>
      <c r="AZ520" s="136">
        <v>50</v>
      </c>
      <c r="BA520" s="136">
        <v>50</v>
      </c>
      <c r="BB520" s="21"/>
      <c r="BC520" s="21"/>
      <c r="BE520" s="1350"/>
      <c r="BF520" s="1351"/>
      <c r="BG520" s="1352"/>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779"/>
      <c r="G521" s="1779"/>
      <c r="H521" s="1779"/>
      <c r="I521" s="1779"/>
      <c r="J521" s="1779"/>
      <c r="K521" s="1779"/>
      <c r="L521" s="1779"/>
      <c r="M521" s="1779"/>
      <c r="N521" s="1779"/>
      <c r="O521" s="1779"/>
      <c r="P521" s="1779"/>
      <c r="Q521" s="1779"/>
      <c r="R521" s="1779"/>
      <c r="S521" s="1779"/>
      <c r="T521" s="1779"/>
      <c r="U521" s="1779"/>
      <c r="V521" s="1779"/>
      <c r="W521" s="1779"/>
      <c r="X521" s="1779"/>
      <c r="Y521" s="1779"/>
      <c r="Z521" s="1779"/>
      <c r="AA521" s="1779"/>
      <c r="AB521" s="1779"/>
      <c r="AC521" s="1779"/>
      <c r="AD521" s="1779"/>
      <c r="AE521" s="1779"/>
      <c r="AF521" s="4"/>
      <c r="AG521" s="19"/>
      <c r="AH521" s="19"/>
      <c r="AI521" s="19"/>
      <c r="AJ521" s="19"/>
      <c r="AK521" s="605"/>
      <c r="AL521" s="4"/>
      <c r="AM521" s="4"/>
      <c r="AN521" s="571"/>
      <c r="AO521" s="34"/>
      <c r="AP521" s="1350"/>
      <c r="AQ521" s="1351"/>
      <c r="AR521" s="1352"/>
      <c r="AS521" s="531">
        <v>60</v>
      </c>
      <c r="AT521" s="4">
        <v>0</v>
      </c>
      <c r="AU521" s="136">
        <v>10</v>
      </c>
      <c r="AV521" s="136">
        <v>25</v>
      </c>
      <c r="AW521" s="136">
        <v>37.5</v>
      </c>
      <c r="AX521" s="136">
        <v>35</v>
      </c>
      <c r="AY521" s="136">
        <v>37.5</v>
      </c>
      <c r="AZ521" s="136">
        <v>50</v>
      </c>
      <c r="BA521" s="136">
        <v>50</v>
      </c>
      <c r="BB521" s="21"/>
      <c r="BC521" s="21"/>
      <c r="BE521" s="1350"/>
      <c r="BF521" s="1351"/>
      <c r="BG521" s="1352"/>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2118</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350"/>
      <c r="AQ522" s="1351"/>
      <c r="AR522" s="1352"/>
      <c r="AS522" s="531">
        <v>55</v>
      </c>
      <c r="AT522" s="4">
        <v>0</v>
      </c>
      <c r="AU522" s="136">
        <v>10</v>
      </c>
      <c r="AV522" s="136">
        <v>25</v>
      </c>
      <c r="AW522" s="136">
        <v>37.5</v>
      </c>
      <c r="AX522" s="136">
        <v>35</v>
      </c>
      <c r="AY522" s="136">
        <v>37.5</v>
      </c>
      <c r="AZ522" s="136">
        <v>50</v>
      </c>
      <c r="BA522" s="136">
        <v>50</v>
      </c>
      <c r="BE522" s="1350"/>
      <c r="BF522" s="1351"/>
      <c r="BG522" s="1352"/>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770" t="s">
        <v>326</v>
      </c>
      <c r="G523" s="1770"/>
      <c r="H523" s="1770"/>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2093</v>
      </c>
      <c r="AI523" s="626"/>
      <c r="AJ523" s="626"/>
      <c r="AK523" s="614"/>
      <c r="AL523" s="4"/>
      <c r="AM523" s="4"/>
      <c r="AN523" s="571"/>
      <c r="AP523" s="1350"/>
      <c r="AQ523" s="1351"/>
      <c r="AR523" s="1352"/>
      <c r="AS523" s="135">
        <v>50</v>
      </c>
      <c r="AT523" s="4">
        <v>0</v>
      </c>
      <c r="AU523" s="136">
        <v>10</v>
      </c>
      <c r="AV523" s="136">
        <v>25</v>
      </c>
      <c r="AW523" s="136">
        <v>37.5</v>
      </c>
      <c r="AX523" s="136">
        <v>35</v>
      </c>
      <c r="AY523" s="136">
        <v>37.5</v>
      </c>
      <c r="AZ523" s="136">
        <v>50</v>
      </c>
      <c r="BA523" s="136">
        <v>50</v>
      </c>
      <c r="BE523" s="1350"/>
      <c r="BF523" s="1351"/>
      <c r="BG523" s="1352"/>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350"/>
      <c r="AQ524" s="1351"/>
      <c r="AR524" s="1352"/>
      <c r="AS524" s="135">
        <v>45</v>
      </c>
      <c r="AT524" s="4">
        <v>0</v>
      </c>
      <c r="AU524" s="136">
        <v>10</v>
      </c>
      <c r="AV524" s="136">
        <v>22.5</v>
      </c>
      <c r="AW524" s="136">
        <v>33.799999999999997</v>
      </c>
      <c r="AX524" s="136">
        <v>35</v>
      </c>
      <c r="AY524" s="136">
        <v>37.5</v>
      </c>
      <c r="AZ524" s="136">
        <v>50</v>
      </c>
      <c r="BA524" s="136">
        <v>50</v>
      </c>
      <c r="BE524" s="1350"/>
      <c r="BF524" s="1351"/>
      <c r="BG524" s="1352"/>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65" t="s">
        <v>326</v>
      </c>
      <c r="D525" s="1766"/>
      <c r="E525" s="643" t="s">
        <v>2119</v>
      </c>
      <c r="F525" s="637" t="s">
        <v>2120</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350"/>
      <c r="AQ525" s="1351"/>
      <c r="AR525" s="1352"/>
      <c r="AS525" s="135">
        <v>40</v>
      </c>
      <c r="AT525" s="4">
        <v>0</v>
      </c>
      <c r="AU525" s="136">
        <v>10</v>
      </c>
      <c r="AV525" s="136">
        <v>20</v>
      </c>
      <c r="AW525" s="136">
        <v>30</v>
      </c>
      <c r="AX525" s="136">
        <v>35</v>
      </c>
      <c r="AY525" s="136">
        <v>37.5</v>
      </c>
      <c r="AZ525" s="136">
        <v>50</v>
      </c>
      <c r="BA525" s="136">
        <v>50</v>
      </c>
      <c r="BE525" s="1350"/>
      <c r="BF525" s="1351"/>
      <c r="BG525" s="1352"/>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350"/>
      <c r="AQ526" s="1351"/>
      <c r="AR526" s="1352"/>
      <c r="AS526" s="135">
        <v>35</v>
      </c>
      <c r="AT526" s="4">
        <v>0</v>
      </c>
      <c r="AU526" s="136">
        <v>8.8000000000000007</v>
      </c>
      <c r="AV526" s="136">
        <v>17.5</v>
      </c>
      <c r="AW526" s="136">
        <v>26.3</v>
      </c>
      <c r="AX526" s="136">
        <v>35</v>
      </c>
      <c r="AY526" s="136">
        <v>37.5</v>
      </c>
      <c r="AZ526" s="136">
        <v>50</v>
      </c>
      <c r="BA526" s="136">
        <v>50</v>
      </c>
      <c r="BE526" s="1350"/>
      <c r="BF526" s="1351"/>
      <c r="BG526" s="1352"/>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87"/>
      <c r="D527" s="1265"/>
      <c r="E527" s="164"/>
      <c r="F527" s="19" t="s">
        <v>2121</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2093</v>
      </c>
      <c r="AI527" s="19"/>
      <c r="AJ527" s="82"/>
      <c r="AK527" s="605"/>
      <c r="AL527" s="4"/>
      <c r="AM527" s="4"/>
      <c r="AN527" s="571"/>
      <c r="AP527" s="1350"/>
      <c r="AQ527" s="1351"/>
      <c r="AR527" s="1352"/>
      <c r="AS527" s="135">
        <v>30</v>
      </c>
      <c r="AT527" s="4">
        <v>0</v>
      </c>
      <c r="AU527" s="136">
        <v>7.5</v>
      </c>
      <c r="AV527" s="136">
        <v>15</v>
      </c>
      <c r="AW527" s="136">
        <v>22.5</v>
      </c>
      <c r="AX527" s="136">
        <v>30</v>
      </c>
      <c r="AY527" s="136">
        <v>37.5</v>
      </c>
      <c r="AZ527" s="136">
        <v>45</v>
      </c>
      <c r="BA527" s="136">
        <v>50</v>
      </c>
      <c r="BE527" s="1350"/>
      <c r="BF527" s="1351"/>
      <c r="BG527" s="1352"/>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774" t="s">
        <v>326</v>
      </c>
      <c r="H528" s="1774"/>
      <c r="I528" s="1774"/>
      <c r="J528" s="1774"/>
      <c r="K528" s="1774"/>
      <c r="L528" s="1774"/>
      <c r="M528" s="1774"/>
      <c r="N528" s="1774"/>
      <c r="O528" s="1774"/>
      <c r="P528" s="1774"/>
      <c r="Q528" s="1774"/>
      <c r="R528" s="1774"/>
      <c r="S528" s="1774"/>
      <c r="T528" s="1774"/>
      <c r="U528" s="1774"/>
      <c r="V528" s="1774"/>
      <c r="W528" s="1774"/>
      <c r="X528" s="1774"/>
      <c r="Y528" s="1774"/>
      <c r="Z528" s="1774"/>
      <c r="AA528" s="1774"/>
      <c r="AB528" s="1774"/>
      <c r="AC528" s="1774"/>
      <c r="AD528" s="1774"/>
      <c r="AE528" s="1774"/>
      <c r="AF528" s="1774"/>
      <c r="AG528" s="4"/>
      <c r="AH528" s="4"/>
      <c r="AI528" s="4"/>
      <c r="AJ528" s="19"/>
      <c r="AK528" s="605"/>
      <c r="AL528" s="4"/>
      <c r="AM528" s="4"/>
      <c r="AN528" s="571"/>
      <c r="AP528" s="1350"/>
      <c r="AQ528" s="1351"/>
      <c r="AR528" s="1352"/>
      <c r="AS528" s="135">
        <v>25</v>
      </c>
      <c r="AT528" s="4">
        <v>0</v>
      </c>
      <c r="AU528" s="136">
        <v>6.3</v>
      </c>
      <c r="AV528" s="136">
        <v>12.5</v>
      </c>
      <c r="AW528" s="136">
        <v>18.8</v>
      </c>
      <c r="AX528" s="136">
        <v>25</v>
      </c>
      <c r="AY528" s="136">
        <v>31.3</v>
      </c>
      <c r="AZ528" s="136">
        <v>37.5</v>
      </c>
      <c r="BA528" s="136">
        <v>50</v>
      </c>
      <c r="BE528" s="1350"/>
      <c r="BF528" s="1351"/>
      <c r="BG528" s="1352"/>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350"/>
      <c r="AQ529" s="1351"/>
      <c r="AR529" s="1352"/>
      <c r="AS529" s="135">
        <v>20</v>
      </c>
      <c r="AT529" s="4">
        <v>0</v>
      </c>
      <c r="AU529" s="136">
        <v>5</v>
      </c>
      <c r="AV529" s="136">
        <v>10</v>
      </c>
      <c r="AW529" s="136">
        <v>15</v>
      </c>
      <c r="AX529" s="136">
        <v>20</v>
      </c>
      <c r="AY529" s="136">
        <v>25</v>
      </c>
      <c r="AZ529" s="136">
        <v>30</v>
      </c>
      <c r="BA529" s="136">
        <v>40</v>
      </c>
      <c r="BE529" s="1350"/>
      <c r="BF529" s="1351"/>
      <c r="BG529" s="1352"/>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84" t="s">
        <v>326</v>
      </c>
      <c r="D530" s="1785"/>
      <c r="F530" s="19" t="s">
        <v>2122</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2093</v>
      </c>
      <c r="AI530" s="19"/>
      <c r="AJ530" s="86"/>
      <c r="AK530" s="605"/>
      <c r="AL530" s="4"/>
      <c r="AM530" s="4"/>
      <c r="AN530" s="571"/>
      <c r="AP530" s="1350"/>
      <c r="AQ530" s="1351"/>
      <c r="AR530" s="1352"/>
      <c r="AS530" s="135">
        <v>15</v>
      </c>
      <c r="AT530" s="4">
        <v>0</v>
      </c>
      <c r="AU530" s="136">
        <v>3.8</v>
      </c>
      <c r="AV530" s="136">
        <v>7.5</v>
      </c>
      <c r="AW530" s="136">
        <v>11.3</v>
      </c>
      <c r="AX530" s="136">
        <v>15</v>
      </c>
      <c r="AY530" s="136">
        <v>18.8</v>
      </c>
      <c r="AZ530" s="136">
        <v>22.5</v>
      </c>
      <c r="BA530" s="136">
        <v>30</v>
      </c>
      <c r="BE530" s="1350"/>
      <c r="BF530" s="1351"/>
      <c r="BG530" s="1352"/>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2123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353"/>
      <c r="AQ531" s="1354"/>
      <c r="AR531" s="1355"/>
      <c r="AS531" s="135">
        <v>10</v>
      </c>
      <c r="AT531" s="4">
        <v>0</v>
      </c>
      <c r="AU531" s="136">
        <v>2.5</v>
      </c>
      <c r="AV531" s="136">
        <v>5</v>
      </c>
      <c r="AW531" s="136">
        <v>7.5</v>
      </c>
      <c r="AX531" s="136">
        <v>10</v>
      </c>
      <c r="AY531" s="136">
        <v>12.5</v>
      </c>
      <c r="AZ531" s="136">
        <v>15</v>
      </c>
      <c r="BA531" s="136">
        <v>20</v>
      </c>
      <c r="BE531" s="1353"/>
      <c r="BF531" s="1354"/>
      <c r="BG531" s="1355"/>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2124</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3"/>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3"/>
      <c r="AO533" s="37"/>
      <c r="AP533" s="37"/>
      <c r="AQ533" s="37"/>
      <c r="AR533" s="37"/>
    </row>
    <row r="534" spans="1:122" s="4" customFormat="1" ht="12.75" hidden="1" customHeight="1">
      <c r="A534" s="32"/>
      <c r="C534" s="1784" t="s">
        <v>326</v>
      </c>
      <c r="D534" s="1785"/>
      <c r="F534" s="409" t="s">
        <v>2125</v>
      </c>
      <c r="G534" s="1594" t="s">
        <v>2126</v>
      </c>
      <c r="H534" s="1594"/>
      <c r="I534" s="1594"/>
      <c r="J534" s="1594"/>
      <c r="K534" s="1594"/>
      <c r="L534" s="1594"/>
      <c r="M534" s="1594"/>
      <c r="N534" s="1594"/>
      <c r="O534" s="1594"/>
      <c r="P534" s="1594"/>
      <c r="Q534" s="1594"/>
      <c r="R534" s="1594"/>
      <c r="S534" s="1594"/>
      <c r="T534" s="1594"/>
      <c r="U534" s="1594"/>
      <c r="V534" s="1594"/>
      <c r="W534" s="1594"/>
      <c r="X534" s="1594"/>
      <c r="Y534" s="1594"/>
      <c r="Z534" s="1594"/>
      <c r="AA534" s="1594"/>
      <c r="AB534" s="1594"/>
      <c r="AC534" s="1594"/>
      <c r="AD534" s="1594"/>
      <c r="AE534" s="1594"/>
      <c r="AF534" s="1594"/>
      <c r="AG534" s="82">
        <f>IF(AND($C$534="Yes",$C$525="Yes"),2,0)</f>
        <v>0</v>
      </c>
      <c r="AH534" s="105" t="s">
        <v>2093</v>
      </c>
      <c r="AI534" s="19"/>
      <c r="AJ534" s="86"/>
      <c r="AK534" s="605"/>
      <c r="AN534" s="913"/>
      <c r="AP534" s="76"/>
      <c r="AQ534" s="77"/>
      <c r="AR534" s="77"/>
      <c r="AS534" s="77"/>
      <c r="AT534" s="77"/>
      <c r="AU534" s="77"/>
      <c r="AV534" s="77"/>
      <c r="AW534" s="77"/>
      <c r="AX534" s="77"/>
      <c r="AY534" s="77"/>
      <c r="AZ534" s="144"/>
      <c r="BA534" s="77"/>
      <c r="BB534" s="77"/>
      <c r="BC534" s="52" t="s">
        <v>2127</v>
      </c>
      <c r="BD534" s="1759">
        <f>BJ538</f>
        <v>57</v>
      </c>
      <c r="BE534" s="1759"/>
      <c r="BF534" s="144" t="s">
        <v>2128</v>
      </c>
      <c r="BG534" s="77"/>
      <c r="BH534" s="77"/>
      <c r="BI534" s="77"/>
      <c r="BJ534" s="77"/>
      <c r="BK534" s="145"/>
      <c r="BM534"/>
      <c r="BN534" s="134" t="s">
        <v>2129</v>
      </c>
      <c r="BO534"/>
      <c r="BP534" s="134"/>
      <c r="BQ534" s="134"/>
      <c r="BR534" s="134"/>
      <c r="BS534" s="134"/>
      <c r="BT534" s="134"/>
      <c r="BU534" s="134"/>
      <c r="BV534"/>
      <c r="BW534"/>
      <c r="BX534"/>
      <c r="BY534"/>
      <c r="BZ534"/>
      <c r="CA534"/>
      <c r="CB534"/>
      <c r="CC534"/>
      <c r="CD534"/>
      <c r="CE534"/>
      <c r="CF534" s="55" t="s">
        <v>2130</v>
      </c>
      <c r="CG534"/>
      <c r="CH534"/>
      <c r="CI534"/>
      <c r="CJ534"/>
    </row>
    <row r="535" spans="1:122" s="4" customFormat="1" ht="12.75" hidden="1" customHeight="1">
      <c r="C535" s="922"/>
      <c r="D535" s="613"/>
      <c r="E535" s="624"/>
      <c r="F535" s="603"/>
      <c r="G535" s="1777"/>
      <c r="H535" s="1777"/>
      <c r="I535" s="1777"/>
      <c r="J535" s="1777"/>
      <c r="K535" s="1777"/>
      <c r="L535" s="1777"/>
      <c r="M535" s="1777"/>
      <c r="N535" s="1777"/>
      <c r="O535" s="1777"/>
      <c r="P535" s="1777"/>
      <c r="Q535" s="1777"/>
      <c r="R535" s="1777"/>
      <c r="S535" s="1777"/>
      <c r="T535" s="1777"/>
      <c r="U535" s="1777"/>
      <c r="V535" s="1777"/>
      <c r="W535" s="1777"/>
      <c r="X535" s="1777"/>
      <c r="Y535" s="1777"/>
      <c r="Z535" s="1777"/>
      <c r="AA535" s="1777"/>
      <c r="AB535" s="1777"/>
      <c r="AC535" s="1777"/>
      <c r="AD535" s="1777"/>
      <c r="AE535" s="1777"/>
      <c r="AF535" s="1777"/>
      <c r="AG535" s="626"/>
      <c r="AH535" s="626"/>
      <c r="AI535" s="626"/>
      <c r="AJ535" s="626"/>
      <c r="AK535" s="614"/>
      <c r="AN535" s="913"/>
      <c r="AP535" s="76"/>
      <c r="AQ535" s="77"/>
      <c r="AR535" s="77"/>
      <c r="AS535" s="77"/>
      <c r="AT535" s="77"/>
      <c r="AU535" s="77"/>
      <c r="AV535" s="77"/>
      <c r="AW535" s="77"/>
      <c r="AX535" s="77"/>
      <c r="AY535" s="77"/>
      <c r="AZ535" s="144"/>
      <c r="BA535" s="77"/>
      <c r="BB535" s="77"/>
      <c r="BC535" s="52" t="s">
        <v>2131</v>
      </c>
      <c r="BD535" s="1759">
        <f>SUM(E591:J599)</f>
        <v>57</v>
      </c>
      <c r="BE535" s="1759"/>
      <c r="BF535" s="144" t="s">
        <v>2128</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863</v>
      </c>
      <c r="CD535" s="343"/>
      <c r="CE535" s="344" t="s">
        <v>863</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3"/>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2132</v>
      </c>
      <c r="BJ536" s="1760">
        <v>0</v>
      </c>
      <c r="BK536" s="1761"/>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2133</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2134</v>
      </c>
      <c r="BJ537" s="1760">
        <f>Application!AG439</f>
        <v>0</v>
      </c>
      <c r="BK537" s="1761"/>
      <c r="BM537" s="344"/>
      <c r="BN537" s="343"/>
      <c r="BO537" s="344"/>
      <c r="BP537" s="343"/>
      <c r="BQ537" s="345">
        <f>IF(T620&gt;0,1,0)</f>
        <v>0</v>
      </c>
      <c r="BR537" s="347"/>
      <c r="BS537" s="345">
        <f>IF(Y620&gt;=0.1,1,0)</f>
        <v>0</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753" t="s">
        <v>326</v>
      </c>
      <c r="D538" s="1065"/>
      <c r="E538" s="925" t="s">
        <v>2135</v>
      </c>
      <c r="F538" s="216" t="s">
        <v>2136</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2093</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2137</v>
      </c>
      <c r="BJ538" s="1760">
        <f>Application!AG441</f>
        <v>57</v>
      </c>
      <c r="BK538" s="1761"/>
      <c r="BM538" s="1642"/>
      <c r="BN538" s="1644"/>
      <c r="BO538" s="1642"/>
      <c r="BP538" s="1644"/>
      <c r="BQ538" s="1649"/>
      <c r="BR538" s="1651"/>
      <c r="BS538" s="1649"/>
      <c r="BT538" s="1651"/>
      <c r="BU538" s="1642">
        <f>IF(T621&gt;0,1,0)</f>
        <v>0</v>
      </c>
      <c r="BV538" s="1644"/>
      <c r="BW538" s="1642">
        <f>IF(Y621&gt;=0.1,1,0)</f>
        <v>0</v>
      </c>
      <c r="BX538" s="1644"/>
      <c r="BY538" s="1649"/>
      <c r="BZ538" s="1651"/>
      <c r="CA538" s="1649"/>
      <c r="CB538" s="1651"/>
      <c r="CC538" s="1642"/>
      <c r="CD538" s="1644"/>
      <c r="CE538" s="1642"/>
      <c r="CF538" s="1644"/>
      <c r="CG538"/>
      <c r="CH538"/>
      <c r="CI538"/>
      <c r="CJ538"/>
    </row>
    <row r="539" spans="1:122" s="4" customFormat="1" ht="12.75" hidden="1" customHeight="1">
      <c r="C539" s="921"/>
      <c r="E539" s="119"/>
      <c r="F539" s="1493" t="s">
        <v>326</v>
      </c>
      <c r="G539" s="1493"/>
      <c r="H539" s="1493"/>
      <c r="I539" s="1493"/>
      <c r="J539" s="1493"/>
      <c r="K539" s="1493"/>
      <c r="L539" s="1493"/>
      <c r="M539" s="1493"/>
      <c r="N539" s="1493"/>
      <c r="O539" s="1493"/>
      <c r="P539" s="1493"/>
      <c r="Q539" s="1493"/>
      <c r="R539" s="1493"/>
      <c r="S539" s="1493"/>
      <c r="T539" s="1493"/>
      <c r="U539" s="1493"/>
      <c r="V539" s="1493"/>
      <c r="W539" s="1493"/>
      <c r="X539" s="1493"/>
      <c r="Y539" s="1493"/>
      <c r="Z539" s="1493"/>
      <c r="AA539" s="1493"/>
      <c r="AB539" s="1493"/>
      <c r="AC539" s="1493"/>
      <c r="AD539" s="1493"/>
      <c r="AE539" s="1493"/>
      <c r="AF539" s="1493"/>
      <c r="AG539" s="19"/>
      <c r="AH539" s="19"/>
      <c r="AI539" s="19"/>
      <c r="AJ539" s="19"/>
      <c r="AK539" s="605"/>
      <c r="AN539" s="241"/>
      <c r="BM539" s="1642"/>
      <c r="BN539" s="1644"/>
      <c r="BO539" s="1642"/>
      <c r="BP539" s="1644"/>
      <c r="BQ539" s="1649"/>
      <c r="BR539" s="1651"/>
      <c r="BS539" s="1649"/>
      <c r="BT539" s="1651"/>
      <c r="BU539" s="1642"/>
      <c r="BV539" s="1644"/>
      <c r="BW539" s="1642"/>
      <c r="BX539" s="1644"/>
      <c r="BY539" s="1649">
        <f>IF(T622&gt;0,1,0)</f>
        <v>0</v>
      </c>
      <c r="BZ539" s="1651"/>
      <c r="CA539" s="1649">
        <f>IF(Y622&gt;=0.1,1,0)</f>
        <v>0</v>
      </c>
      <c r="CB539" s="1651"/>
      <c r="CC539" s="1642"/>
      <c r="CD539" s="1644"/>
      <c r="CE539" s="1642"/>
      <c r="CF539" s="1644"/>
      <c r="CG539"/>
      <c r="CH539"/>
      <c r="CI539"/>
      <c r="CJ539"/>
      <c r="CW539"/>
    </row>
    <row r="540" spans="1:122" s="4" customFormat="1" ht="12.75" hidden="1" customHeight="1">
      <c r="C540" s="922"/>
      <c r="D540" s="613"/>
      <c r="E540" s="624"/>
      <c r="F540" s="1780"/>
      <c r="G540" s="1780"/>
      <c r="H540" s="1780"/>
      <c r="I540" s="1780"/>
      <c r="J540" s="1780"/>
      <c r="K540" s="1780"/>
      <c r="L540" s="1780"/>
      <c r="M540" s="1780"/>
      <c r="N540" s="1780"/>
      <c r="O540" s="1780"/>
      <c r="P540" s="1780"/>
      <c r="Q540" s="1780"/>
      <c r="R540" s="1780"/>
      <c r="S540" s="1780"/>
      <c r="T540" s="1780"/>
      <c r="U540" s="1780"/>
      <c r="V540" s="1780"/>
      <c r="W540" s="1780"/>
      <c r="X540" s="1780"/>
      <c r="Y540" s="1780"/>
      <c r="Z540" s="1780"/>
      <c r="AA540" s="1780"/>
      <c r="AB540" s="1780"/>
      <c r="AC540" s="1780"/>
      <c r="AD540" s="1780"/>
      <c r="AE540" s="1780"/>
      <c r="AF540" s="1780"/>
      <c r="AG540" s="626"/>
      <c r="AH540" s="626"/>
      <c r="AI540" s="626"/>
      <c r="AJ540" s="626"/>
      <c r="AK540" s="614"/>
      <c r="AN540" s="241"/>
      <c r="BM540" s="1642"/>
      <c r="BN540" s="1644"/>
      <c r="BO540" s="1642"/>
      <c r="BP540" s="1644"/>
      <c r="BQ540" s="1649"/>
      <c r="BR540" s="1651"/>
      <c r="BS540" s="1649"/>
      <c r="BT540" s="1651"/>
      <c r="BU540" s="1642"/>
      <c r="BV540" s="1644"/>
      <c r="BW540" s="1642"/>
      <c r="BX540" s="1644"/>
      <c r="BY540" s="1649"/>
      <c r="BZ540" s="1651"/>
      <c r="CA540" s="1649"/>
      <c r="CB540" s="1651"/>
      <c r="CC540" s="1642">
        <f>IF(T623&gt;0,1,0)</f>
        <v>1</v>
      </c>
      <c r="CD540" s="1644"/>
      <c r="CE540" s="1642">
        <f>IF(Y623&gt;=0.1,1,0)</f>
        <v>1</v>
      </c>
      <c r="CF540" s="1644"/>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42">
        <f>SUM(BM536:BN540)</f>
        <v>0</v>
      </c>
      <c r="BN541" s="1644"/>
      <c r="BO541" s="1642">
        <f>SUM(BO536:BP540)</f>
        <v>0</v>
      </c>
      <c r="BP541" s="1644"/>
      <c r="BQ541" s="1642">
        <f>SUM(BQ536:BR540)</f>
        <v>0</v>
      </c>
      <c r="BR541" s="1644"/>
      <c r="BS541" s="1642">
        <f>SUM(BS536:BT540)</f>
        <v>0</v>
      </c>
      <c r="BT541" s="1644"/>
      <c r="BU541" s="1642">
        <f>SUM(BU536:BV540)</f>
        <v>0</v>
      </c>
      <c r="BV541" s="1644"/>
      <c r="BW541" s="1642">
        <f>SUM(BW536:BX540)</f>
        <v>0</v>
      </c>
      <c r="BX541" s="1644"/>
      <c r="BY541" s="1642">
        <f>SUM(BY536:BZ540)</f>
        <v>0</v>
      </c>
      <c r="BZ541" s="1644"/>
      <c r="CA541" s="1642">
        <f>SUM(CA536:CB540)</f>
        <v>0</v>
      </c>
      <c r="CB541" s="1644"/>
      <c r="CC541" s="1642">
        <f>SUM(CC536:CD540)</f>
        <v>1</v>
      </c>
      <c r="CD541" s="1644"/>
      <c r="CE541" s="1642">
        <f>SUM(CE536:CF540)</f>
        <v>1</v>
      </c>
      <c r="CF541" s="1644"/>
      <c r="CG541"/>
      <c r="CH541"/>
      <c r="CI541"/>
      <c r="CJ541"/>
    </row>
    <row r="542" spans="1:122" s="4" customFormat="1" ht="12.75" hidden="1" customHeight="1">
      <c r="A542" s="32"/>
      <c r="B542" s="4" t="s">
        <v>2138</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781" t="s">
        <v>2139</v>
      </c>
      <c r="AQ542" s="1782"/>
      <c r="AR542" s="1782"/>
      <c r="AS542" s="1782"/>
      <c r="AT542" s="1783"/>
      <c r="AU542" s="1781" t="s">
        <v>2140</v>
      </c>
      <c r="AV542" s="1782"/>
      <c r="AW542" s="1782"/>
      <c r="AX542" s="1782"/>
      <c r="AY542" s="1783"/>
      <c r="BM542" s="1649">
        <f>SUM(BM541:BP541)</f>
        <v>0</v>
      </c>
      <c r="BN542" s="1650"/>
      <c r="BO542" s="1650"/>
      <c r="BP542" s="1651"/>
      <c r="BQ542" s="1649">
        <f>SUM(BQ541:BT541)</f>
        <v>0</v>
      </c>
      <c r="BR542" s="1650"/>
      <c r="BS542" s="1650"/>
      <c r="BT542" s="1651"/>
      <c r="BU542" s="1649">
        <f>SUM(BU541:BX541)</f>
        <v>0</v>
      </c>
      <c r="BV542" s="1650"/>
      <c r="BW542" s="1650"/>
      <c r="BX542" s="1651"/>
      <c r="BY542" s="1649">
        <f>SUM(BY541:CB541)</f>
        <v>0</v>
      </c>
      <c r="BZ542" s="1650"/>
      <c r="CA542" s="1650"/>
      <c r="CB542" s="1651"/>
      <c r="CC542" s="1649">
        <f>SUM(CC541:CF541)</f>
        <v>2</v>
      </c>
      <c r="CD542" s="1650"/>
      <c r="CE542" s="1650"/>
      <c r="CF542" s="1651"/>
      <c r="CG542"/>
      <c r="CH542"/>
      <c r="CI542"/>
      <c r="CJ542"/>
    </row>
    <row r="543" spans="1:122" s="4" customFormat="1" ht="12.75" hidden="1" customHeight="1">
      <c r="A543" s="32"/>
      <c r="B543" s="4" t="s">
        <v>2141</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71">
        <f>RANK(T619,$T$619:$X$623,0)+COUNTIF($T$619:$X$623,T619)-1</f>
        <v>5</v>
      </c>
      <c r="AQ543" s="1772"/>
      <c r="AR543" s="1772"/>
      <c r="AS543" s="1772"/>
      <c r="AT543" s="1773"/>
      <c r="AU543" s="1771">
        <f>RANK(Y619,$Y$619:$AC$623,0)+COUNTIF($Y$619:$AC$623,Y619)-1</f>
        <v>5</v>
      </c>
      <c r="AV543" s="1772"/>
      <c r="AW543" s="1772"/>
      <c r="AX543" s="1772"/>
      <c r="AY543" s="1773"/>
      <c r="BM543" s="1649"/>
      <c r="BN543" s="1650"/>
      <c r="BO543" s="1650"/>
      <c r="BP543" s="1651"/>
      <c r="BQ543" s="1649">
        <f>IF(AND(BQ542=2,BM542=1),1,0)</f>
        <v>0</v>
      </c>
      <c r="BR543" s="1650"/>
      <c r="BS543" s="1650"/>
      <c r="BT543" s="1651"/>
      <c r="BU543" s="1649">
        <f>IF(AND(BU542=2,BQ542=1),1,0)</f>
        <v>0</v>
      </c>
      <c r="BV543" s="1650"/>
      <c r="BW543" s="1650"/>
      <c r="BX543" s="1651"/>
      <c r="BY543" s="1649">
        <f>IF(AND(BY542=2,BU542=1),1,0)</f>
        <v>0</v>
      </c>
      <c r="BZ543" s="1650"/>
      <c r="CA543" s="1650"/>
      <c r="CB543" s="1651"/>
      <c r="CC543" s="1649">
        <f>IF(AND(CC542=2,BU542=1),1,0)</f>
        <v>0</v>
      </c>
      <c r="CD543" s="1650"/>
      <c r="CE543" s="1650"/>
      <c r="CF543" s="1651"/>
      <c r="CG543"/>
      <c r="CH543"/>
      <c r="CI543"/>
      <c r="CJ543"/>
    </row>
    <row r="544" spans="1:122" s="4" customFormat="1" ht="12.75" hidden="1" customHeight="1">
      <c r="A544" s="32"/>
      <c r="B544" s="4" t="s">
        <v>2142</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71">
        <f>RANK(T620,$T$619:$X$623,0)+COUNTIF($T$619:$X$623,T620)-1</f>
        <v>5</v>
      </c>
      <c r="AQ544" s="1772"/>
      <c r="AR544" s="1772"/>
      <c r="AS544" s="1772"/>
      <c r="AT544" s="1773"/>
      <c r="AU544" s="1771">
        <f>RANK(Y620,$Y$619:$AC$623,0)+COUNTIF($Y$619:$AC$623,Y620)-1</f>
        <v>5</v>
      </c>
      <c r="AV544" s="1772"/>
      <c r="AW544" s="1772"/>
      <c r="AX544" s="1772"/>
      <c r="AY544" s="1773"/>
      <c r="BM544" s="1649"/>
      <c r="BN544" s="1650"/>
      <c r="BO544" s="1650"/>
      <c r="BP544" s="1651"/>
      <c r="BQ544" s="1649"/>
      <c r="BR544" s="1650"/>
      <c r="BS544" s="1650"/>
      <c r="BT544" s="1651"/>
      <c r="BU544" s="1649">
        <f>IF(AND(BU542=2,BM542=1),1,0)</f>
        <v>0</v>
      </c>
      <c r="BV544" s="1650"/>
      <c r="BW544" s="1650"/>
      <c r="BX544" s="1651"/>
      <c r="BY544" s="1649">
        <f>IF(AND(BY542=2,BQ542=1),1,0)</f>
        <v>0</v>
      </c>
      <c r="BZ544" s="1650"/>
      <c r="CA544" s="1650"/>
      <c r="CB544" s="1651"/>
      <c r="CC544" s="1649">
        <f>IF(AND(CC543=2,BY543=1),1,0)</f>
        <v>0</v>
      </c>
      <c r="CD544" s="1650"/>
      <c r="CE544" s="1650"/>
      <c r="CF544" s="1651"/>
      <c r="CG544"/>
      <c r="CH544"/>
      <c r="CI544"/>
      <c r="CJ544"/>
    </row>
    <row r="545" spans="1:89" s="4" customFormat="1" ht="12.75" hidden="1" customHeight="1">
      <c r="A545" s="32"/>
      <c r="B545" s="4" t="s">
        <v>2143</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71">
        <f>RANK(T621,$T$619:$X$623,0)+COUNTIF($T$619:$X$623,T621)-1</f>
        <v>5</v>
      </c>
      <c r="AQ545" s="1772"/>
      <c r="AR545" s="1772"/>
      <c r="AS545" s="1772"/>
      <c r="AT545" s="1773"/>
      <c r="AU545" s="1771">
        <f>RANK(Y621,$Y$619:$AC$623,0)+COUNTIF($Y$619:$AC$623,Y621)-1</f>
        <v>5</v>
      </c>
      <c r="AV545" s="1772"/>
      <c r="AW545" s="1772"/>
      <c r="AX545" s="1772"/>
      <c r="AY545" s="1773"/>
      <c r="BM545" s="1649"/>
      <c r="BN545" s="1650"/>
      <c r="BO545" s="1650"/>
      <c r="BP545" s="1651"/>
      <c r="BQ545" s="1649"/>
      <c r="BR545" s="1650"/>
      <c r="BS545" s="1650"/>
      <c r="BT545" s="1651"/>
      <c r="BU545" s="1649"/>
      <c r="BV545" s="1650"/>
      <c r="BW545" s="1650"/>
      <c r="BX545" s="1651"/>
      <c r="BY545" s="1649">
        <f>IF(AND(BY542=2,BM542=1),1,0)</f>
        <v>0</v>
      </c>
      <c r="BZ545" s="1650"/>
      <c r="CA545" s="1650"/>
      <c r="CB545" s="1651"/>
      <c r="CC545" s="1649">
        <f>IF(AND(CC542=2,BQ542=1),1,0)</f>
        <v>0</v>
      </c>
      <c r="CD545" s="1650"/>
      <c r="CE545" s="1650"/>
      <c r="CF545" s="1651"/>
      <c r="CG545"/>
      <c r="CH545"/>
      <c r="CI545"/>
      <c r="CJ545"/>
    </row>
    <row r="546" spans="1:89" s="4" customFormat="1" ht="12.75" hidden="1" customHeight="1">
      <c r="A546" s="32"/>
      <c r="B546" s="4" t="s">
        <v>2144</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71">
        <f>RANK(T622,$T$619:$X$623,0)+COUNTIF($T$619:$X$623,T622)-1</f>
        <v>5</v>
      </c>
      <c r="AQ546" s="1772"/>
      <c r="AR546" s="1772"/>
      <c r="AS546" s="1772"/>
      <c r="AT546" s="1773"/>
      <c r="AU546" s="1771">
        <f>RANK(Y622,$Y$619:$AC$623,0)+COUNTIF($Y$619:$AC$623,Y622)-1</f>
        <v>5</v>
      </c>
      <c r="AV546" s="1772"/>
      <c r="AW546" s="1772"/>
      <c r="AX546" s="1772"/>
      <c r="AY546" s="1773"/>
      <c r="BM546" s="1649"/>
      <c r="BN546" s="1650"/>
      <c r="BO546" s="1650"/>
      <c r="BP546" s="1651"/>
      <c r="BQ546" s="1649"/>
      <c r="BR546" s="1650"/>
      <c r="BS546" s="1650"/>
      <c r="BT546" s="1651"/>
      <c r="BU546" s="1649"/>
      <c r="BV546" s="1650"/>
      <c r="BW546" s="1650"/>
      <c r="BX546" s="1651"/>
      <c r="BY546" s="1649"/>
      <c r="BZ546" s="1650"/>
      <c r="CA546" s="1650"/>
      <c r="CB546" s="1651"/>
      <c r="CC546" s="1649">
        <f>IF(AND(CC542=2,BM542=1),1,0)</f>
        <v>0</v>
      </c>
      <c r="CD546" s="1650"/>
      <c r="CE546" s="1650"/>
      <c r="CF546" s="1651"/>
      <c r="CG546"/>
      <c r="CH546"/>
      <c r="CI546"/>
      <c r="CJ546"/>
    </row>
    <row r="547" spans="1:89" s="4" customFormat="1" ht="12.75" hidden="1" customHeight="1">
      <c r="A547" s="32"/>
      <c r="B547" s="4" t="s">
        <v>2145</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71">
        <f>RANK(T623,$T$619:$X$623,0)+COUNTIF($T$619:$X$623,T623)-1</f>
        <v>1</v>
      </c>
      <c r="AQ547" s="1772"/>
      <c r="AR547" s="1772"/>
      <c r="AS547" s="1772"/>
      <c r="AT547" s="1773"/>
      <c r="AU547" s="1771">
        <f>RANK(Y623,$Y$619:$AC$623,0)+COUNTIF($Y$619:$AC$623,Y623)-1</f>
        <v>1</v>
      </c>
      <c r="AV547" s="1772"/>
      <c r="AW547" s="1772"/>
      <c r="AX547" s="1772"/>
      <c r="AY547" s="1773"/>
      <c r="BM547" s="1649">
        <f>SUM(BM543:BP546)</f>
        <v>0</v>
      </c>
      <c r="BN547" s="1650"/>
      <c r="BO547" s="1650"/>
      <c r="BP547" s="1651"/>
      <c r="BQ547" s="1649">
        <f>SUM(BQ543:BT546)</f>
        <v>0</v>
      </c>
      <c r="BR547" s="1650"/>
      <c r="BS547" s="1650"/>
      <c r="BT547" s="1651"/>
      <c r="BU547" s="1649">
        <f>SUM(BU543:BX546)</f>
        <v>0</v>
      </c>
      <c r="BV547" s="1650"/>
      <c r="BW547" s="1650"/>
      <c r="BX547" s="1651"/>
      <c r="BY547" s="1649">
        <f>SUM(BY543:CB546)</f>
        <v>0</v>
      </c>
      <c r="BZ547" s="1650"/>
      <c r="CA547" s="1650"/>
      <c r="CB547" s="1651"/>
      <c r="CC547" s="1649">
        <f>SUM(CC543:CF546)</f>
        <v>0</v>
      </c>
      <c r="CD547" s="1650"/>
      <c r="CE547" s="1650"/>
      <c r="CF547" s="1651"/>
      <c r="CG547" s="1649">
        <f>SUM(BM547:CF547)</f>
        <v>0</v>
      </c>
      <c r="CH547" s="1650"/>
      <c r="CI547" s="1650"/>
      <c r="CJ547" s="1651"/>
    </row>
    <row r="548" spans="1:89" s="4" customFormat="1" ht="12.75" hidden="1" customHeight="1">
      <c r="A548" s="32"/>
      <c r="B548" s="4" t="s">
        <v>2146</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7"/>
      <c r="AD550" s="102"/>
      <c r="AE550" s="102"/>
      <c r="AF550" s="102"/>
      <c r="AG550" s="102"/>
      <c r="AH550" s="77"/>
      <c r="AI550" s="53"/>
      <c r="AJ550" s="53" t="s">
        <v>2147</v>
      </c>
      <c r="AK550" s="1034">
        <f>SUM(AG494:AG539)</f>
        <v>0</v>
      </c>
      <c r="AL550" s="1035"/>
      <c r="AM550" s="1037"/>
      <c r="AN550" s="241"/>
      <c r="AP550" s="121" t="s">
        <v>2148</v>
      </c>
      <c r="AQ550" s="122"/>
      <c r="AR550" s="122"/>
      <c r="AS550" s="122"/>
      <c r="AT550" s="122"/>
      <c r="AU550" s="122"/>
      <c r="AV550" s="122"/>
      <c r="AW550" s="122"/>
      <c r="AX550" s="122"/>
      <c r="AY550" s="122"/>
      <c r="AZ550" s="123"/>
      <c r="CH550" s="56" t="s">
        <v>2130</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2149</v>
      </c>
      <c r="AQ551" s="125"/>
      <c r="AR551" s="125"/>
      <c r="AS551" s="125"/>
      <c r="AT551" s="125"/>
      <c r="AU551" s="125"/>
      <c r="AV551" s="125"/>
      <c r="AW551" s="125"/>
      <c r="AX551" s="125"/>
      <c r="AY551" s="1642">
        <f>SUM(O619:S623)</f>
        <v>57</v>
      </c>
      <c r="AZ551" s="1644"/>
      <c r="CG551"/>
      <c r="CH551" s="1684" t="s">
        <v>2150</v>
      </c>
      <c r="CI551" s="1400"/>
      <c r="CJ551" s="1400"/>
      <c r="CK551" s="1401"/>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2151</v>
      </c>
      <c r="AQ552" s="127"/>
      <c r="AR552" s="127"/>
      <c r="AS552" s="1642" t="str">
        <f>IF(AY551=BK578,"passed","failed")</f>
        <v>passed</v>
      </c>
      <c r="AT552" s="1643"/>
      <c r="AU552" s="1644"/>
      <c r="AV552" s="127"/>
      <c r="AW552" s="127"/>
      <c r="AX552" s="127"/>
      <c r="AY552" s="127"/>
      <c r="AZ552" s="128"/>
      <c r="CG552"/>
      <c r="CH552" s="1402"/>
      <c r="CI552" s="1403"/>
      <c r="CJ552" s="1403"/>
      <c r="CK552" s="1404"/>
    </row>
    <row r="553" spans="1:89" s="4" customFormat="1" ht="12.75" customHeight="1">
      <c r="A553" s="3" t="s">
        <v>2152</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68" t="s">
        <v>2153</v>
      </c>
      <c r="AF553" s="1568"/>
      <c r="AG553" s="1568"/>
      <c r="AH553" s="1568"/>
      <c r="AI553" s="1568"/>
      <c r="AJ553" s="1568"/>
      <c r="AK553" s="1568"/>
      <c r="AL553" s="18"/>
      <c r="AM553" s="21"/>
      <c r="AN553" s="241"/>
      <c r="BE553"/>
      <c r="BF553"/>
      <c r="BG553"/>
      <c r="BH553"/>
      <c r="BI553"/>
      <c r="BJ553"/>
      <c r="BK553"/>
      <c r="BL553"/>
      <c r="BM553"/>
      <c r="BN553"/>
      <c r="BO553"/>
      <c r="BP553"/>
      <c r="BQ553"/>
      <c r="BR553" s="55" t="s">
        <v>2130</v>
      </c>
      <c r="BS553"/>
      <c r="BT553"/>
      <c r="BU553"/>
      <c r="BV553"/>
      <c r="BW553"/>
      <c r="BX553"/>
      <c r="BY553"/>
      <c r="BZ553"/>
      <c r="CA553"/>
      <c r="CB553"/>
      <c r="CC553"/>
      <c r="CG553"/>
      <c r="CH553" s="1402"/>
      <c r="CI553" s="1403"/>
      <c r="CJ553" s="1403"/>
      <c r="CK553" s="1404"/>
    </row>
    <row r="554" spans="1:89" s="4" customFormat="1" ht="12.75" customHeight="1">
      <c r="B554" s="105" t="s">
        <v>2154</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58" t="s">
        <v>2155</v>
      </c>
      <c r="AH554" s="1558"/>
      <c r="AI554" s="1558"/>
      <c r="AJ554" s="1558"/>
      <c r="AK554" s="18"/>
      <c r="AL554" s="18"/>
      <c r="AM554" s="21"/>
      <c r="AN554" s="241"/>
      <c r="BE554" s="1649" t="s">
        <v>2156</v>
      </c>
      <c r="BF554" s="1650"/>
      <c r="BG554" s="1650"/>
      <c r="BH554" s="1651"/>
      <c r="BI554" s="1649" t="s">
        <v>2157</v>
      </c>
      <c r="BJ554" s="1650"/>
      <c r="BK554" s="1650"/>
      <c r="BL554" s="1651"/>
      <c r="BM554" s="1649" t="s">
        <v>2158</v>
      </c>
      <c r="BN554" s="1650"/>
      <c r="BO554" s="1650"/>
      <c r="BP554" s="1651"/>
      <c r="BQ554" s="1649" t="s">
        <v>2159</v>
      </c>
      <c r="BR554" s="1650"/>
      <c r="BS554" s="1650"/>
      <c r="BT554" s="1651"/>
      <c r="BU554" s="1649" t="s">
        <v>2160</v>
      </c>
      <c r="BV554" s="1650"/>
      <c r="BW554" s="1650"/>
      <c r="BX554" s="1651"/>
      <c r="BY554" s="1649" t="s">
        <v>2161</v>
      </c>
      <c r="BZ554" s="1650"/>
      <c r="CA554" s="1650"/>
      <c r="CB554" s="1651"/>
      <c r="CC554"/>
      <c r="CG554"/>
      <c r="CH554" s="1402"/>
      <c r="CI554" s="1403"/>
      <c r="CJ554" s="1403"/>
      <c r="CK554" s="1404"/>
    </row>
    <row r="555" spans="1:89" s="4" customFormat="1" ht="12.75" customHeight="1">
      <c r="A555" s="3"/>
      <c r="B555" s="1737" t="s">
        <v>2162</v>
      </c>
      <c r="C555" s="1737"/>
      <c r="D555" s="1737"/>
      <c r="E555" s="1737"/>
      <c r="F555" s="1737"/>
      <c r="G555" s="1737"/>
      <c r="H555" s="1737"/>
      <c r="I555" s="1737"/>
      <c r="J555" s="1737"/>
      <c r="K555" s="1737"/>
      <c r="L555" s="1737"/>
      <c r="M555" s="1737"/>
      <c r="N555" s="1737"/>
      <c r="O555" s="1737"/>
      <c r="P555" s="1737"/>
      <c r="Q555" s="1737"/>
      <c r="R555" s="1737"/>
      <c r="S555" s="1737"/>
      <c r="T555" s="1737"/>
      <c r="U555" s="1737"/>
      <c r="V555" s="1737"/>
      <c r="W555" s="1737"/>
      <c r="X555" s="1737"/>
      <c r="Y555" s="1737"/>
      <c r="Z555" s="1737"/>
      <c r="AA555" s="1737"/>
      <c r="AB555" s="1737"/>
      <c r="AC555" s="1737"/>
      <c r="AD555" s="1737"/>
      <c r="AE555" s="1737"/>
      <c r="AF555" s="1737"/>
      <c r="AG555" s="1737"/>
      <c r="AK555" s="21"/>
      <c r="AL555" s="21"/>
      <c r="AN555" s="241"/>
      <c r="AP555" s="356" t="s">
        <v>2163</v>
      </c>
      <c r="AQ555" s="357"/>
      <c r="AR555" s="357"/>
      <c r="AS555" s="357"/>
      <c r="AT555" s="357"/>
      <c r="AU555" s="357"/>
      <c r="AV555" s="358"/>
      <c r="AW555" s="357"/>
      <c r="AX555" s="357"/>
      <c r="AY555" s="358"/>
      <c r="BE555" s="1642">
        <f>IF(CH556=1,0,1)</f>
        <v>0</v>
      </c>
      <c r="BF555" s="1643"/>
      <c r="BG555" s="1643"/>
      <c r="BH555" s="1644"/>
      <c r="BI555" s="1642"/>
      <c r="BJ555" s="1643"/>
      <c r="BK555" s="1643"/>
      <c r="BL555" s="1644"/>
      <c r="BM555" s="1642"/>
      <c r="BN555" s="1643"/>
      <c r="BO555" s="1643"/>
      <c r="BP555" s="1644"/>
      <c r="BQ555" s="1642"/>
      <c r="BR555" s="1643"/>
      <c r="BS555" s="1643"/>
      <c r="BT555" s="1644"/>
      <c r="BU555" s="1649"/>
      <c r="BV555" s="1650"/>
      <c r="BW555" s="1650"/>
      <c r="BX555" s="1651"/>
      <c r="BY555" s="1649"/>
      <c r="BZ555" s="1650"/>
      <c r="CA555" s="1650"/>
      <c r="CB555" s="1651"/>
      <c r="CC555"/>
      <c r="CG555"/>
      <c r="CH555" s="1446"/>
      <c r="CI555" s="1447"/>
      <c r="CJ555" s="1447"/>
      <c r="CK555" s="1448"/>
    </row>
    <row r="556" spans="1:89" s="4" customFormat="1" ht="12.75" customHeight="1">
      <c r="A556" s="20"/>
      <c r="B556" s="1737"/>
      <c r="C556" s="1737"/>
      <c r="D556" s="1737"/>
      <c r="E556" s="1737"/>
      <c r="F556" s="1737"/>
      <c r="G556" s="1737"/>
      <c r="H556" s="1737"/>
      <c r="I556" s="1737"/>
      <c r="J556" s="1737"/>
      <c r="K556" s="1737"/>
      <c r="L556" s="1737"/>
      <c r="M556" s="1737"/>
      <c r="N556" s="1737"/>
      <c r="O556" s="1737"/>
      <c r="P556" s="1737"/>
      <c r="Q556" s="1737"/>
      <c r="R556" s="1737"/>
      <c r="S556" s="1737"/>
      <c r="T556" s="1737"/>
      <c r="U556" s="1737"/>
      <c r="V556" s="1737"/>
      <c r="W556" s="1737"/>
      <c r="X556" s="1737"/>
      <c r="Y556" s="1737"/>
      <c r="Z556" s="1737"/>
      <c r="AA556" s="1737"/>
      <c r="AB556" s="1737"/>
      <c r="AC556" s="1737"/>
      <c r="AD556" s="1737"/>
      <c r="AE556" s="1737"/>
      <c r="AF556" s="1737"/>
      <c r="AG556" s="1737"/>
      <c r="AK556" s="139"/>
      <c r="AL556" s="139"/>
      <c r="AM556" s="139"/>
      <c r="AN556" s="241"/>
      <c r="AP556" s="359" t="s">
        <v>2164</v>
      </c>
      <c r="AQ556" s="360"/>
      <c r="AR556" s="360"/>
      <c r="AS556" s="360"/>
      <c r="AT556" s="360"/>
      <c r="AU556" s="1674">
        <f>ROUNDUP(BK578*0.1,0)</f>
        <v>6</v>
      </c>
      <c r="AV556" s="1676"/>
      <c r="AW556" s="360"/>
      <c r="AX556" s="360">
        <f>AU556-AP558</f>
        <v>-51</v>
      </c>
      <c r="AY556" s="361"/>
      <c r="BE556" s="1642"/>
      <c r="BF556" s="1643"/>
      <c r="BG556" s="1643"/>
      <c r="BH556" s="1644"/>
      <c r="BI556" s="1642">
        <f>IF(AND(CH557=1,BE555=0),0,1)</f>
        <v>0</v>
      </c>
      <c r="BJ556" s="1643"/>
      <c r="BK556" s="1643"/>
      <c r="BL556" s="1644"/>
      <c r="BM556" s="1642"/>
      <c r="BN556" s="1643"/>
      <c r="BO556" s="1643"/>
      <c r="BP556" s="1644"/>
      <c r="BQ556" s="1642"/>
      <c r="BR556" s="1643"/>
      <c r="BS556" s="1643"/>
      <c r="BT556" s="1644"/>
      <c r="BU556" s="1649"/>
      <c r="BV556" s="1650"/>
      <c r="BW556" s="1650"/>
      <c r="BX556" s="1651"/>
      <c r="BY556" s="1649"/>
      <c r="BZ556" s="1650"/>
      <c r="CA556" s="1650"/>
      <c r="CB556" s="1651"/>
      <c r="CC556"/>
      <c r="CG556"/>
      <c r="CH556" s="1649">
        <f>IF(OR(Y619=0,Y619&gt;=0.1),1,0)</f>
        <v>1</v>
      </c>
      <c r="CI556" s="1650"/>
      <c r="CJ556" s="1650"/>
      <c r="CK556" s="1651"/>
    </row>
    <row r="557" spans="1:89" s="4" customFormat="1" ht="12.75" customHeight="1">
      <c r="B557" s="1737"/>
      <c r="C557" s="1737"/>
      <c r="D557" s="1737"/>
      <c r="E557" s="1737"/>
      <c r="F557" s="1737"/>
      <c r="G557" s="1737"/>
      <c r="H557" s="1737"/>
      <c r="I557" s="1737"/>
      <c r="J557" s="1737"/>
      <c r="K557" s="1737"/>
      <c r="L557" s="1737"/>
      <c r="M557" s="1737"/>
      <c r="N557" s="1737"/>
      <c r="O557" s="1737"/>
      <c r="P557" s="1737"/>
      <c r="Q557" s="1737"/>
      <c r="R557" s="1737"/>
      <c r="S557" s="1737"/>
      <c r="T557" s="1737"/>
      <c r="U557" s="1737"/>
      <c r="V557" s="1737"/>
      <c r="W557" s="1737"/>
      <c r="X557" s="1737"/>
      <c r="Y557" s="1737"/>
      <c r="Z557" s="1737"/>
      <c r="AA557" s="1737"/>
      <c r="AB557" s="1737"/>
      <c r="AC557" s="1737"/>
      <c r="AD557" s="1737"/>
      <c r="AE557" s="1737"/>
      <c r="AF557" s="1737"/>
      <c r="AG557" s="1737"/>
      <c r="AH557" s="138"/>
      <c r="AI557" s="138"/>
      <c r="AJ557" s="138"/>
      <c r="AK557" s="139"/>
      <c r="AL557" s="139"/>
      <c r="AM557" s="139"/>
      <c r="AN557" s="241"/>
      <c r="AP557" s="359"/>
      <c r="AQ557" s="360"/>
      <c r="AR557" s="360"/>
      <c r="AS557" s="360"/>
      <c r="AT557" s="360"/>
      <c r="AU557" s="360"/>
      <c r="AV557" s="361"/>
      <c r="AW557" s="360"/>
      <c r="AX557" s="360"/>
      <c r="AY557" s="361"/>
      <c r="BE557" s="1642"/>
      <c r="BF557" s="1643"/>
      <c r="BG557" s="1643"/>
      <c r="BH557" s="1644"/>
      <c r="BI557" s="1642"/>
      <c r="BJ557" s="1643"/>
      <c r="BK557" s="1643"/>
      <c r="BL557" s="1644"/>
      <c r="BM557" s="1642">
        <f>IF(AND(AND(CH558=1,BI556=0,BE555=0)),0,1)</f>
        <v>0</v>
      </c>
      <c r="BN557" s="1643"/>
      <c r="BO557" s="1643"/>
      <c r="BP557" s="1644"/>
      <c r="BQ557" s="1642"/>
      <c r="BR557" s="1643"/>
      <c r="BS557" s="1643"/>
      <c r="BT557" s="1644"/>
      <c r="BU557" s="1649"/>
      <c r="BV557" s="1650"/>
      <c r="BW557" s="1650"/>
      <c r="BX557" s="1651"/>
      <c r="BY557" s="1649"/>
      <c r="BZ557" s="1650"/>
      <c r="CA557" s="1650"/>
      <c r="CB557" s="1651"/>
      <c r="CC557"/>
      <c r="CG557"/>
      <c r="CH557" s="1649">
        <f>IF(OR(Y620=0,Y620&gt;=0.1),1,0)</f>
        <v>1</v>
      </c>
      <c r="CI557" s="1650"/>
      <c r="CJ557" s="1650"/>
      <c r="CK557" s="1651"/>
    </row>
    <row r="558" spans="1:89" s="4" customFormat="1" ht="12.75" customHeight="1">
      <c r="B558" s="1737"/>
      <c r="C558" s="1737"/>
      <c r="D558" s="1737"/>
      <c r="E558" s="1737"/>
      <c r="F558" s="1737"/>
      <c r="G558" s="1737"/>
      <c r="H558" s="1737"/>
      <c r="I558" s="1737"/>
      <c r="J558" s="1737"/>
      <c r="K558" s="1737"/>
      <c r="L558" s="1737"/>
      <c r="M558" s="1737"/>
      <c r="N558" s="1737"/>
      <c r="O558" s="1737"/>
      <c r="P558" s="1737"/>
      <c r="Q558" s="1737"/>
      <c r="R558" s="1737"/>
      <c r="S558" s="1737"/>
      <c r="T558" s="1737"/>
      <c r="U558" s="1737"/>
      <c r="V558" s="1737"/>
      <c r="W558" s="1737"/>
      <c r="X558" s="1737"/>
      <c r="Y558" s="1737"/>
      <c r="Z558" s="1737"/>
      <c r="AA558" s="1737"/>
      <c r="AB558" s="1737"/>
      <c r="AC558" s="1737"/>
      <c r="AD558" s="1737"/>
      <c r="AE558" s="1737"/>
      <c r="AF558" s="1737"/>
      <c r="AG558" s="1737"/>
      <c r="AH558" s="138"/>
      <c r="AI558" s="138"/>
      <c r="AJ558" s="138"/>
      <c r="AK558" s="139"/>
      <c r="AL558" s="139"/>
      <c r="AM558" s="139"/>
      <c r="AN558" s="241"/>
      <c r="AP558" s="1732">
        <f>SUM(T619:X623)</f>
        <v>57</v>
      </c>
      <c r="AQ558" s="1733"/>
      <c r="AR558" s="1733"/>
      <c r="AS558" s="1733"/>
      <c r="AT558" s="1734"/>
      <c r="AU558" s="360"/>
      <c r="AV558" s="361"/>
      <c r="AW558" s="360"/>
      <c r="AX558" s="360"/>
      <c r="AY558" s="361"/>
      <c r="BE558" s="1642"/>
      <c r="BF558" s="1643"/>
      <c r="BG558" s="1643"/>
      <c r="BH558" s="1644"/>
      <c r="BI558" s="1642"/>
      <c r="BJ558" s="1643"/>
      <c r="BK558" s="1643"/>
      <c r="BL558" s="1644"/>
      <c r="BM558" s="1642"/>
      <c r="BN558" s="1643"/>
      <c r="BO558" s="1643"/>
      <c r="BP558" s="1644"/>
      <c r="BQ558" s="1642">
        <f>IF(AND(AND(AND(CH559=1,BM557=0,BI556=0,BE555=0))),0,1)</f>
        <v>0</v>
      </c>
      <c r="BR558" s="1643"/>
      <c r="BS558" s="1643"/>
      <c r="BT558" s="1644"/>
      <c r="BU558" s="1649"/>
      <c r="BV558" s="1650"/>
      <c r="BW558" s="1650"/>
      <c r="BX558" s="1651"/>
      <c r="BY558" s="1649"/>
      <c r="BZ558" s="1650"/>
      <c r="CA558" s="1650"/>
      <c r="CB558" s="1651"/>
      <c r="CC558"/>
      <c r="CG558"/>
      <c r="CH558" s="1649">
        <f>IF(OR(Y621=0,Y621&gt;=0.1),1,0)</f>
        <v>1</v>
      </c>
      <c r="CI558" s="1650"/>
      <c r="CJ558" s="1650"/>
      <c r="CK558" s="1651"/>
    </row>
    <row r="559" spans="1:89" s="4" customFormat="1" ht="12.75" customHeight="1">
      <c r="B559" s="1737"/>
      <c r="C559" s="1737"/>
      <c r="D559" s="1737"/>
      <c r="E559" s="1737"/>
      <c r="F559" s="1737"/>
      <c r="G559" s="1737"/>
      <c r="H559" s="1737"/>
      <c r="I559" s="1737"/>
      <c r="J559" s="1737"/>
      <c r="K559" s="1737"/>
      <c r="L559" s="1737"/>
      <c r="M559" s="1737"/>
      <c r="N559" s="1737"/>
      <c r="O559" s="1737"/>
      <c r="P559" s="1737"/>
      <c r="Q559" s="1737"/>
      <c r="R559" s="1737"/>
      <c r="S559" s="1737"/>
      <c r="T559" s="1737"/>
      <c r="U559" s="1737"/>
      <c r="V559" s="1737"/>
      <c r="W559" s="1737"/>
      <c r="X559" s="1737"/>
      <c r="Y559" s="1737"/>
      <c r="Z559" s="1737"/>
      <c r="AA559" s="1737"/>
      <c r="AB559" s="1737"/>
      <c r="AC559" s="1737"/>
      <c r="AD559" s="1737"/>
      <c r="AE559" s="1737"/>
      <c r="AF559" s="1737"/>
      <c r="AG559" s="1737"/>
      <c r="AH559" s="138"/>
      <c r="AI559" s="138"/>
      <c r="AJ559" s="138"/>
      <c r="AK559" s="139"/>
      <c r="AL559" s="139"/>
      <c r="AM559" s="139"/>
      <c r="AN559" s="241"/>
      <c r="AP559" s="362"/>
      <c r="AQ559" s="363"/>
      <c r="AR559" s="363"/>
      <c r="AS559" s="363"/>
      <c r="AT559" s="364" t="s">
        <v>2151</v>
      </c>
      <c r="AU559" s="1674" t="str">
        <f>IF(AP558&gt;=AU556,"passed","failed")</f>
        <v>passed</v>
      </c>
      <c r="AV559" s="1675"/>
      <c r="AW559" s="1676"/>
      <c r="AX559" s="365"/>
      <c r="AY559" s="366"/>
      <c r="BE559" s="1642"/>
      <c r="BF559" s="1643"/>
      <c r="BG559" s="1643"/>
      <c r="BH559" s="1644"/>
      <c r="BI559" s="1642"/>
      <c r="BJ559" s="1643"/>
      <c r="BK559" s="1643"/>
      <c r="BL559" s="1644"/>
      <c r="BM559" s="1642"/>
      <c r="BN559" s="1643"/>
      <c r="BO559" s="1643"/>
      <c r="BP559" s="1644"/>
      <c r="BQ559" s="1642"/>
      <c r="BR559" s="1643"/>
      <c r="BS559" s="1643"/>
      <c r="BT559" s="1644"/>
      <c r="BU559" s="1642">
        <f>IF(AND(AND(AND(AND(CH560=1,BQ558=0,BM557=0,BI556=0,BE555=0)))),0,1)</f>
        <v>0</v>
      </c>
      <c r="BV559" s="1643"/>
      <c r="BW559" s="1643"/>
      <c r="BX559" s="1644"/>
      <c r="BY559" s="1649"/>
      <c r="BZ559" s="1650"/>
      <c r="CA559" s="1650"/>
      <c r="CB559" s="1651"/>
      <c r="CC559"/>
      <c r="CD559"/>
      <c r="CE559"/>
      <c r="CF559"/>
      <c r="CG559"/>
      <c r="CH559" s="1649">
        <f>IF(OR(Y622=0,Y622&gt;=0.1),1,0)</f>
        <v>1</v>
      </c>
      <c r="CI559" s="1650"/>
      <c r="CJ559" s="1650"/>
      <c r="CK559" s="1651"/>
    </row>
    <row r="560" spans="1:89" s="4" customFormat="1" ht="13.7" customHeight="1">
      <c r="B560" s="1737"/>
      <c r="C560" s="1737"/>
      <c r="D560" s="1737"/>
      <c r="E560" s="1737"/>
      <c r="F560" s="1737"/>
      <c r="G560" s="1737"/>
      <c r="H560" s="1737"/>
      <c r="I560" s="1737"/>
      <c r="J560" s="1737"/>
      <c r="K560" s="1737"/>
      <c r="L560" s="1737"/>
      <c r="M560" s="1737"/>
      <c r="N560" s="1737"/>
      <c r="O560" s="1737"/>
      <c r="P560" s="1737"/>
      <c r="Q560" s="1737"/>
      <c r="R560" s="1737"/>
      <c r="S560" s="1737"/>
      <c r="T560" s="1737"/>
      <c r="U560" s="1737"/>
      <c r="V560" s="1737"/>
      <c r="W560" s="1737"/>
      <c r="X560" s="1737"/>
      <c r="Y560" s="1737"/>
      <c r="Z560" s="1737"/>
      <c r="AA560" s="1737"/>
      <c r="AB560" s="1737"/>
      <c r="AC560" s="1737"/>
      <c r="AD560" s="1737"/>
      <c r="AE560" s="1737"/>
      <c r="AF560" s="1737"/>
      <c r="AG560" s="1737"/>
      <c r="AH560" s="138"/>
      <c r="AI560" s="138"/>
      <c r="AJ560" s="138"/>
      <c r="AK560" s="139"/>
      <c r="AL560" s="139"/>
      <c r="AM560" s="139"/>
      <c r="AN560" s="241"/>
      <c r="BE560" s="1642">
        <f>SUM(BE555:BH559)</f>
        <v>0</v>
      </c>
      <c r="BF560" s="1643"/>
      <c r="BG560" s="1643"/>
      <c r="BH560" s="1644"/>
      <c r="BI560" s="1642">
        <f>SUM(BI555:BL559)</f>
        <v>0</v>
      </c>
      <c r="BJ560" s="1643"/>
      <c r="BK560" s="1643"/>
      <c r="BL560" s="1644"/>
      <c r="BM560" s="1642">
        <f>SUM(BM555:BP559)</f>
        <v>0</v>
      </c>
      <c r="BN560" s="1643"/>
      <c r="BO560" s="1643"/>
      <c r="BP560" s="1644"/>
      <c r="BQ560" s="1642">
        <f>SUM(BQ555:BT559)</f>
        <v>0</v>
      </c>
      <c r="BR560" s="1643"/>
      <c r="BS560" s="1643"/>
      <c r="BT560" s="1644"/>
      <c r="BU560" s="1642">
        <f>SUM(BU555:BX559)</f>
        <v>0</v>
      </c>
      <c r="BV560" s="1643"/>
      <c r="BW560" s="1643"/>
      <c r="BX560" s="1644"/>
      <c r="BY560" s="1642">
        <f>SUM(BY555:CB559)</f>
        <v>0</v>
      </c>
      <c r="BZ560" s="1643"/>
      <c r="CA560" s="1643"/>
      <c r="CB560" s="1644"/>
      <c r="CC560" s="1649">
        <f>IF(AND(CH556=1,T619&gt;0),0,SUM(BE560:CB560))</f>
        <v>0</v>
      </c>
      <c r="CD560" s="1650"/>
      <c r="CE560" s="1650"/>
      <c r="CF560" s="1651"/>
      <c r="CG560"/>
      <c r="CH560" s="1649">
        <f>IF(OR(Y623=0,Y623&gt;=0.1),1,0)</f>
        <v>1</v>
      </c>
      <c r="CI560" s="1650"/>
      <c r="CJ560" s="1650"/>
      <c r="CK560" s="1651"/>
    </row>
    <row r="561" spans="2:91" s="4" customFormat="1" ht="12.6" customHeight="1">
      <c r="B561" s="1652" t="s">
        <v>2165</v>
      </c>
      <c r="C561" s="1652"/>
      <c r="D561" s="1652"/>
      <c r="E561" s="1652"/>
      <c r="F561" s="1652"/>
      <c r="G561" s="1652"/>
      <c r="H561" s="1652"/>
      <c r="I561" s="1652"/>
      <c r="J561" s="1652"/>
      <c r="K561" s="1652"/>
      <c r="L561" s="1652"/>
      <c r="M561" s="1652"/>
      <c r="N561" s="1652"/>
      <c r="O561" s="1652"/>
      <c r="P561" s="1652"/>
      <c r="Q561" s="1652"/>
      <c r="R561" s="1652"/>
      <c r="S561" s="1652"/>
      <c r="T561" s="1652"/>
      <c r="U561" s="1652"/>
      <c r="V561" s="1652"/>
      <c r="W561" s="1652"/>
      <c r="X561" s="1652"/>
      <c r="Y561" s="1652"/>
      <c r="Z561" s="1652"/>
      <c r="AA561" s="1652"/>
      <c r="AB561" s="1652"/>
      <c r="AC561" s="1652"/>
      <c r="AD561" s="1652"/>
      <c r="AE561" s="1652"/>
      <c r="AF561" s="1652"/>
      <c r="AG561" s="1652"/>
      <c r="AH561" s="138"/>
      <c r="AI561" s="138"/>
      <c r="AJ561" s="138"/>
      <c r="AK561" s="139"/>
      <c r="AL561" s="139"/>
      <c r="AM561" s="139"/>
      <c r="AN561" s="241"/>
    </row>
    <row r="562" spans="2:91" s="4" customFormat="1" ht="21" customHeight="1">
      <c r="B562" s="1652"/>
      <c r="C562" s="1652"/>
      <c r="D562" s="1652"/>
      <c r="E562" s="1652"/>
      <c r="F562" s="1652"/>
      <c r="G562" s="1652"/>
      <c r="H562" s="1652"/>
      <c r="I562" s="1652"/>
      <c r="J562" s="1652"/>
      <c r="K562" s="1652"/>
      <c r="L562" s="1652"/>
      <c r="M562" s="1652"/>
      <c r="N562" s="1652"/>
      <c r="O562" s="1652"/>
      <c r="P562" s="1652"/>
      <c r="Q562" s="1652"/>
      <c r="R562" s="1652"/>
      <c r="S562" s="1652"/>
      <c r="T562" s="1652"/>
      <c r="U562" s="1652"/>
      <c r="V562" s="1652"/>
      <c r="W562" s="1652"/>
      <c r="X562" s="1652"/>
      <c r="Y562" s="1652"/>
      <c r="Z562" s="1652"/>
      <c r="AA562" s="1652"/>
      <c r="AB562" s="1652"/>
      <c r="AC562" s="1652"/>
      <c r="AD562" s="1652"/>
      <c r="AE562" s="1652"/>
      <c r="AF562" s="1652"/>
      <c r="AG562" s="1652"/>
      <c r="AH562" s="138"/>
      <c r="AI562" s="138"/>
      <c r="AJ562" s="138"/>
      <c r="AK562" s="139"/>
      <c r="AL562" s="139"/>
      <c r="AM562" s="139"/>
      <c r="AN562" s="241"/>
      <c r="AP562" s="121" t="s">
        <v>2166</v>
      </c>
      <c r="AQ562" s="122"/>
      <c r="AR562" s="122"/>
      <c r="AS562" s="122"/>
      <c r="AT562" s="122"/>
      <c r="AU562" s="122"/>
      <c r="AV562" s="122"/>
      <c r="AW562" s="122"/>
      <c r="AX562" s="122"/>
      <c r="AY562" s="123"/>
    </row>
    <row r="563" spans="2:91" s="4" customFormat="1" ht="12.75" customHeight="1">
      <c r="B563" s="1652" t="s">
        <v>2167</v>
      </c>
      <c r="C563" s="1652"/>
      <c r="D563" s="1652"/>
      <c r="E563" s="1652"/>
      <c r="F563" s="1652"/>
      <c r="G563" s="1652"/>
      <c r="H563" s="1652"/>
      <c r="I563" s="1652"/>
      <c r="J563" s="1652"/>
      <c r="K563" s="1652"/>
      <c r="L563" s="1652"/>
      <c r="M563" s="1652"/>
      <c r="N563" s="1652"/>
      <c r="O563" s="1652"/>
      <c r="P563" s="1652"/>
      <c r="Q563" s="1652"/>
      <c r="R563" s="1652"/>
      <c r="S563" s="1652"/>
      <c r="T563" s="1652"/>
      <c r="U563" s="1652"/>
      <c r="V563" s="1652"/>
      <c r="W563" s="1652"/>
      <c r="X563" s="1652"/>
      <c r="Y563" s="1652"/>
      <c r="Z563" s="1652"/>
      <c r="AA563" s="1652"/>
      <c r="AB563" s="1652"/>
      <c r="AC563" s="1652"/>
      <c r="AD563" s="1652"/>
      <c r="AE563" s="1652"/>
      <c r="AF563" s="1652"/>
      <c r="AG563" s="581"/>
      <c r="AH563" s="138"/>
      <c r="AI563" s="138"/>
      <c r="AJ563" s="138"/>
      <c r="AK563" s="139"/>
      <c r="AL563" s="139"/>
      <c r="AM563" s="139"/>
      <c r="AN563" s="241"/>
      <c r="AP563" s="124" t="s">
        <v>2168</v>
      </c>
      <c r="AQ563" s="125"/>
      <c r="AR563" s="125"/>
      <c r="AS563" s="125"/>
      <c r="AT563" s="125"/>
      <c r="AU563" s="125"/>
      <c r="AV563" s="125"/>
      <c r="AW563" s="125"/>
      <c r="AX563" s="132"/>
      <c r="AY563" s="132"/>
    </row>
    <row r="564" spans="2:91" s="4" customFormat="1" ht="12.75" customHeight="1">
      <c r="B564" s="1652"/>
      <c r="C564" s="1652"/>
      <c r="D564" s="1652"/>
      <c r="E564" s="1652"/>
      <c r="F564" s="1652"/>
      <c r="G564" s="1652"/>
      <c r="H564" s="1652"/>
      <c r="I564" s="1652"/>
      <c r="J564" s="1652"/>
      <c r="K564" s="1652"/>
      <c r="L564" s="1652"/>
      <c r="M564" s="1652"/>
      <c r="N564" s="1652"/>
      <c r="O564" s="1652"/>
      <c r="P564" s="1652"/>
      <c r="Q564" s="1652"/>
      <c r="R564" s="1652"/>
      <c r="S564" s="1652"/>
      <c r="T564" s="1652"/>
      <c r="U564" s="1652"/>
      <c r="V564" s="1652"/>
      <c r="W564" s="1652"/>
      <c r="X564" s="1652"/>
      <c r="Y564" s="1652"/>
      <c r="Z564" s="1652"/>
      <c r="AA564" s="1652"/>
      <c r="AB564" s="1652"/>
      <c r="AC564" s="1652"/>
      <c r="AD564" s="1652"/>
      <c r="AE564" s="1652"/>
      <c r="AF564" s="1652"/>
      <c r="AG564" s="138"/>
      <c r="AH564" s="138"/>
      <c r="AI564" s="138"/>
      <c r="AJ564" s="138"/>
      <c r="AK564" s="139"/>
      <c r="AL564" s="139"/>
      <c r="AM564" s="139"/>
      <c r="AN564" s="241"/>
      <c r="AP564" s="126"/>
      <c r="AQ564" s="127"/>
      <c r="AR564" s="127"/>
      <c r="AS564" s="127"/>
      <c r="AT564" s="133" t="s">
        <v>2151</v>
      </c>
      <c r="AU564" s="127"/>
      <c r="AV564" s="1642" t="str">
        <f>IF(BJ600&gt;0,"failed","passed")</f>
        <v>passed</v>
      </c>
      <c r="AW564" s="1643"/>
      <c r="AX564" s="1643"/>
      <c r="AY564" s="1644"/>
    </row>
    <row r="565" spans="2:91" s="4" customFormat="1" ht="12.6" customHeight="1">
      <c r="B565" s="582" t="s">
        <v>2169</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2170</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67" t="s">
        <v>2171</v>
      </c>
      <c r="R567" s="1567"/>
      <c r="S567" s="1567"/>
      <c r="T567" s="1567"/>
      <c r="U567" s="1567"/>
      <c r="V567" s="1567"/>
      <c r="W567" s="1567"/>
      <c r="X567" s="1567"/>
      <c r="Y567" s="1567"/>
      <c r="Z567" s="1567"/>
      <c r="AA567" s="1567"/>
      <c r="AB567" s="1567"/>
      <c r="AC567" s="1567"/>
      <c r="AD567" s="1567"/>
      <c r="AE567" s="1567"/>
      <c r="AF567" s="1567"/>
      <c r="AG567" s="138"/>
      <c r="AH567" s="138"/>
      <c r="AI567" s="138"/>
      <c r="AN567" s="241"/>
      <c r="AP567" s="6" t="s">
        <v>2172</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67"/>
      <c r="R568" s="1567"/>
      <c r="S568" s="1567"/>
      <c r="T568" s="1567"/>
      <c r="U568" s="1567"/>
      <c r="V568" s="1567"/>
      <c r="W568" s="1567"/>
      <c r="X568" s="1567"/>
      <c r="Y568" s="1567"/>
      <c r="Z568" s="1567"/>
      <c r="AA568" s="1567"/>
      <c r="AB568" s="1567"/>
      <c r="AC568" s="1567"/>
      <c r="AD568" s="1567"/>
      <c r="AE568" s="1567"/>
      <c r="AF568" s="1567"/>
      <c r="AN568" s="241"/>
      <c r="AP568" s="46" t="s">
        <v>2173</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65" t="s">
        <v>2174</v>
      </c>
      <c r="R569" s="1566"/>
      <c r="S569" s="1796" t="s">
        <v>2175</v>
      </c>
      <c r="T569" s="1796"/>
      <c r="U569" s="1565">
        <v>0.5</v>
      </c>
      <c r="V569" s="1566"/>
      <c r="W569" s="1565">
        <v>0.45</v>
      </c>
      <c r="X569" s="1566"/>
      <c r="Y569" s="1565">
        <v>0.4</v>
      </c>
      <c r="Z569" s="1566"/>
      <c r="AA569" s="1565">
        <v>0.35</v>
      </c>
      <c r="AB569" s="1566"/>
      <c r="AC569" s="1672">
        <v>0.3</v>
      </c>
      <c r="AD569" s="1673"/>
      <c r="AE569" s="1565">
        <v>0.2</v>
      </c>
      <c r="AF569" s="1566"/>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78"/>
      <c r="P570" s="1579"/>
      <c r="Q570" s="1564"/>
      <c r="R570" s="1563"/>
      <c r="S570" s="1653"/>
      <c r="T570" s="1653"/>
      <c r="U570" s="1563"/>
      <c r="V570" s="1563"/>
      <c r="W570" s="1563"/>
      <c r="X570" s="1563"/>
      <c r="Y570" s="1563"/>
      <c r="Z570" s="1563"/>
      <c r="AA570" s="1645"/>
      <c r="AB570" s="1645"/>
      <c r="AC570" s="1563"/>
      <c r="AD570" s="1563"/>
      <c r="AE570" s="1670"/>
      <c r="AF570" s="1671"/>
      <c r="AN570" s="241"/>
      <c r="AP570" s="120" t="s">
        <v>2176</v>
      </c>
      <c r="AQ570" s="9"/>
      <c r="AR570" s="9"/>
      <c r="AS570" s="9"/>
      <c r="AT570" s="1649" t="str">
        <f>IF(OR(AV564="passed",BD568="passed"),"passed","failed")</f>
        <v>passed</v>
      </c>
      <c r="AU570" s="1650"/>
      <c r="AV570" s="1650"/>
      <c r="AW570" s="1650"/>
      <c r="AX570" s="1651"/>
    </row>
    <row r="571" spans="2:91" s="4" customFormat="1" ht="12.75" customHeight="1">
      <c r="B571" s="56"/>
      <c r="I571" s="184"/>
      <c r="J571" s="138"/>
      <c r="N571" s="37"/>
      <c r="O571" s="1578"/>
      <c r="P571" s="1579"/>
      <c r="Q571" s="1583"/>
      <c r="R571" s="1580"/>
      <c r="S571" s="1580"/>
      <c r="T571" s="1580"/>
      <c r="U571" s="1580"/>
      <c r="V571" s="1580"/>
      <c r="W571" s="1580"/>
      <c r="X571" s="1580"/>
      <c r="Y571" s="1577"/>
      <c r="Z571" s="1577"/>
      <c r="AA571" s="1580"/>
      <c r="AB571" s="1580"/>
      <c r="AC571" s="1577"/>
      <c r="AD571" s="1577"/>
      <c r="AE571" s="1584"/>
      <c r="AF571" s="1585"/>
      <c r="AN571" s="241"/>
      <c r="AP571"/>
      <c r="AQ571"/>
      <c r="AR571"/>
      <c r="AS571"/>
      <c r="AT571"/>
      <c r="AU571"/>
      <c r="AV571"/>
      <c r="AW571"/>
      <c r="AX571"/>
      <c r="AY571"/>
    </row>
    <row r="572" spans="2:91" s="4" customFormat="1" ht="12.75" customHeight="1">
      <c r="B572" s="56"/>
      <c r="I572" s="184"/>
      <c r="J572" s="138"/>
      <c r="N572" s="37"/>
      <c r="O572" s="1578"/>
      <c r="P572" s="1579"/>
      <c r="Q572" s="1583"/>
      <c r="R572" s="1580"/>
      <c r="S572" s="1580"/>
      <c r="T572" s="1580"/>
      <c r="U572" s="1580"/>
      <c r="V572" s="1580"/>
      <c r="W572" s="1580"/>
      <c r="X572" s="1580"/>
      <c r="Y572" s="1580"/>
      <c r="Z572" s="1580"/>
      <c r="AA572" s="1577"/>
      <c r="AB572" s="1577"/>
      <c r="AC572" s="1580"/>
      <c r="AD572" s="1580"/>
      <c r="AE572" s="1680"/>
      <c r="AF572" s="1681"/>
      <c r="AN572" s="241"/>
      <c r="AP572" s="129" t="s">
        <v>2177</v>
      </c>
      <c r="AQ572" s="130"/>
      <c r="AR572" s="130"/>
      <c r="AS572" s="130"/>
      <c r="AT572" s="130"/>
      <c r="AU572" s="130"/>
      <c r="AV572" s="131"/>
      <c r="AW572" s="1677" t="str">
        <f>IF(AND(AND(AND(AND(AS552="passed",AU559="passed",BD568="passed",SUM(T619:X623)&gt;1)))),"YES","NO")</f>
        <v>YES</v>
      </c>
      <c r="AX572" s="1678"/>
      <c r="AY572" s="1679"/>
      <c r="AZ572" s="36"/>
      <c r="BA572" s="36"/>
      <c r="BB572" s="36"/>
      <c r="BC572" s="36"/>
      <c r="BD572" s="36"/>
      <c r="BE572" s="21"/>
      <c r="BF572" s="21"/>
      <c r="BG572" s="21"/>
    </row>
    <row r="573" spans="2:91" s="4" customFormat="1" ht="12.75" customHeight="1">
      <c r="B573" s="56"/>
      <c r="I573" s="184"/>
      <c r="J573" s="138"/>
      <c r="N573" s="37"/>
      <c r="O573" s="1578"/>
      <c r="P573" s="1579"/>
      <c r="Q573" s="1583"/>
      <c r="R573" s="1580"/>
      <c r="S573" s="1580"/>
      <c r="T573" s="1580"/>
      <c r="U573" s="1580"/>
      <c r="V573" s="1580"/>
      <c r="W573" s="1580"/>
      <c r="X573" s="1580"/>
      <c r="Y573" s="1577"/>
      <c r="Z573" s="1577"/>
      <c r="AA573" s="1580"/>
      <c r="AB573" s="1580"/>
      <c r="AC573" s="1577"/>
      <c r="AD573" s="1577"/>
      <c r="AE573" s="1584"/>
      <c r="AF573" s="1585"/>
      <c r="AN573" s="241"/>
    </row>
    <row r="574" spans="2:91" s="4" customFormat="1" ht="12.75" customHeight="1">
      <c r="B574" s="56"/>
      <c r="I574" s="184"/>
      <c r="J574" s="138"/>
      <c r="N574" s="37"/>
      <c r="O574" s="1578"/>
      <c r="P574" s="1579"/>
      <c r="Q574" s="1583"/>
      <c r="R574" s="1580"/>
      <c r="S574" s="1580"/>
      <c r="T574" s="1580"/>
      <c r="U574" s="1580"/>
      <c r="V574" s="1580"/>
      <c r="W574" s="1577"/>
      <c r="X574" s="1577"/>
      <c r="Y574" s="1580"/>
      <c r="Z574" s="1580"/>
      <c r="AA574" s="1577"/>
      <c r="AB574" s="1577"/>
      <c r="AC574" s="1580"/>
      <c r="AD574" s="1580"/>
      <c r="AE574" s="1680"/>
      <c r="AF574" s="1681"/>
      <c r="AN574" s="241"/>
    </row>
    <row r="575" spans="2:91" s="4" customFormat="1" ht="12.75" customHeight="1">
      <c r="B575" s="56"/>
      <c r="I575" s="184"/>
      <c r="J575" s="138"/>
      <c r="N575" s="37"/>
      <c r="O575" s="1578"/>
      <c r="P575" s="1579"/>
      <c r="Q575" s="1583"/>
      <c r="R575" s="1580"/>
      <c r="S575" s="1580"/>
      <c r="T575" s="1580"/>
      <c r="U575" s="1580"/>
      <c r="V575" s="1580"/>
      <c r="W575" s="1580"/>
      <c r="X575" s="1580"/>
      <c r="Y575" s="1577"/>
      <c r="Z575" s="1577"/>
      <c r="AA575" s="1580"/>
      <c r="AB575" s="1580"/>
      <c r="AC575" s="1577"/>
      <c r="AD575" s="1577"/>
      <c r="AE575" s="1584"/>
      <c r="AF575" s="1585"/>
      <c r="AN575" s="241"/>
      <c r="AU575" s="21"/>
      <c r="AV575" s="21"/>
      <c r="AW575" s="8"/>
      <c r="AX575" s="9"/>
      <c r="AY575" s="9"/>
      <c r="AZ575" s="53" t="s">
        <v>2178</v>
      </c>
      <c r="BA575" s="1685" t="s">
        <v>2179</v>
      </c>
      <c r="BB575" s="1686"/>
      <c r="BC575" s="1686"/>
      <c r="BD575" s="1686"/>
      <c r="BE575" s="1687"/>
      <c r="BF575" s="1595">
        <f>SUM(O619:S623)</f>
        <v>57</v>
      </c>
      <c r="BG575" s="1596"/>
      <c r="BH575" s="1596"/>
      <c r="BI575" s="1596"/>
      <c r="BJ575" s="1597"/>
      <c r="BK575" s="1595">
        <f>SUM(T619:X623)</f>
        <v>57</v>
      </c>
      <c r="BL575" s="1596"/>
      <c r="BM575" s="1596"/>
      <c r="BN575" s="1596"/>
      <c r="BO575" s="1597"/>
    </row>
    <row r="576" spans="2:91" s="4" customFormat="1" ht="12.75" customHeight="1">
      <c r="B576" s="32"/>
      <c r="I576" s="1350" t="s">
        <v>2116</v>
      </c>
      <c r="J576" s="1351"/>
      <c r="K576" s="1351"/>
      <c r="L576" s="1351"/>
      <c r="M576" s="1351"/>
      <c r="N576" s="1352"/>
      <c r="O576" s="1578">
        <v>0.5</v>
      </c>
      <c r="P576" s="1579"/>
      <c r="Q576" s="1574"/>
      <c r="R576" s="1575"/>
      <c r="S576" s="1580"/>
      <c r="T576" s="1580"/>
      <c r="U576" s="1786" t="s">
        <v>2180</v>
      </c>
      <c r="V576" s="1786"/>
      <c r="W576" s="1581">
        <v>37.5</v>
      </c>
      <c r="X576" s="1581"/>
      <c r="Y576" s="1575"/>
      <c r="Z576" s="1575"/>
      <c r="AA576" s="1581"/>
      <c r="AB576" s="1581"/>
      <c r="AC576" s="1575"/>
      <c r="AD576" s="1575"/>
      <c r="AE576" s="1682"/>
      <c r="AF576" s="1683"/>
      <c r="AN576" s="241"/>
      <c r="CL576"/>
      <c r="CM576"/>
    </row>
    <row r="577" spans="1:96" s="4" customFormat="1" ht="12.75" customHeight="1">
      <c r="B577" s="97"/>
      <c r="C577" s="54"/>
      <c r="I577" s="1350"/>
      <c r="J577" s="1351"/>
      <c r="K577" s="1351"/>
      <c r="L577" s="1351"/>
      <c r="M577" s="1351"/>
      <c r="N577" s="1352"/>
      <c r="O577" s="1578">
        <v>0.45</v>
      </c>
      <c r="P577" s="1579"/>
      <c r="Q577" s="1583"/>
      <c r="R577" s="1580"/>
      <c r="S577" s="1580"/>
      <c r="T577" s="1580"/>
      <c r="U577" s="1576" t="s">
        <v>2181</v>
      </c>
      <c r="V577" s="1576"/>
      <c r="W577" s="1577">
        <v>33.799999999999997</v>
      </c>
      <c r="X577" s="1577"/>
      <c r="Y577" s="1577"/>
      <c r="Z577" s="1577"/>
      <c r="AA577" s="1580"/>
      <c r="AB577" s="1580"/>
      <c r="AC577" s="1577"/>
      <c r="AD577" s="1577"/>
      <c r="AE577" s="1584"/>
      <c r="AF577" s="1585"/>
      <c r="AN577" s="241"/>
      <c r="CL577"/>
      <c r="CM577"/>
    </row>
    <row r="578" spans="1:96" s="4" customFormat="1" ht="12.75" customHeight="1">
      <c r="B578" s="37"/>
      <c r="C578" s="37"/>
      <c r="D578" s="37"/>
      <c r="E578" s="37"/>
      <c r="I578" s="1350"/>
      <c r="J578" s="1351"/>
      <c r="K578" s="1351"/>
      <c r="L578" s="1351"/>
      <c r="M578" s="1351"/>
      <c r="N578" s="1352"/>
      <c r="O578" s="1578">
        <v>0.4</v>
      </c>
      <c r="P578" s="1579"/>
      <c r="Q578" s="1583"/>
      <c r="R578" s="1580"/>
      <c r="S578" s="1576" t="s">
        <v>2182</v>
      </c>
      <c r="T578" s="1576"/>
      <c r="U578" s="1577">
        <v>20</v>
      </c>
      <c r="V578" s="1577"/>
      <c r="W578" s="1577">
        <v>30</v>
      </c>
      <c r="X578" s="1577"/>
      <c r="Y578" s="1577"/>
      <c r="Z578" s="1577"/>
      <c r="AA578" s="1577"/>
      <c r="AB578" s="1577"/>
      <c r="AC578" s="1577"/>
      <c r="AD578" s="1577"/>
      <c r="AE578" s="1584"/>
      <c r="AF578" s="1585"/>
      <c r="AN578" s="241"/>
      <c r="AP578" s="1738" t="s">
        <v>2183</v>
      </c>
      <c r="AQ578" s="1739"/>
      <c r="AR578" s="1739"/>
      <c r="AS578" s="1739"/>
      <c r="AT578" s="1739"/>
      <c r="AU578" s="1739"/>
      <c r="AV578" s="1739"/>
      <c r="AW578" s="1739"/>
      <c r="AX578" s="1739"/>
      <c r="AY578" s="1739"/>
      <c r="AZ578" s="1739"/>
      <c r="BA578" s="1739"/>
      <c r="BB578" s="1739"/>
      <c r="BC578" s="1739"/>
      <c r="BD578" s="1739"/>
      <c r="BE578" s="1739"/>
      <c r="BF578" s="1739"/>
      <c r="BG578" s="1739"/>
      <c r="BH578" s="1739"/>
      <c r="BI578" s="1739"/>
      <c r="BJ578" s="1740"/>
      <c r="BK578" s="1664">
        <f>BF575</f>
        <v>57</v>
      </c>
      <c r="BL578" s="1665"/>
      <c r="BM578" s="1665"/>
      <c r="BN578" s="1665"/>
      <c r="BO578" s="166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50"/>
      <c r="J579" s="1351"/>
      <c r="K579" s="1351"/>
      <c r="L579" s="1351"/>
      <c r="M579" s="1351"/>
      <c r="N579" s="1352"/>
      <c r="O579" s="1578">
        <v>0.35</v>
      </c>
      <c r="P579" s="1579"/>
      <c r="Q579" s="1583"/>
      <c r="R579" s="1580"/>
      <c r="S579" s="1576" t="s">
        <v>2184</v>
      </c>
      <c r="T579" s="1576"/>
      <c r="U579" s="1577">
        <v>17.5</v>
      </c>
      <c r="V579" s="1577"/>
      <c r="W579" s="1577">
        <v>26.3</v>
      </c>
      <c r="X579" s="1577"/>
      <c r="Y579" s="1577">
        <v>35</v>
      </c>
      <c r="Z579" s="1577"/>
      <c r="AA579" s="1577"/>
      <c r="AB579" s="1577"/>
      <c r="AC579" s="1577">
        <v>50</v>
      </c>
      <c r="AD579" s="1577"/>
      <c r="AE579" s="1584"/>
      <c r="AF579" s="1585"/>
      <c r="AN579" s="241"/>
      <c r="AP579" s="1741"/>
      <c r="AQ579" s="1742"/>
      <c r="AR579" s="1742"/>
      <c r="AS579" s="1742"/>
      <c r="AT579" s="1742"/>
      <c r="AU579" s="1742"/>
      <c r="AV579" s="1742"/>
      <c r="AW579" s="1742"/>
      <c r="AX579" s="1742"/>
      <c r="AY579" s="1742"/>
      <c r="AZ579" s="1742"/>
      <c r="BA579" s="1742"/>
      <c r="BB579" s="1742"/>
      <c r="BC579" s="1742"/>
      <c r="BD579" s="1742"/>
      <c r="BE579" s="1742"/>
      <c r="BF579" s="1742"/>
      <c r="BG579" s="1742"/>
      <c r="BH579" s="1742"/>
      <c r="BI579" s="1742"/>
      <c r="BJ579" s="1743"/>
      <c r="BK579" s="1667"/>
      <c r="BL579" s="1668"/>
      <c r="BM579" s="1668"/>
      <c r="BN579" s="1668"/>
      <c r="BO579" s="166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50"/>
      <c r="J580" s="1351"/>
      <c r="K580" s="1351"/>
      <c r="L580" s="1351"/>
      <c r="M580" s="1351"/>
      <c r="N580" s="1352"/>
      <c r="O580" s="1578">
        <v>0.3</v>
      </c>
      <c r="P580" s="1579"/>
      <c r="Q580" s="1583"/>
      <c r="R580" s="1580"/>
      <c r="S580" s="1576" t="s">
        <v>2185</v>
      </c>
      <c r="T580" s="1576"/>
      <c r="U580" s="1577">
        <v>15</v>
      </c>
      <c r="V580" s="1577"/>
      <c r="W580" s="1577">
        <v>22.5</v>
      </c>
      <c r="X580" s="1577"/>
      <c r="Y580" s="1577">
        <v>30</v>
      </c>
      <c r="Z580" s="1577"/>
      <c r="AA580" s="1577">
        <v>37.5</v>
      </c>
      <c r="AB580" s="1577"/>
      <c r="AC580" s="1577">
        <v>45</v>
      </c>
      <c r="AD580" s="1577"/>
      <c r="AE580" s="1584"/>
      <c r="AF580" s="1585"/>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208">
        <v>5</v>
      </c>
      <c r="BK580" s="1209"/>
      <c r="BL580" s="1209"/>
      <c r="BM580" s="1209"/>
      <c r="BN580" s="1210"/>
      <c r="BO580" s="1208">
        <v>4</v>
      </c>
      <c r="BP580" s="1209"/>
      <c r="BQ580" s="1209"/>
      <c r="BR580" s="1209"/>
      <c r="BS580" s="1210"/>
      <c r="BT580" s="1208">
        <v>3</v>
      </c>
      <c r="BU580" s="1209"/>
      <c r="BV580" s="1209"/>
      <c r="BW580" s="1209"/>
      <c r="BX580" s="1210"/>
      <c r="BY580" s="1208">
        <v>2</v>
      </c>
      <c r="BZ580" s="1209"/>
      <c r="CA580" s="1209"/>
      <c r="CB580" s="1209"/>
      <c r="CC580" s="1210"/>
      <c r="CD580" s="1208">
        <v>1</v>
      </c>
      <c r="CE580" s="1209"/>
      <c r="CF580" s="1209"/>
      <c r="CG580" s="1209"/>
      <c r="CH580" s="1210"/>
      <c r="CI580" s="1208">
        <v>0</v>
      </c>
      <c r="CJ580" s="1209"/>
      <c r="CK580" s="1209"/>
      <c r="CL580" s="1209"/>
      <c r="CM580" s="1210"/>
      <c r="CN580" s="21"/>
      <c r="CO580" s="21"/>
      <c r="CP580" s="21"/>
      <c r="CQ580" s="21"/>
      <c r="CR580" s="21"/>
    </row>
    <row r="581" spans="1:96" s="4" customFormat="1" ht="12.75" customHeight="1">
      <c r="B581" s="37"/>
      <c r="C581" s="37"/>
      <c r="D581" s="37"/>
      <c r="E581" s="37"/>
      <c r="I581" s="1350"/>
      <c r="J581" s="1351"/>
      <c r="K581" s="1351"/>
      <c r="L581" s="1351"/>
      <c r="M581" s="1351"/>
      <c r="N581" s="1352"/>
      <c r="O581" s="1578">
        <v>0.25</v>
      </c>
      <c r="P581" s="1579"/>
      <c r="Q581" s="1583"/>
      <c r="R581" s="1580"/>
      <c r="S581" s="1576" t="s">
        <v>2186</v>
      </c>
      <c r="T581" s="1576"/>
      <c r="U581" s="1577">
        <v>12.5</v>
      </c>
      <c r="V581" s="1577"/>
      <c r="W581" s="1577">
        <v>18.8</v>
      </c>
      <c r="X581" s="1577"/>
      <c r="Y581" s="1577">
        <v>25</v>
      </c>
      <c r="Z581" s="1577"/>
      <c r="AA581" s="1577">
        <v>31.3</v>
      </c>
      <c r="AB581" s="1577"/>
      <c r="AC581" s="1577">
        <v>37.5</v>
      </c>
      <c r="AD581" s="1577"/>
      <c r="AE581" s="1584">
        <v>50</v>
      </c>
      <c r="AF581" s="1585"/>
      <c r="AN581" s="241"/>
      <c r="AP581" s="1646" t="str">
        <f t="shared" ref="AP581:AP587" si="0">J618</f>
        <v>5 BR</v>
      </c>
      <c r="AQ581" s="1647"/>
      <c r="AR581" s="1647"/>
      <c r="AS581" s="1647"/>
      <c r="AT581" s="1648"/>
      <c r="AU581" s="1302">
        <f t="shared" ref="AU581:AU586" si="1">O618</f>
        <v>0</v>
      </c>
      <c r="AV581" s="1303"/>
      <c r="AW581" s="1303"/>
      <c r="AX581" s="1303"/>
      <c r="AY581" s="1304"/>
      <c r="AZ581" s="1302">
        <f t="shared" ref="AZ581:AZ586" si="2">T618</f>
        <v>0</v>
      </c>
      <c r="BA581" s="1303"/>
      <c r="BB581" s="1303"/>
      <c r="BC581" s="1303"/>
      <c r="BD581" s="1304"/>
      <c r="BE581" s="1661">
        <f t="shared" ref="BE581:BE586" si="3">Y618</f>
        <v>0</v>
      </c>
      <c r="BF581" s="1662"/>
      <c r="BG581" s="1662"/>
      <c r="BH581" s="1662"/>
      <c r="BI581" s="1663"/>
      <c r="BJ581" s="1208">
        <f>IF(OR(AP591=0,BE581&gt;=0.1),0,1)</f>
        <v>0</v>
      </c>
      <c r="BK581" s="1209"/>
      <c r="BL581" s="1209"/>
      <c r="BM581" s="1209"/>
      <c r="BN581" s="1210"/>
      <c r="BO581" s="1208"/>
      <c r="BP581" s="1209"/>
      <c r="BQ581" s="1209"/>
      <c r="BR581" s="1209"/>
      <c r="BS581" s="1210"/>
      <c r="BT581" s="1208"/>
      <c r="BU581" s="1209"/>
      <c r="BV581" s="1209"/>
      <c r="BW581" s="1209"/>
      <c r="BX581" s="1210"/>
      <c r="BY581" s="1208"/>
      <c r="BZ581" s="1209"/>
      <c r="CA581" s="1209"/>
      <c r="CB581" s="1209"/>
      <c r="CC581" s="1210"/>
      <c r="CD581" s="1208"/>
      <c r="CE581" s="1209"/>
      <c r="CF581" s="1209"/>
      <c r="CG581" s="1209"/>
      <c r="CH581" s="1210"/>
      <c r="CI581" s="1208"/>
      <c r="CJ581" s="1209"/>
      <c r="CK581" s="1209"/>
      <c r="CL581" s="1209"/>
      <c r="CM581" s="1210"/>
      <c r="CN581" s="21"/>
      <c r="CO581" s="21"/>
      <c r="CP581" s="21"/>
      <c r="CQ581" s="21"/>
      <c r="CR581" s="21"/>
    </row>
    <row r="582" spans="1:96" s="4" customFormat="1" ht="12.75" customHeight="1">
      <c r="A582" s="97"/>
      <c r="B582" s="37"/>
      <c r="C582" s="37"/>
      <c r="D582" s="37"/>
      <c r="E582" s="37"/>
      <c r="I582" s="1350"/>
      <c r="J582" s="1351"/>
      <c r="K582" s="1351"/>
      <c r="L582" s="1351"/>
      <c r="M582" s="1351"/>
      <c r="N582" s="1352"/>
      <c r="O582" s="1578">
        <v>0.2</v>
      </c>
      <c r="P582" s="1579"/>
      <c r="Q582" s="1583"/>
      <c r="R582" s="1580"/>
      <c r="S582" s="1746" t="s">
        <v>2187</v>
      </c>
      <c r="T582" s="1746"/>
      <c r="U582" s="1577">
        <v>10</v>
      </c>
      <c r="V582" s="1577"/>
      <c r="W582" s="1577">
        <v>15</v>
      </c>
      <c r="X582" s="1577"/>
      <c r="Y582" s="1577">
        <v>20</v>
      </c>
      <c r="Z582" s="1577"/>
      <c r="AA582" s="1577">
        <v>25</v>
      </c>
      <c r="AB582" s="1577"/>
      <c r="AC582" s="1577">
        <v>30</v>
      </c>
      <c r="AD582" s="1577"/>
      <c r="AE582" s="1584">
        <v>40</v>
      </c>
      <c r="AF582" s="1585"/>
      <c r="AN582" s="241"/>
      <c r="AP582" s="1646" t="str">
        <f t="shared" si="0"/>
        <v>4 BR</v>
      </c>
      <c r="AQ582" s="1647"/>
      <c r="AR582" s="1647"/>
      <c r="AS582" s="1647"/>
      <c r="AT582" s="1648"/>
      <c r="AU582" s="1302">
        <f t="shared" si="1"/>
        <v>0</v>
      </c>
      <c r="AV582" s="1303"/>
      <c r="AW582" s="1303"/>
      <c r="AX582" s="1303"/>
      <c r="AY582" s="1304"/>
      <c r="AZ582" s="1302">
        <f t="shared" si="2"/>
        <v>0</v>
      </c>
      <c r="BA582" s="1303"/>
      <c r="BB582" s="1303"/>
      <c r="BC582" s="1303"/>
      <c r="BD582" s="1304"/>
      <c r="BE582" s="1661">
        <f t="shared" si="3"/>
        <v>0</v>
      </c>
      <c r="BF582" s="1662"/>
      <c r="BG582" s="1662"/>
      <c r="BH582" s="1662"/>
      <c r="BI582" s="1663"/>
      <c r="BJ582" s="1208"/>
      <c r="BK582" s="1209"/>
      <c r="BL582" s="1209"/>
      <c r="BM582" s="1209"/>
      <c r="BN582" s="1210"/>
      <c r="BO582" s="1208">
        <f>IF(AND(AND(AZ581=0,BJ581=0,AP592=1)),1,0)</f>
        <v>0</v>
      </c>
      <c r="BP582" s="1209"/>
      <c r="BQ582" s="1209"/>
      <c r="BR582" s="1209"/>
      <c r="BS582" s="1210"/>
      <c r="BT582" s="1208"/>
      <c r="BU582" s="1209"/>
      <c r="BV582" s="1209"/>
      <c r="BW582" s="1209"/>
      <c r="BX582" s="1210"/>
      <c r="BY582" s="1208"/>
      <c r="BZ582" s="1209"/>
      <c r="CA582" s="1209"/>
      <c r="CB582" s="1209"/>
      <c r="CC582" s="1210"/>
      <c r="CD582" s="1208"/>
      <c r="CE582" s="1209"/>
      <c r="CF582" s="1209"/>
      <c r="CG582" s="1209"/>
      <c r="CH582" s="1210"/>
      <c r="CI582" s="1208"/>
      <c r="CJ582" s="1209"/>
      <c r="CK582" s="1209"/>
      <c r="CL582" s="1209"/>
      <c r="CM582" s="1210"/>
      <c r="CN582" s="21"/>
      <c r="CO582" s="21"/>
      <c r="CP582" s="21"/>
      <c r="CQ582" s="21"/>
      <c r="CR582" s="21"/>
    </row>
    <row r="583" spans="1:96" s="4" customFormat="1" ht="12.75" customHeight="1">
      <c r="A583" s="97"/>
      <c r="B583" s="37"/>
      <c r="C583" s="37"/>
      <c r="D583" s="37"/>
      <c r="E583" s="37"/>
      <c r="I583" s="1350"/>
      <c r="J583" s="1351"/>
      <c r="K583" s="1351"/>
      <c r="L583" s="1351"/>
      <c r="M583" s="1351"/>
      <c r="N583" s="1352"/>
      <c r="O583" s="1578">
        <v>0.15</v>
      </c>
      <c r="P583" s="1579"/>
      <c r="Q583" s="1583"/>
      <c r="R583" s="1580"/>
      <c r="S583" s="1576" t="s">
        <v>2188</v>
      </c>
      <c r="T583" s="1576"/>
      <c r="U583" s="1577">
        <v>7.5</v>
      </c>
      <c r="V583" s="1577"/>
      <c r="W583" s="1577">
        <v>11.3</v>
      </c>
      <c r="X583" s="1577"/>
      <c r="Y583" s="1577">
        <v>15</v>
      </c>
      <c r="Z583" s="1577"/>
      <c r="AA583" s="1577">
        <v>18.8</v>
      </c>
      <c r="AB583" s="1577"/>
      <c r="AC583" s="1577">
        <v>22.5</v>
      </c>
      <c r="AD583" s="1577"/>
      <c r="AE583" s="1584">
        <v>30</v>
      </c>
      <c r="AF583" s="1585"/>
      <c r="AN583" s="241"/>
      <c r="AP583" s="1646" t="str">
        <f t="shared" si="0"/>
        <v>3 BR</v>
      </c>
      <c r="AQ583" s="1647"/>
      <c r="AR583" s="1647"/>
      <c r="AS583" s="1647"/>
      <c r="AT583" s="1648"/>
      <c r="AU583" s="1302">
        <f t="shared" si="1"/>
        <v>0</v>
      </c>
      <c r="AV583" s="1303"/>
      <c r="AW583" s="1303"/>
      <c r="AX583" s="1303"/>
      <c r="AY583" s="1304"/>
      <c r="AZ583" s="1302">
        <f t="shared" si="2"/>
        <v>0</v>
      </c>
      <c r="BA583" s="1303"/>
      <c r="BB583" s="1303"/>
      <c r="BC583" s="1303"/>
      <c r="BD583" s="1304"/>
      <c r="BE583" s="1661">
        <f t="shared" si="3"/>
        <v>0</v>
      </c>
      <c r="BF583" s="1662"/>
      <c r="BG583" s="1662"/>
      <c r="BH583" s="1662"/>
      <c r="BI583" s="1663"/>
      <c r="BJ583" s="1208"/>
      <c r="BK583" s="1209"/>
      <c r="BL583" s="1209"/>
      <c r="BM583" s="1209"/>
      <c r="BN583" s="1210"/>
      <c r="BO583" s="1208"/>
      <c r="BP583" s="1209"/>
      <c r="BQ583" s="1209"/>
      <c r="BR583" s="1209"/>
      <c r="BS583" s="1210"/>
      <c r="BT583" s="1208">
        <f>IF(AND(AND(AZ581+AZ582=0,BJ581+BO582=0,AP593=1)),1,0)</f>
        <v>0</v>
      </c>
      <c r="BU583" s="1209"/>
      <c r="BV583" s="1209"/>
      <c r="BW583" s="1209"/>
      <c r="BX583" s="1210"/>
      <c r="BY583" s="1208"/>
      <c r="BZ583" s="1209"/>
      <c r="CA583" s="1209"/>
      <c r="CB583" s="1209"/>
      <c r="CC583" s="1210"/>
      <c r="CD583" s="1208"/>
      <c r="CE583" s="1209"/>
      <c r="CF583" s="1209"/>
      <c r="CG583" s="1209"/>
      <c r="CH583" s="1210"/>
      <c r="CI583" s="1208"/>
      <c r="CJ583" s="1209"/>
      <c r="CK583" s="1209"/>
      <c r="CL583" s="1209"/>
      <c r="CM583" s="1210"/>
      <c r="CN583" s="21"/>
      <c r="CO583" s="21"/>
      <c r="CP583" s="21"/>
      <c r="CQ583" s="21"/>
      <c r="CR583" s="21"/>
    </row>
    <row r="584" spans="1:96" s="4" customFormat="1" ht="12.75" customHeight="1" thickBot="1">
      <c r="B584" s="37"/>
      <c r="C584" s="37"/>
      <c r="D584" s="37"/>
      <c r="E584" s="37"/>
      <c r="I584" s="1353"/>
      <c r="J584" s="1354"/>
      <c r="K584" s="1354"/>
      <c r="L584" s="1354"/>
      <c r="M584" s="1354"/>
      <c r="N584" s="1355"/>
      <c r="O584" s="1578">
        <v>0.1</v>
      </c>
      <c r="P584" s="1579"/>
      <c r="Q584" s="1744"/>
      <c r="R584" s="1745"/>
      <c r="S584" s="1576" t="s">
        <v>2189</v>
      </c>
      <c r="T584" s="1576"/>
      <c r="U584" s="1582">
        <v>5</v>
      </c>
      <c r="V584" s="1582"/>
      <c r="W584" s="1582">
        <v>7.5</v>
      </c>
      <c r="X584" s="1582"/>
      <c r="Y584" s="1582">
        <v>10</v>
      </c>
      <c r="Z584" s="1582"/>
      <c r="AA584" s="1582">
        <v>12.5</v>
      </c>
      <c r="AB584" s="1582"/>
      <c r="AC584" s="1582">
        <v>15</v>
      </c>
      <c r="AD584" s="1582"/>
      <c r="AE584" s="1735">
        <v>20</v>
      </c>
      <c r="AF584" s="1736"/>
      <c r="AK584" s="143"/>
      <c r="AL584" s="143"/>
      <c r="AM584" s="37"/>
      <c r="AN584" s="241"/>
      <c r="AP584" s="1646" t="str">
        <f t="shared" si="0"/>
        <v>2 BR</v>
      </c>
      <c r="AQ584" s="1647"/>
      <c r="AR584" s="1647"/>
      <c r="AS584" s="1647"/>
      <c r="AT584" s="1648"/>
      <c r="AU584" s="1302">
        <f t="shared" si="1"/>
        <v>0</v>
      </c>
      <c r="AV584" s="1303"/>
      <c r="AW584" s="1303"/>
      <c r="AX584" s="1303"/>
      <c r="AY584" s="1304"/>
      <c r="AZ584" s="1302">
        <f t="shared" si="2"/>
        <v>0</v>
      </c>
      <c r="BA584" s="1303"/>
      <c r="BB584" s="1303"/>
      <c r="BC584" s="1303"/>
      <c r="BD584" s="1304"/>
      <c r="BE584" s="1661">
        <f t="shared" si="3"/>
        <v>0</v>
      </c>
      <c r="BF584" s="1662"/>
      <c r="BG584" s="1662"/>
      <c r="BH584" s="1662"/>
      <c r="BI584" s="1663"/>
      <c r="BJ584" s="1208"/>
      <c r="BK584" s="1209"/>
      <c r="BL584" s="1209"/>
      <c r="BM584" s="1209"/>
      <c r="BN584" s="1210"/>
      <c r="BO584" s="1208"/>
      <c r="BP584" s="1209"/>
      <c r="BQ584" s="1209"/>
      <c r="BR584" s="1209"/>
      <c r="BS584" s="1210"/>
      <c r="BT584" s="1208"/>
      <c r="BU584" s="1209"/>
      <c r="BV584" s="1209"/>
      <c r="BW584" s="1209"/>
      <c r="BX584" s="1210"/>
      <c r="BY584" s="1208">
        <f>IF(AND(AND(AZ581+AZ582+AZ583=0,BO582+BT583+BJ581=0,AP594=1)),1,0)</f>
        <v>0</v>
      </c>
      <c r="BZ584" s="1209"/>
      <c r="CA584" s="1209"/>
      <c r="CB584" s="1209"/>
      <c r="CC584" s="1210"/>
      <c r="CD584" s="1208"/>
      <c r="CE584" s="1209"/>
      <c r="CF584" s="1209"/>
      <c r="CG584" s="1209"/>
      <c r="CH584" s="1210"/>
      <c r="CI584" s="1208"/>
      <c r="CJ584" s="1209"/>
      <c r="CK584" s="1209"/>
      <c r="CL584" s="1209"/>
      <c r="CM584" s="1210"/>
      <c r="CN584" s="21"/>
      <c r="CO584" s="21"/>
      <c r="CP584" s="21"/>
      <c r="CQ584" s="21"/>
      <c r="CR584" s="21"/>
    </row>
    <row r="585" spans="1:96" s="4" customFormat="1" ht="12.75" customHeight="1">
      <c r="B585" s="37"/>
      <c r="C585" s="37"/>
      <c r="D585" s="37"/>
      <c r="E585" s="1138" t="s">
        <v>2190</v>
      </c>
      <c r="F585" s="1251"/>
      <c r="G585" s="1251"/>
      <c r="H585" s="1251"/>
      <c r="I585" s="1251"/>
      <c r="J585" s="1251"/>
      <c r="K585" s="1251"/>
      <c r="L585" s="1251"/>
      <c r="M585" s="1251"/>
      <c r="N585" s="1251"/>
      <c r="O585" s="1251"/>
      <c r="P585" s="1251"/>
      <c r="Q585" s="1251"/>
      <c r="R585" s="1251"/>
      <c r="S585" s="1251"/>
      <c r="T585" s="1251"/>
      <c r="U585" s="1251"/>
      <c r="V585" s="1251"/>
      <c r="W585" s="1251"/>
      <c r="X585" s="1251"/>
      <c r="Y585" s="1251"/>
      <c r="Z585" s="1251"/>
      <c r="AA585" s="1251"/>
      <c r="AB585" s="1251"/>
      <c r="AC585" s="1251"/>
      <c r="AD585" s="1251"/>
      <c r="AE585" s="1251"/>
      <c r="AF585" s="1251"/>
      <c r="AG585" s="1251"/>
      <c r="AH585" s="1252"/>
      <c r="AK585" s="143"/>
      <c r="AL585" s="143"/>
      <c r="AM585" s="37"/>
      <c r="AN585" s="241"/>
      <c r="AP585" s="1646" t="str">
        <f t="shared" si="0"/>
        <v>1 BR</v>
      </c>
      <c r="AQ585" s="1647"/>
      <c r="AR585" s="1647"/>
      <c r="AS585" s="1647"/>
      <c r="AT585" s="1648"/>
      <c r="AU585" s="1302">
        <f t="shared" si="1"/>
        <v>0</v>
      </c>
      <c r="AV585" s="1303"/>
      <c r="AW585" s="1303"/>
      <c r="AX585" s="1303"/>
      <c r="AY585" s="1304"/>
      <c r="AZ585" s="1302">
        <f t="shared" si="2"/>
        <v>0</v>
      </c>
      <c r="BA585" s="1303"/>
      <c r="BB585" s="1303"/>
      <c r="BC585" s="1303"/>
      <c r="BD585" s="1304"/>
      <c r="BE585" s="1661">
        <f t="shared" si="3"/>
        <v>0</v>
      </c>
      <c r="BF585" s="1662"/>
      <c r="BG585" s="1662"/>
      <c r="BH585" s="1662"/>
      <c r="BI585" s="1663"/>
      <c r="BJ585" s="1208"/>
      <c r="BK585" s="1209"/>
      <c r="BL585" s="1209"/>
      <c r="BM585" s="1209"/>
      <c r="BN585" s="1210"/>
      <c r="BO585" s="1208"/>
      <c r="BP585" s="1209"/>
      <c r="BQ585" s="1209"/>
      <c r="BR585" s="1209"/>
      <c r="BS585" s="1210"/>
      <c r="BT585" s="1208"/>
      <c r="BU585" s="1209"/>
      <c r="BV585" s="1209"/>
      <c r="BW585" s="1209"/>
      <c r="BX585" s="1210"/>
      <c r="BY585" s="1208"/>
      <c r="BZ585" s="1209"/>
      <c r="CA585" s="1209"/>
      <c r="CB585" s="1209"/>
      <c r="CC585" s="1210"/>
      <c r="CD585" s="1208">
        <f>IF(AND(AND(BE582+BE583+BE584+BE581=0,BT583+BY584+BO582+BJ581=0,AP595=1)),1,0)</f>
        <v>0</v>
      </c>
      <c r="CE585" s="1209"/>
      <c r="CF585" s="1209"/>
      <c r="CG585" s="1209"/>
      <c r="CH585" s="1210"/>
      <c r="CI585" s="1208"/>
      <c r="CJ585" s="1209"/>
      <c r="CK585" s="1209"/>
      <c r="CL585" s="1209"/>
      <c r="CM585" s="1210"/>
      <c r="CN585" s="21"/>
      <c r="CO585" s="21"/>
      <c r="CP585" s="21"/>
      <c r="CQ585" s="21"/>
      <c r="CR585" s="21"/>
    </row>
    <row r="586" spans="1:96" s="4" customFormat="1" ht="12.75" customHeight="1">
      <c r="E586" s="1755"/>
      <c r="F586" s="1470"/>
      <c r="G586" s="1470"/>
      <c r="H586" s="1470"/>
      <c r="I586" s="1470"/>
      <c r="J586" s="1470"/>
      <c r="K586" s="1470"/>
      <c r="L586" s="1470"/>
      <c r="M586" s="1470"/>
      <c r="N586" s="1470"/>
      <c r="O586" s="1470"/>
      <c r="P586" s="1470"/>
      <c r="Q586" s="1470"/>
      <c r="R586" s="1470"/>
      <c r="S586" s="1470"/>
      <c r="T586" s="1470"/>
      <c r="U586" s="1470"/>
      <c r="V586" s="1470"/>
      <c r="W586" s="1470"/>
      <c r="X586" s="1470"/>
      <c r="Y586" s="1470"/>
      <c r="Z586" s="1470"/>
      <c r="AA586" s="1470"/>
      <c r="AB586" s="1470"/>
      <c r="AC586" s="1470"/>
      <c r="AD586" s="1470"/>
      <c r="AE586" s="1470"/>
      <c r="AF586" s="1470"/>
      <c r="AG586" s="1470"/>
      <c r="AH586" s="1756"/>
      <c r="AN586" s="241"/>
      <c r="AP586" s="1646" t="str">
        <f t="shared" si="0"/>
        <v>SRO</v>
      </c>
      <c r="AQ586" s="1647"/>
      <c r="AR586" s="1647"/>
      <c r="AS586" s="1647"/>
      <c r="AT586" s="1648"/>
      <c r="AU586" s="1302">
        <f t="shared" si="1"/>
        <v>57</v>
      </c>
      <c r="AV586" s="1303"/>
      <c r="AW586" s="1303"/>
      <c r="AX586" s="1303"/>
      <c r="AY586" s="1304"/>
      <c r="AZ586" s="1302">
        <f t="shared" si="2"/>
        <v>57</v>
      </c>
      <c r="BA586" s="1303"/>
      <c r="BB586" s="1303"/>
      <c r="BC586" s="1303"/>
      <c r="BD586" s="1304"/>
      <c r="BE586" s="1661">
        <f t="shared" si="3"/>
        <v>1</v>
      </c>
      <c r="BF586" s="1662"/>
      <c r="BG586" s="1662"/>
      <c r="BH586" s="1662"/>
      <c r="BI586" s="1663"/>
      <c r="BJ586" s="1208"/>
      <c r="BK586" s="1209"/>
      <c r="BL586" s="1209"/>
      <c r="BM586" s="1209"/>
      <c r="BN586" s="1210"/>
      <c r="BO586" s="1208"/>
      <c r="BP586" s="1209"/>
      <c r="BQ586" s="1209"/>
      <c r="BR586" s="1209"/>
      <c r="BS586" s="1210"/>
      <c r="BT586" s="1208"/>
      <c r="BU586" s="1209"/>
      <c r="BV586" s="1209"/>
      <c r="BW586" s="1209"/>
      <c r="BX586" s="1210"/>
      <c r="BY586" s="1208"/>
      <c r="BZ586" s="1209"/>
      <c r="CA586" s="1209"/>
      <c r="CB586" s="1209"/>
      <c r="CC586" s="1210"/>
      <c r="CD586" s="1208"/>
      <c r="CE586" s="1209"/>
      <c r="CF586" s="1209"/>
      <c r="CG586" s="1209"/>
      <c r="CH586" s="1210"/>
      <c r="CI586" s="1208">
        <f>IF(AND(AND(AZ583+AZ584+AZ585+AZ582+AZ581=0,BY584+CD585+BT583+BO582+BJ581=0,AP596=1)),1,0)</f>
        <v>0</v>
      </c>
      <c r="CJ586" s="1209"/>
      <c r="CK586" s="1209"/>
      <c r="CL586" s="1209"/>
      <c r="CM586" s="1210"/>
      <c r="CN586" s="21"/>
      <c r="CO586" s="21"/>
      <c r="CP586" s="21"/>
      <c r="CQ586" s="21"/>
      <c r="CR586" s="21"/>
    </row>
    <row r="587" spans="1:96" s="4" customFormat="1" ht="12.75" customHeight="1">
      <c r="E587" s="1790" t="s">
        <v>2191</v>
      </c>
      <c r="F587" s="1791"/>
      <c r="G587" s="1791"/>
      <c r="H587" s="1791"/>
      <c r="I587" s="1791"/>
      <c r="J587" s="1792"/>
      <c r="K587" s="1790" t="s">
        <v>2192</v>
      </c>
      <c r="L587" s="1791"/>
      <c r="M587" s="1791"/>
      <c r="N587" s="1791"/>
      <c r="O587" s="1791"/>
      <c r="P587" s="1792"/>
      <c r="Q587" s="1347" t="s">
        <v>2193</v>
      </c>
      <c r="R587" s="1348"/>
      <c r="S587" s="1348"/>
      <c r="T587" s="1348"/>
      <c r="U587" s="1348"/>
      <c r="V587" s="1349"/>
      <c r="W587" s="1347" t="str">
        <f>I576</f>
        <v>Percent of Low-Income Units (exclusive of manager’s units)</v>
      </c>
      <c r="X587" s="1348"/>
      <c r="Y587" s="1348"/>
      <c r="Z587" s="1348"/>
      <c r="AA587" s="1348"/>
      <c r="AB587" s="1349"/>
      <c r="AC587" s="1347" t="s">
        <v>2194</v>
      </c>
      <c r="AD587" s="1348"/>
      <c r="AE587" s="1348"/>
      <c r="AF587" s="1348"/>
      <c r="AG587" s="1348"/>
      <c r="AH587" s="1349"/>
      <c r="AN587" s="241"/>
      <c r="AP587" s="1646" t="str">
        <f t="shared" si="0"/>
        <v>Total:</v>
      </c>
      <c r="AQ587" s="1647"/>
      <c r="AR587" s="1647"/>
      <c r="AS587" s="1647"/>
      <c r="AT587" s="1648"/>
      <c r="AU587" s="1646"/>
      <c r="AV587" s="1647"/>
      <c r="AW587" s="1647"/>
      <c r="AX587" s="1647"/>
      <c r="AY587" s="1648"/>
      <c r="AZ587" s="1646"/>
      <c r="BA587" s="1647"/>
      <c r="BB587" s="1647"/>
      <c r="BC587" s="1647"/>
      <c r="BD587" s="1648"/>
      <c r="BE587" s="1646"/>
      <c r="BF587" s="1647"/>
      <c r="BG587" s="1647"/>
      <c r="BH587" s="1647"/>
      <c r="BI587" s="1648"/>
      <c r="BJ587" s="1208">
        <f>SUM(BJ581:BN586)</f>
        <v>0</v>
      </c>
      <c r="BK587" s="1209"/>
      <c r="BL587" s="1209"/>
      <c r="BM587" s="1209"/>
      <c r="BN587" s="1210"/>
      <c r="BO587" s="1208">
        <f>SUM(BO581:BS586)</f>
        <v>0</v>
      </c>
      <c r="BP587" s="1209"/>
      <c r="BQ587" s="1209"/>
      <c r="BR587" s="1209"/>
      <c r="BS587" s="1210"/>
      <c r="BT587" s="1208">
        <f>SUM(BT581:BX586)</f>
        <v>0</v>
      </c>
      <c r="BU587" s="1209"/>
      <c r="BV587" s="1209"/>
      <c r="BW587" s="1209"/>
      <c r="BX587" s="1210"/>
      <c r="BY587" s="1208">
        <f>SUM(BY581:CC586)</f>
        <v>0</v>
      </c>
      <c r="BZ587" s="1209"/>
      <c r="CA587" s="1209"/>
      <c r="CB587" s="1209"/>
      <c r="CC587" s="1210"/>
      <c r="CD587" s="1208">
        <f>SUM(CD581:CH586)</f>
        <v>0</v>
      </c>
      <c r="CE587" s="1209"/>
      <c r="CF587" s="1209"/>
      <c r="CG587" s="1209"/>
      <c r="CH587" s="1210"/>
      <c r="CI587" s="1208">
        <f>SUM(CI581:CM586)</f>
        <v>0</v>
      </c>
      <c r="CJ587" s="1209"/>
      <c r="CK587" s="1209"/>
      <c r="CL587" s="1209"/>
      <c r="CM587" s="1210"/>
      <c r="CN587" s="1208">
        <f>SUM(BJ587:CM587)</f>
        <v>0</v>
      </c>
      <c r="CO587" s="1209"/>
      <c r="CP587" s="1209"/>
      <c r="CQ587" s="1209"/>
      <c r="CR587" s="1210"/>
    </row>
    <row r="588" spans="1:96" s="4" customFormat="1" ht="12.75" customHeight="1">
      <c r="E588" s="1793"/>
      <c r="F588" s="1794"/>
      <c r="G588" s="1794"/>
      <c r="H588" s="1794"/>
      <c r="I588" s="1794"/>
      <c r="J588" s="1795"/>
      <c r="K588" s="1793"/>
      <c r="L588" s="1794"/>
      <c r="M588" s="1794"/>
      <c r="N588" s="1794"/>
      <c r="O588" s="1794"/>
      <c r="P588" s="1795"/>
      <c r="Q588" s="1350"/>
      <c r="R588" s="1351"/>
      <c r="S588" s="1351"/>
      <c r="T588" s="1351"/>
      <c r="U588" s="1351"/>
      <c r="V588" s="1352"/>
      <c r="W588" s="1350"/>
      <c r="X588" s="1351"/>
      <c r="Y588" s="1351"/>
      <c r="Z588" s="1351"/>
      <c r="AA588" s="1351"/>
      <c r="AB588" s="1352"/>
      <c r="AC588" s="1350"/>
      <c r="AD588" s="1351"/>
      <c r="AE588" s="1351"/>
      <c r="AF588" s="1351"/>
      <c r="AG588" s="1351"/>
      <c r="AH588" s="1352"/>
      <c r="AN588" s="241"/>
    </row>
    <row r="589" spans="1:96" s="4" customFormat="1" ht="12.75" customHeight="1">
      <c r="E589" s="1793"/>
      <c r="F589" s="1794"/>
      <c r="G589" s="1794"/>
      <c r="H589" s="1794"/>
      <c r="I589" s="1794"/>
      <c r="J589" s="1795"/>
      <c r="K589" s="1793"/>
      <c r="L589" s="1794"/>
      <c r="M589" s="1794"/>
      <c r="N589" s="1794"/>
      <c r="O589" s="1794"/>
      <c r="P589" s="1795"/>
      <c r="Q589" s="1350"/>
      <c r="R589" s="1351"/>
      <c r="S589" s="1351"/>
      <c r="T589" s="1351"/>
      <c r="U589" s="1351"/>
      <c r="V589" s="1352"/>
      <c r="W589" s="1350"/>
      <c r="X589" s="1351"/>
      <c r="Y589" s="1351"/>
      <c r="Z589" s="1351"/>
      <c r="AA589" s="1351"/>
      <c r="AB589" s="1352"/>
      <c r="AC589" s="1350"/>
      <c r="AD589" s="1351"/>
      <c r="AE589" s="1351"/>
      <c r="AF589" s="1351"/>
      <c r="AG589" s="1351"/>
      <c r="AH589" s="1352"/>
      <c r="AN589" s="241"/>
    </row>
    <row r="590" spans="1:96" s="4" customFormat="1" ht="12.75" customHeight="1">
      <c r="E590" s="1793"/>
      <c r="F590" s="1794"/>
      <c r="G590" s="1794"/>
      <c r="H590" s="1794"/>
      <c r="I590" s="1794"/>
      <c r="J590" s="1795"/>
      <c r="K590" s="1793"/>
      <c r="L590" s="1794"/>
      <c r="M590" s="1794"/>
      <c r="N590" s="1794"/>
      <c r="O590" s="1794"/>
      <c r="P590" s="1795"/>
      <c r="Q590" s="1350"/>
      <c r="R590" s="1351"/>
      <c r="S590" s="1351"/>
      <c r="T590" s="1351"/>
      <c r="U590" s="1351"/>
      <c r="V590" s="1352"/>
      <c r="W590" s="1350"/>
      <c r="X590" s="1351"/>
      <c r="Y590" s="1351"/>
      <c r="Z590" s="1351"/>
      <c r="AA590" s="1351"/>
      <c r="AB590" s="1352"/>
      <c r="AC590" s="1350"/>
      <c r="AD590" s="1351"/>
      <c r="AE590" s="1351"/>
      <c r="AF590" s="1351"/>
      <c r="AG590" s="1351"/>
      <c r="AH590" s="1352"/>
      <c r="AN590" s="241"/>
      <c r="AP590" s="3" t="s">
        <v>2195</v>
      </c>
      <c r="BH590" s="3" t="s">
        <v>2196</v>
      </c>
    </row>
    <row r="591" spans="1:96" s="4" customFormat="1" ht="12.75" customHeight="1">
      <c r="E591" s="1604"/>
      <c r="F591" s="1605"/>
      <c r="G591" s="1605"/>
      <c r="H591" s="1605"/>
      <c r="I591" s="1605"/>
      <c r="J591" s="1606"/>
      <c r="K591" s="1595">
        <v>20</v>
      </c>
      <c r="L591" s="1596"/>
      <c r="M591" s="1596"/>
      <c r="N591" s="1596"/>
      <c r="O591" s="1596"/>
      <c r="P591" s="1597"/>
      <c r="Q591" s="1591">
        <f>IF(ISERROR(IF((((E591/$BJ$538)*100)&gt;100),"EXCESSIVE VALUE",(E591/$BJ$538)*100)),0,IF((((E591/$BJ$538)*100)&gt;100),"EXCESSIVE VALUE",(E591/$BJ$538)*100))</f>
        <v>0</v>
      </c>
      <c r="R591" s="1592"/>
      <c r="S591" s="1592"/>
      <c r="T591" s="1592"/>
      <c r="U591" s="1592"/>
      <c r="V591" s="1593"/>
      <c r="W591" s="1571">
        <f>IF(FLOOR(Q591,5)&gt;80,80,FLOOR(Q591,5))</f>
        <v>0</v>
      </c>
      <c r="X591" s="1572"/>
      <c r="Y591" s="1572"/>
      <c r="Z591" s="1572"/>
      <c r="AA591" s="1572"/>
      <c r="AB591" s="1573"/>
      <c r="AC591" s="1571">
        <f>IFERROR(IF(W591&gt;0,INDEX($BI$517:$BP$531,MATCH(W591,$BH$517:$BH$531,0),MATCH(K591,$BI$516:$BP$516,0)),0),0)</f>
        <v>0</v>
      </c>
      <c r="AD591" s="1572"/>
      <c r="AE591" s="1572"/>
      <c r="AF591" s="1572"/>
      <c r="AG591" s="1572"/>
      <c r="AH591" s="1573"/>
      <c r="AN591" s="241"/>
      <c r="AO591" s="4">
        <v>5</v>
      </c>
      <c r="AP591" s="1595">
        <f t="shared" ref="AP591:AP596" si="4">IF(OR(BE581&gt;=0.1,BE581=0),0,1)</f>
        <v>0</v>
      </c>
      <c r="AQ591" s="1596"/>
      <c r="AR591" s="1596"/>
      <c r="AS591" s="1596"/>
      <c r="AT591" s="1597"/>
      <c r="AX591" s="1642" t="s">
        <v>2197</v>
      </c>
      <c r="AY591" s="1643"/>
      <c r="AZ591" s="1643"/>
      <c r="BA591" s="1643"/>
      <c r="BB591" s="1643"/>
      <c r="BC591" s="1643"/>
      <c r="BD591" s="1643"/>
      <c r="BE591" s="1643"/>
      <c r="BF591" s="1643"/>
      <c r="BG591" s="1643"/>
      <c r="BH591" s="1643"/>
      <c r="BI591" s="1643"/>
      <c r="BJ591" s="1643"/>
      <c r="BK591" s="1643"/>
      <c r="BL591" s="1643"/>
      <c r="BM591" s="1643"/>
      <c r="BN591" s="1643"/>
      <c r="BO591" s="1643"/>
      <c r="BP591" s="1643"/>
      <c r="BQ591" s="1644"/>
    </row>
    <row r="592" spans="1:96" s="4" customFormat="1" ht="12.75" customHeight="1">
      <c r="E592" s="1604">
        <v>57</v>
      </c>
      <c r="F592" s="1605"/>
      <c r="G592" s="1605"/>
      <c r="H592" s="1605"/>
      <c r="I592" s="1605"/>
      <c r="J592" s="1606"/>
      <c r="K592" s="1595">
        <v>30</v>
      </c>
      <c r="L592" s="1596"/>
      <c r="M592" s="1596"/>
      <c r="N592" s="1596"/>
      <c r="O592" s="1596"/>
      <c r="P592" s="1597"/>
      <c r="Q592" s="1591">
        <f>IF(ISERROR(IF((((E592/$BJ$538)*100)&gt;100),"EXCESSIVE VALUE",(E592/$BJ$538)*100)),0,IF((((E592/$BJ$538)*100)&gt;100),"EXCESSIVE VALUE",(E592/$BJ$538)*100))</f>
        <v>100</v>
      </c>
      <c r="R592" s="1592"/>
      <c r="S592" s="1592"/>
      <c r="T592" s="1592"/>
      <c r="U592" s="1592"/>
      <c r="V592" s="1593"/>
      <c r="W592" s="1571">
        <f>IF(FLOOR(Q592,5)&gt;80,80,FLOOR(Q592,5))</f>
        <v>80</v>
      </c>
      <c r="X592" s="1572"/>
      <c r="Y592" s="1572"/>
      <c r="Z592" s="1572"/>
      <c r="AA592" s="1572"/>
      <c r="AB592" s="1573"/>
      <c r="AC592" s="1571">
        <f t="shared" ref="AC592:AC596" si="5">IFERROR(IF(W592&gt;0,INDEX($BI$517:$BP$531,MATCH(W592,$BH$517:$BH$531,0),MATCH(K592,$BI$516:$BP$516,0)),0),0)</f>
        <v>50</v>
      </c>
      <c r="AD592" s="1572"/>
      <c r="AE592" s="1572"/>
      <c r="AF592" s="1572"/>
      <c r="AG592" s="1572"/>
      <c r="AH592" s="1573"/>
      <c r="AN592" s="241"/>
      <c r="AO592" s="4">
        <v>4</v>
      </c>
      <c r="AP592" s="1595">
        <f t="shared" si="4"/>
        <v>0</v>
      </c>
      <c r="AQ592" s="1596"/>
      <c r="AR592" s="1596"/>
      <c r="AS592" s="1596"/>
      <c r="AT592" s="1597"/>
      <c r="AX592" s="1659" t="s">
        <v>2198</v>
      </c>
      <c r="AY592" s="1660"/>
      <c r="AZ592" s="1034" t="s">
        <v>2198</v>
      </c>
      <c r="BA592" s="1037"/>
      <c r="BB592" s="1659" t="s">
        <v>1427</v>
      </c>
      <c r="BC592" s="1660"/>
      <c r="BD592" s="1649" t="s">
        <v>1427</v>
      </c>
      <c r="BE592" s="1651"/>
      <c r="BF592" s="1659" t="s">
        <v>1426</v>
      </c>
      <c r="BG592" s="1660"/>
      <c r="BH592" s="1649" t="s">
        <v>1426</v>
      </c>
      <c r="BI592" s="1651"/>
      <c r="BJ592" s="1659" t="s">
        <v>1425</v>
      </c>
      <c r="BK592" s="1660"/>
      <c r="BL592" s="1649" t="s">
        <v>1425</v>
      </c>
      <c r="BM592" s="1651"/>
      <c r="BN592" s="1659" t="s">
        <v>863</v>
      </c>
      <c r="BO592" s="1660"/>
      <c r="BP592" s="1649" t="s">
        <v>863</v>
      </c>
      <c r="BQ592" s="1651"/>
    </row>
    <row r="593" spans="1:69" s="4" customFormat="1" ht="12.75" customHeight="1">
      <c r="E593" s="1604"/>
      <c r="F593" s="1605"/>
      <c r="G593" s="1605"/>
      <c r="H593" s="1605"/>
      <c r="I593" s="1605"/>
      <c r="J593" s="1606"/>
      <c r="K593" s="1595">
        <v>35</v>
      </c>
      <c r="L593" s="1596"/>
      <c r="M593" s="1596"/>
      <c r="N593" s="1596"/>
      <c r="O593" s="1596"/>
      <c r="P593" s="1597"/>
      <c r="Q593" s="1591">
        <f t="shared" ref="Q593:Q599" si="6">IF(ISERROR(IF((((E593/$BJ$538)*100)&gt;100),"EXCESSIVE VALUE",(E593/$BJ$538)*100)),0,IF((((E593/$BJ$538)*100)&gt;100),"EXCESSIVE VALUE",(E593/$BJ$538)*100))</f>
        <v>0</v>
      </c>
      <c r="R593" s="1592"/>
      <c r="S593" s="1592"/>
      <c r="T593" s="1592"/>
      <c r="U593" s="1592"/>
      <c r="V593" s="1593"/>
      <c r="W593" s="1571">
        <f t="shared" ref="W593:W599" si="7">IF(FLOOR(Q593,5)&gt;80,80,FLOOR(Q593,5))</f>
        <v>0</v>
      </c>
      <c r="X593" s="1572"/>
      <c r="Y593" s="1572"/>
      <c r="Z593" s="1572"/>
      <c r="AA593" s="1572"/>
      <c r="AB593" s="1573"/>
      <c r="AC593" s="1571">
        <f t="shared" si="5"/>
        <v>0</v>
      </c>
      <c r="AD593" s="1572"/>
      <c r="AE593" s="1572"/>
      <c r="AF593" s="1572"/>
      <c r="AG593" s="1572"/>
      <c r="AH593" s="1573"/>
      <c r="AN593" s="241"/>
      <c r="AO593" s="4">
        <v>3</v>
      </c>
      <c r="AP593" s="1595">
        <f t="shared" si="4"/>
        <v>0</v>
      </c>
      <c r="AQ593" s="1596"/>
      <c r="AR593" s="1596"/>
      <c r="AS593" s="1596"/>
      <c r="AT593" s="1597"/>
      <c r="AX593" s="1659">
        <f>IF(AP543=1,1,0)</f>
        <v>0</v>
      </c>
      <c r="AY593" s="1660"/>
      <c r="AZ593" s="1642"/>
      <c r="BA593" s="1644"/>
      <c r="BB593" s="1657"/>
      <c r="BC593" s="1658"/>
      <c r="BD593" s="1649">
        <f>IF(AND(T619&gt;0,AP543&gt;0),1,0)</f>
        <v>0</v>
      </c>
      <c r="BE593" s="1651"/>
      <c r="BF593" s="1657"/>
      <c r="BG593" s="1658"/>
      <c r="BH593" s="1649">
        <f>IF(AND(T619&gt;0,AP543&gt;0),1,0)</f>
        <v>0</v>
      </c>
      <c r="BI593" s="1651"/>
      <c r="BJ593" s="1657"/>
      <c r="BK593" s="1658"/>
      <c r="BL593" s="1649">
        <f>IF(AND(T619&gt;0,AP543&gt;0),1,0)</f>
        <v>0</v>
      </c>
      <c r="BM593" s="1651"/>
      <c r="BN593" s="1657"/>
      <c r="BO593" s="1658"/>
      <c r="BP593" s="1649">
        <f>IF(AND(T619&gt;0,AP543&gt;0),1,0)</f>
        <v>0</v>
      </c>
      <c r="BQ593" s="1651"/>
    </row>
    <row r="594" spans="1:69" s="4" customFormat="1" ht="12.75" customHeight="1">
      <c r="E594" s="1604"/>
      <c r="F594" s="1605"/>
      <c r="G594" s="1605"/>
      <c r="H594" s="1605"/>
      <c r="I594" s="1605"/>
      <c r="J594" s="1606"/>
      <c r="K594" s="1595">
        <v>40</v>
      </c>
      <c r="L594" s="1596"/>
      <c r="M594" s="1596"/>
      <c r="N594" s="1596"/>
      <c r="O594" s="1596"/>
      <c r="P594" s="1597"/>
      <c r="Q594" s="1591">
        <f t="shared" si="6"/>
        <v>0</v>
      </c>
      <c r="R594" s="1592"/>
      <c r="S594" s="1592"/>
      <c r="T594" s="1592"/>
      <c r="U594" s="1592"/>
      <c r="V594" s="1593"/>
      <c r="W594" s="1571">
        <f t="shared" si="7"/>
        <v>0</v>
      </c>
      <c r="X594" s="1572"/>
      <c r="Y594" s="1572"/>
      <c r="Z594" s="1572"/>
      <c r="AA594" s="1572"/>
      <c r="AB594" s="1573"/>
      <c r="AC594" s="1571">
        <f t="shared" si="5"/>
        <v>0</v>
      </c>
      <c r="AD594" s="1572"/>
      <c r="AE594" s="1572"/>
      <c r="AF594" s="1572"/>
      <c r="AG594" s="1572"/>
      <c r="AH594" s="1573"/>
      <c r="AN594" s="241"/>
      <c r="AO594" s="4">
        <v>2</v>
      </c>
      <c r="AP594" s="1595">
        <f t="shared" si="4"/>
        <v>0</v>
      </c>
      <c r="AQ594" s="1596"/>
      <c r="AR594" s="1596"/>
      <c r="AS594" s="1596"/>
      <c r="AT594" s="1597"/>
      <c r="AX594" s="1657"/>
      <c r="AY594" s="1658"/>
      <c r="AZ594" s="1642"/>
      <c r="BA594" s="1644"/>
      <c r="BB594" s="1659">
        <f>IF(AP544=1,1,0)</f>
        <v>0</v>
      </c>
      <c r="BC594" s="1660"/>
      <c r="BD594" s="1642"/>
      <c r="BE594" s="1644"/>
      <c r="BF594" s="1657"/>
      <c r="BG594" s="1658"/>
      <c r="BH594" s="1649">
        <f>IF(AND(T620&gt;0,AP544&gt;0),1,0)</f>
        <v>0</v>
      </c>
      <c r="BI594" s="1651"/>
      <c r="BJ594" s="1657"/>
      <c r="BK594" s="1658"/>
      <c r="BL594" s="1649">
        <f>IF(AND(T620&gt;0,AP544&gt;0),1,0)</f>
        <v>0</v>
      </c>
      <c r="BM594" s="1651"/>
      <c r="BN594" s="1657"/>
      <c r="BO594" s="1658"/>
      <c r="BP594" s="1649">
        <f>IF(AND(T620&gt;0,AP544&gt;0),1,0)</f>
        <v>0</v>
      </c>
      <c r="BQ594" s="1651"/>
    </row>
    <row r="595" spans="1:69" s="4" customFormat="1" ht="12.75" customHeight="1">
      <c r="E595" s="1604"/>
      <c r="F595" s="1605"/>
      <c r="G595" s="1605"/>
      <c r="H595" s="1605"/>
      <c r="I595" s="1605"/>
      <c r="J595" s="1606"/>
      <c r="K595" s="1595">
        <v>45</v>
      </c>
      <c r="L595" s="1596"/>
      <c r="M595" s="1596"/>
      <c r="N595" s="1596"/>
      <c r="O595" s="1596"/>
      <c r="P595" s="1597"/>
      <c r="Q595" s="1591">
        <f t="shared" si="6"/>
        <v>0</v>
      </c>
      <c r="R595" s="1592"/>
      <c r="S595" s="1592"/>
      <c r="T595" s="1592"/>
      <c r="U595" s="1592"/>
      <c r="V595" s="1593"/>
      <c r="W595" s="1571">
        <f>IF(FLOOR(Q595,5)&gt;80,80,FLOOR(Q595,5))</f>
        <v>0</v>
      </c>
      <c r="X595" s="1572"/>
      <c r="Y595" s="1572"/>
      <c r="Z595" s="1572"/>
      <c r="AA595" s="1572"/>
      <c r="AB595" s="1573"/>
      <c r="AC595" s="1571">
        <f t="shared" si="5"/>
        <v>0</v>
      </c>
      <c r="AD595" s="1572"/>
      <c r="AE595" s="1572"/>
      <c r="AF595" s="1572"/>
      <c r="AG595" s="1572"/>
      <c r="AH595" s="1573"/>
      <c r="AN595" s="241"/>
      <c r="AO595" s="4">
        <v>1</v>
      </c>
      <c r="AP595" s="1595">
        <f t="shared" si="4"/>
        <v>0</v>
      </c>
      <c r="AQ595" s="1596"/>
      <c r="AR595" s="1596"/>
      <c r="AS595" s="1596"/>
      <c r="AT595" s="1597"/>
      <c r="AX595" s="1657"/>
      <c r="AY595" s="1658"/>
      <c r="AZ595" s="1642"/>
      <c r="BA595" s="1644"/>
      <c r="BB595" s="1657"/>
      <c r="BC595" s="1658"/>
      <c r="BD595" s="1642"/>
      <c r="BE595" s="1644"/>
      <c r="BF595" s="1659">
        <f>IF(AP545=1,1,0)</f>
        <v>0</v>
      </c>
      <c r="BG595" s="1660"/>
      <c r="BH595" s="1642"/>
      <c r="BI595" s="1644"/>
      <c r="BJ595" s="1657"/>
      <c r="BK595" s="1658"/>
      <c r="BL595" s="1649">
        <f>IF(AND(T621&gt;0,AP545&gt;0),1,0)</f>
        <v>0</v>
      </c>
      <c r="BM595" s="1651"/>
      <c r="BN595" s="1657"/>
      <c r="BO595" s="1658"/>
      <c r="BP595" s="1649">
        <f>IF(AND(T621&gt;0,AP545&gt;0),1,0)</f>
        <v>0</v>
      </c>
      <c r="BQ595" s="1651"/>
    </row>
    <row r="596" spans="1:69" s="4" customFormat="1" ht="12.75" customHeight="1">
      <c r="E596" s="1604"/>
      <c r="F596" s="1605"/>
      <c r="G596" s="1605"/>
      <c r="H596" s="1605"/>
      <c r="I596" s="1605"/>
      <c r="J596" s="1606"/>
      <c r="K596" s="1595">
        <f>IF(OR(Application!D211="Rural",Application!D211="Rural apportionment (Section 514)",Application!D211="Rural apportionment (Section 515)",Application!D211="Rural apportionment (CDBG-DR)",Application!D211="Rural apportionment (HOME)",Application!D211="Rural (Native American apportionment)"),"",50)</f>
        <v>50</v>
      </c>
      <c r="L596" s="1596"/>
      <c r="M596" s="1596"/>
      <c r="N596" s="1596"/>
      <c r="O596" s="1596"/>
      <c r="P596" s="1597"/>
      <c r="Q596" s="1591">
        <f t="shared" si="6"/>
        <v>0</v>
      </c>
      <c r="R596" s="1592"/>
      <c r="S596" s="1592"/>
      <c r="T596" s="1592"/>
      <c r="U596" s="1592"/>
      <c r="V596" s="1593"/>
      <c r="W596" s="1571">
        <f>IF(FLOOR(Q596,5)&gt;80,80,FLOOR(Q596,5))</f>
        <v>0</v>
      </c>
      <c r="X596" s="1572"/>
      <c r="Y596" s="1572"/>
      <c r="Z596" s="1572"/>
      <c r="AA596" s="1572"/>
      <c r="AB596" s="1573"/>
      <c r="AC596" s="1571">
        <f t="shared" si="5"/>
        <v>0</v>
      </c>
      <c r="AD596" s="1572"/>
      <c r="AE596" s="1572"/>
      <c r="AF596" s="1572"/>
      <c r="AG596" s="1572"/>
      <c r="AH596" s="1573"/>
      <c r="AN596" s="241"/>
      <c r="AO596" s="4">
        <v>0</v>
      </c>
      <c r="AP596" s="1595">
        <f t="shared" si="4"/>
        <v>0</v>
      </c>
      <c r="AQ596" s="1596"/>
      <c r="AR596" s="1596"/>
      <c r="AS596" s="1596"/>
      <c r="AT596" s="1597"/>
      <c r="AX596" s="1657"/>
      <c r="AY596" s="1658"/>
      <c r="AZ596" s="1642"/>
      <c r="BA596" s="1644"/>
      <c r="BB596" s="1657"/>
      <c r="BC596" s="1658"/>
      <c r="BD596" s="1642"/>
      <c r="BE596" s="1644"/>
      <c r="BF596" s="1657"/>
      <c r="BG596" s="1658"/>
      <c r="BH596" s="1642"/>
      <c r="BI596" s="1644"/>
      <c r="BJ596" s="1659">
        <f>IF(AP546=1,1,0)</f>
        <v>0</v>
      </c>
      <c r="BK596" s="1660"/>
      <c r="BL596" s="1657"/>
      <c r="BM596" s="1658"/>
      <c r="BN596" s="1657"/>
      <c r="BO596" s="1658"/>
      <c r="BP596" s="1649">
        <f>IF(AND(T622&gt;0,AP546&gt;0),1,0)</f>
        <v>0</v>
      </c>
      <c r="BQ596" s="1651"/>
    </row>
    <row r="597" spans="1:69" s="4" customFormat="1" ht="12.75" customHeight="1">
      <c r="E597" s="1639"/>
      <c r="F597" s="1640"/>
      <c r="G597" s="1640"/>
      <c r="H597" s="1640"/>
      <c r="I597" s="1640"/>
      <c r="J597" s="1641"/>
      <c r="K597" s="1598" t="str">
        <f>IF(OR(Application!D211="Rural",Application!D211="Rural apportionment (Section 514)",Application!D211="Rural apportionment (Section 515)",Application!D211="Rural apportionment (HOME)",Application!D211="Rural apportionment (CDBG-DR)",Application!D211="Rural (Native American apportionment)"),50,"")</f>
        <v/>
      </c>
      <c r="L597" s="1599"/>
      <c r="M597" s="1623" t="s">
        <v>2199</v>
      </c>
      <c r="N597" s="1623"/>
      <c r="O597" s="1623"/>
      <c r="P597" s="1624"/>
      <c r="Q597" s="1591">
        <f t="shared" si="6"/>
        <v>0</v>
      </c>
      <c r="R597" s="1592"/>
      <c r="S597" s="1592"/>
      <c r="T597" s="1592"/>
      <c r="U597" s="1592"/>
      <c r="V597" s="1593"/>
      <c r="W597" s="1571">
        <f>IF(FLOOR(Q597,5)&gt;80,80,FLOOR(Q597,5))</f>
        <v>0</v>
      </c>
      <c r="X597" s="1572"/>
      <c r="Y597" s="1572"/>
      <c r="Z597" s="1572"/>
      <c r="AA597" s="1572"/>
      <c r="AB597" s="1573"/>
      <c r="AC597" s="1571">
        <f>IFERROR(IF(W597&gt;0,INDEX($AT$517:$BA$531,MATCH(W597,$AS$517:$AS$531,0),MATCH(K597,$AT$516:$BA$516,0)),0),0)</f>
        <v>0</v>
      </c>
      <c r="AD597" s="1572"/>
      <c r="AE597" s="1572"/>
      <c r="AF597" s="1572"/>
      <c r="AG597" s="1572"/>
      <c r="AH597" s="1573"/>
      <c r="AN597" s="241"/>
      <c r="AP597" s="1595"/>
      <c r="AQ597" s="1596"/>
      <c r="AR597" s="1596"/>
      <c r="AS597" s="1596"/>
      <c r="AT597" s="1597"/>
      <c r="AX597" s="1657"/>
      <c r="AY597" s="1658"/>
      <c r="AZ597" s="1642"/>
      <c r="BA597" s="1644"/>
      <c r="BB597" s="1657"/>
      <c r="BC597" s="1658"/>
      <c r="BD597" s="1642"/>
      <c r="BE597" s="1644"/>
      <c r="BF597" s="1657"/>
      <c r="BG597" s="1658"/>
      <c r="BH597" s="1642"/>
      <c r="BI597" s="1644"/>
      <c r="BJ597" s="1657"/>
      <c r="BK597" s="1658"/>
      <c r="BL597" s="1657"/>
      <c r="BM597" s="1658"/>
      <c r="BN597" s="1659">
        <f>IF(AP547=1,1,0)</f>
        <v>1</v>
      </c>
      <c r="BO597" s="1660"/>
      <c r="BP597" s="1642"/>
      <c r="BQ597" s="1644"/>
    </row>
    <row r="598" spans="1:69" s="4" customFormat="1" ht="12.75" customHeight="1">
      <c r="E598" s="1639"/>
      <c r="F598" s="1640"/>
      <c r="G598" s="1640"/>
      <c r="H598" s="1640"/>
      <c r="I598" s="1640"/>
      <c r="J598" s="1641"/>
      <c r="K598" s="1598" t="str">
        <f>IF(OR(Application!D211="Rural",Application!D211="Rural apportionment (Section 514)",Application!D211="Rural apportionment (Section 515)",Application!D211="Rural apportionment (HOME)",Application!D211="Rural apportionment (CDBG-DR)",Application!D211="Rural (Native American apportionment)"),55,"")</f>
        <v/>
      </c>
      <c r="L598" s="1599"/>
      <c r="M598" s="1623" t="s">
        <v>2199</v>
      </c>
      <c r="N598" s="1623"/>
      <c r="O598" s="1623"/>
      <c r="P598" s="1624"/>
      <c r="Q598" s="1591">
        <f t="shared" si="6"/>
        <v>0</v>
      </c>
      <c r="R598" s="1592"/>
      <c r="S598" s="1592"/>
      <c r="T598" s="1592"/>
      <c r="U598" s="1592"/>
      <c r="V598" s="1593"/>
      <c r="W598" s="1571">
        <f>IF(FLOOR(Q598,5)&gt;80,80,FLOOR(Q598,5))</f>
        <v>0</v>
      </c>
      <c r="X598" s="1572"/>
      <c r="Y598" s="1572"/>
      <c r="Z598" s="1572"/>
      <c r="AA598" s="1572"/>
      <c r="AB598" s="1573"/>
      <c r="AC598" s="1571">
        <f>IFERROR(IF(W598&gt;0,INDEX($AT$517:$BA$531,MATCH(W598,$AS$517:$AS$531,0),MATCH(K598,$AT$516:$BA$516,0)),0),0)</f>
        <v>0</v>
      </c>
      <c r="AD598" s="1572"/>
      <c r="AE598" s="1572"/>
      <c r="AF598" s="1572"/>
      <c r="AG598" s="1572"/>
      <c r="AH598" s="1573"/>
      <c r="AN598" s="241"/>
      <c r="AX598" s="1659">
        <f>SUM(AX593:AY597)</f>
        <v>0</v>
      </c>
      <c r="AY598" s="1660"/>
      <c r="AZ598" s="1649">
        <f>SUM(AZ594:BA597)</f>
        <v>0</v>
      </c>
      <c r="BA598" s="1651"/>
      <c r="BB598" s="1659">
        <f>SUM(BB594:BC597)</f>
        <v>0</v>
      </c>
      <c r="BC598" s="1660"/>
      <c r="BD598" s="1649">
        <f>SUM(BD593:BE597)</f>
        <v>0</v>
      </c>
      <c r="BE598" s="1651"/>
      <c r="BF598" s="1659">
        <f>SUM(BF595:BG597)</f>
        <v>0</v>
      </c>
      <c r="BG598" s="1660"/>
      <c r="BH598" s="1649">
        <f>SUM(BH593:BI597)</f>
        <v>0</v>
      </c>
      <c r="BI598" s="1651"/>
      <c r="BJ598" s="1659">
        <f>SUM(BJ593:BK597)</f>
        <v>0</v>
      </c>
      <c r="BK598" s="1660"/>
      <c r="BL598" s="1649">
        <f>SUM(BL593:BM597)</f>
        <v>0</v>
      </c>
      <c r="BM598" s="1651"/>
      <c r="BN598" s="1659">
        <f>SUM(BN593:BO597)</f>
        <v>1</v>
      </c>
      <c r="BO598" s="1660"/>
      <c r="BP598" s="1649">
        <f>SUM(BP593:BQ597)</f>
        <v>0</v>
      </c>
      <c r="BQ598" s="1651"/>
    </row>
    <row r="599" spans="1:69" s="4" customFormat="1" ht="12.75" customHeight="1">
      <c r="E599" s="1604"/>
      <c r="F599" s="1605"/>
      <c r="G599" s="1605"/>
      <c r="H599" s="1605"/>
      <c r="I599" s="1605"/>
      <c r="J599" s="1606"/>
      <c r="K599" s="1595" t="s">
        <v>2200</v>
      </c>
      <c r="L599" s="1596"/>
      <c r="M599" s="1596"/>
      <c r="N599" s="1596"/>
      <c r="O599" s="1596"/>
      <c r="P599" s="1597"/>
      <c r="Q599" s="1591">
        <f t="shared" si="6"/>
        <v>0</v>
      </c>
      <c r="R599" s="1592"/>
      <c r="S599" s="1592"/>
      <c r="T599" s="1592"/>
      <c r="U599" s="1592"/>
      <c r="V599" s="1593"/>
      <c r="W599" s="1571">
        <f t="shared" si="7"/>
        <v>0</v>
      </c>
      <c r="X599" s="1572"/>
      <c r="Y599" s="1572"/>
      <c r="Z599" s="1572"/>
      <c r="AA599" s="1572"/>
      <c r="AB599" s="1573"/>
      <c r="AC599" s="1571">
        <v>0</v>
      </c>
      <c r="AD599" s="1572"/>
      <c r="AE599" s="1572"/>
      <c r="AF599" s="1572"/>
      <c r="AG599" s="1572"/>
      <c r="AH599" s="1573"/>
      <c r="AN599" s="241"/>
      <c r="AX599" s="1654">
        <f>IF(AND(AX598=1,AZ598&gt;1),1,0)</f>
        <v>0</v>
      </c>
      <c r="AY599" s="1655"/>
      <c r="AZ599" s="1655"/>
      <c r="BA599" s="1656"/>
      <c r="BB599" s="1654">
        <f>IF(AND(BB598=1,BD598&gt;=1),1,0)</f>
        <v>0</v>
      </c>
      <c r="BC599" s="1655"/>
      <c r="BD599" s="1655"/>
      <c r="BE599" s="1656"/>
      <c r="BF599" s="1654">
        <f>IF(AND(BF598=1,BH598&gt;=1),1,0)</f>
        <v>0</v>
      </c>
      <c r="BG599" s="1655"/>
      <c r="BH599" s="1655"/>
      <c r="BI599" s="1656"/>
      <c r="BJ599" s="1654">
        <f>IF(AND(BJ598=1,BL598&gt;=1),1,0)</f>
        <v>0</v>
      </c>
      <c r="BK599" s="1655"/>
      <c r="BL599" s="1655"/>
      <c r="BM599" s="1656"/>
      <c r="BN599" s="1654">
        <f>IF(AND(BN598=1,BP598&gt;=1),1,0)</f>
        <v>0</v>
      </c>
      <c r="BO599" s="1655"/>
      <c r="BP599" s="1655"/>
      <c r="BQ599" s="1656"/>
    </row>
    <row r="600" spans="1:69" s="4" customFormat="1" ht="12.75" customHeight="1">
      <c r="E600" s="1604"/>
      <c r="F600" s="1605"/>
      <c r="G600" s="1605"/>
      <c r="H600" s="1605"/>
      <c r="I600" s="1605"/>
      <c r="J600" s="1606"/>
      <c r="K600" s="1595" t="s">
        <v>2201</v>
      </c>
      <c r="L600" s="1596"/>
      <c r="M600" s="1596"/>
      <c r="N600" s="1596"/>
      <c r="O600" s="1596"/>
      <c r="P600" s="1597"/>
      <c r="Q600" s="1591">
        <f>IF(ISERROR(IF((((E600/$BJ$538)*100)&gt;100),"EXCESSIVE VALUE",(E600/$BJ$538)*100)),0,IF((((E600/$BJ$538)*100)&gt;100),"EXCESSIVE VALUE",(E600/$BJ$538)*100))</f>
        <v>0</v>
      </c>
      <c r="R600" s="1592"/>
      <c r="S600" s="1592"/>
      <c r="T600" s="1592"/>
      <c r="U600" s="1592"/>
      <c r="V600" s="1593"/>
      <c r="W600" s="1571">
        <f>IF(FLOOR(Q600,5)&gt;80,80,FLOOR(Q600,5))</f>
        <v>0</v>
      </c>
      <c r="X600" s="1572"/>
      <c r="Y600" s="1572"/>
      <c r="Z600" s="1572"/>
      <c r="AA600" s="1572"/>
      <c r="AB600" s="1573"/>
      <c r="AC600" s="1571">
        <v>0</v>
      </c>
      <c r="AD600" s="1572"/>
      <c r="AE600" s="1572"/>
      <c r="AF600" s="1572"/>
      <c r="AG600" s="1572"/>
      <c r="AH600" s="1573"/>
      <c r="AN600" s="241"/>
      <c r="AX600"/>
      <c r="AY600"/>
      <c r="AZ600"/>
      <c r="BA600"/>
      <c r="BB600"/>
      <c r="BC600"/>
      <c r="BD600"/>
      <c r="BE600"/>
      <c r="BF600"/>
      <c r="BG600"/>
      <c r="BH600"/>
      <c r="BI600" s="31" t="s">
        <v>2024</v>
      </c>
      <c r="BJ600" s="1654">
        <f>AX599+BB599+BF599+BJ599+BN599</f>
        <v>0</v>
      </c>
      <c r="BK600" s="1655"/>
      <c r="BL600" s="1655"/>
      <c r="BM600" s="1656"/>
      <c r="BN600"/>
      <c r="BO600"/>
      <c r="BP600"/>
      <c r="BQ600"/>
    </row>
    <row r="601" spans="1:69" s="4" customFormat="1" ht="12.75" customHeight="1">
      <c r="E601" s="1604"/>
      <c r="F601" s="1605"/>
      <c r="G601" s="1605"/>
      <c r="H601" s="1605"/>
      <c r="I601" s="1605"/>
      <c r="J601" s="1606"/>
      <c r="K601" s="1595" t="s">
        <v>2202</v>
      </c>
      <c r="L601" s="1596"/>
      <c r="M601" s="1596"/>
      <c r="N601" s="1596"/>
      <c r="O601" s="1596"/>
      <c r="P601" s="1597"/>
      <c r="Q601" s="1591">
        <f>IF(ISERROR(IF((((E601/$BJ$538)*100)&gt;100),"EXCESSIVE VALUE",(E601/$BJ$538)*100)),0,IF((((E601/$BJ$538)*100)&gt;100),"EXCESSIVE VALUE",(E601/$BJ$538)*100))</f>
        <v>0</v>
      </c>
      <c r="R601" s="1592"/>
      <c r="S601" s="1592"/>
      <c r="T601" s="1592"/>
      <c r="U601" s="1592"/>
      <c r="V601" s="1593"/>
      <c r="W601" s="1571">
        <f>IF(FLOOR(Q601,5)&gt;80,80,FLOOR(Q601,5))</f>
        <v>0</v>
      </c>
      <c r="X601" s="1572"/>
      <c r="Y601" s="1572"/>
      <c r="Z601" s="1572"/>
      <c r="AA601" s="1572"/>
      <c r="AB601" s="1573"/>
      <c r="AC601" s="1571">
        <v>0</v>
      </c>
      <c r="AD601" s="1572"/>
      <c r="AE601" s="1572"/>
      <c r="AF601" s="1572"/>
      <c r="AG601" s="1572"/>
      <c r="AH601" s="1573"/>
      <c r="AN601" s="241"/>
      <c r="AX601"/>
      <c r="AY601"/>
      <c r="AZ601"/>
      <c r="BA601"/>
      <c r="BB601"/>
      <c r="BC601"/>
      <c r="BD601"/>
      <c r="BE601"/>
      <c r="BF601"/>
      <c r="BG601"/>
      <c r="BI601"/>
      <c r="BJ601" t="s">
        <v>2203</v>
      </c>
      <c r="BK601"/>
      <c r="BL601"/>
      <c r="BM601"/>
      <c r="BN601"/>
      <c r="BO601"/>
      <c r="BP601"/>
      <c r="BQ601"/>
    </row>
    <row r="602" spans="1:69" s="4" customFormat="1" ht="12.75" customHeight="1">
      <c r="E602" s="1242">
        <f>SUM(E591:J601)</f>
        <v>57</v>
      </c>
      <c r="F602" s="1243"/>
      <c r="G602" s="1243"/>
      <c r="H602" s="1243"/>
      <c r="I602" s="1243"/>
      <c r="J602" s="1244"/>
      <c r="K602" s="337"/>
      <c r="L602" s="337"/>
      <c r="M602" s="337"/>
      <c r="N602" s="337"/>
      <c r="O602" s="337"/>
      <c r="P602" s="337"/>
      <c r="Q602" s="337"/>
      <c r="R602" s="337"/>
      <c r="S602" s="337"/>
      <c r="T602" s="337"/>
      <c r="U602" s="77"/>
      <c r="V602" s="77"/>
      <c r="W602" s="77"/>
      <c r="X602" s="77"/>
      <c r="Y602" s="77"/>
      <c r="Z602" s="337"/>
      <c r="AA602" s="77"/>
      <c r="AB602" s="53" t="s">
        <v>2204</v>
      </c>
      <c r="AC602" s="1715">
        <f>IF(SUM(AC591:AH601)&gt;0,SUM(AC591:AH601),0)</f>
        <v>50</v>
      </c>
      <c r="AD602" s="1716"/>
      <c r="AE602" s="1716"/>
      <c r="AF602" s="1716"/>
      <c r="AG602" s="1716"/>
      <c r="AH602" s="1717"/>
      <c r="AK602" s="37"/>
      <c r="AL602" s="37"/>
      <c r="AM602" s="30"/>
      <c r="AN602" s="241"/>
    </row>
    <row r="603" spans="1:69" s="4" customFormat="1" ht="12.75" customHeight="1">
      <c r="E603" s="811"/>
      <c r="F603" s="811"/>
      <c r="G603" s="811"/>
      <c r="H603" s="811"/>
      <c r="I603" s="811"/>
      <c r="J603" s="811"/>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4" t="str">
        <f>IF(NOT(E602=Application!G738),AP604,"")</f>
        <v/>
      </c>
      <c r="G604" s="811"/>
      <c r="H604" s="811"/>
      <c r="I604" s="811"/>
      <c r="J604" s="811"/>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5" t="s">
        <v>2205</v>
      </c>
      <c r="AQ604" s="844"/>
      <c r="AR604" s="844"/>
      <c r="AS604" s="844"/>
      <c r="AT604" s="844"/>
      <c r="AU604" s="844"/>
      <c r="AV604" s="844"/>
      <c r="AW604" s="844"/>
      <c r="AX604" s="844"/>
      <c r="AY604" s="844"/>
      <c r="AZ604" s="844"/>
      <c r="BA604" s="844"/>
      <c r="BB604" s="844"/>
      <c r="BC604" s="844"/>
      <c r="BD604" s="844"/>
      <c r="BE604" s="844"/>
      <c r="BF604" s="844"/>
      <c r="BG604" s="844"/>
      <c r="BH604" s="844"/>
      <c r="BI604" s="844"/>
      <c r="BJ604" s="844"/>
      <c r="BK604" s="844"/>
      <c r="BL604" s="844"/>
    </row>
    <row r="605" spans="1:69" s="4" customFormat="1" ht="12.75" customHeight="1">
      <c r="AK605" s="37"/>
      <c r="AL605" s="37"/>
      <c r="AM605" s="37"/>
      <c r="AN605" s="241"/>
      <c r="AP605" s="844"/>
      <c r="AQ605" s="844"/>
      <c r="AR605" s="844"/>
      <c r="AS605" s="844"/>
      <c r="AT605" s="844"/>
      <c r="AU605" s="844"/>
      <c r="AV605" s="844"/>
      <c r="AW605" s="844"/>
      <c r="AX605" s="844"/>
      <c r="AY605" s="844"/>
      <c r="AZ605" s="844"/>
      <c r="BA605" s="844"/>
      <c r="BB605" s="844"/>
      <c r="BC605" s="844"/>
      <c r="BD605" s="844"/>
      <c r="BE605" s="844"/>
      <c r="BF605" s="844"/>
      <c r="BG605" s="844"/>
      <c r="BH605" s="844"/>
      <c r="BI605" s="844"/>
      <c r="BJ605" s="844"/>
      <c r="BK605" s="844"/>
      <c r="BL605" s="844"/>
    </row>
    <row r="606" spans="1:69" s="4" customFormat="1" ht="12.75" customHeight="1">
      <c r="B606" s="105" t="s">
        <v>2206</v>
      </c>
      <c r="AG606" s="1558" t="s">
        <v>1901</v>
      </c>
      <c r="AH606" s="1558"/>
      <c r="AI606" s="1558"/>
      <c r="AJ606" s="1558"/>
      <c r="AK606" s="37"/>
      <c r="AL606" s="37"/>
      <c r="AM606" s="37"/>
      <c r="AN606" s="241"/>
    </row>
    <row r="607" spans="1:69" s="4" customFormat="1" ht="12.75" customHeight="1">
      <c r="B607" s="1737" t="s">
        <v>2207</v>
      </c>
      <c r="C607" s="1737"/>
      <c r="D607" s="1737"/>
      <c r="E607" s="1737"/>
      <c r="F607" s="1737"/>
      <c r="G607" s="1737"/>
      <c r="H607" s="1737"/>
      <c r="I607" s="1737"/>
      <c r="J607" s="1737"/>
      <c r="K607" s="1737"/>
      <c r="L607" s="1737"/>
      <c r="M607" s="1737"/>
      <c r="N607" s="1737"/>
      <c r="O607" s="1737"/>
      <c r="P607" s="1737"/>
      <c r="Q607" s="1737"/>
      <c r="R607" s="1737"/>
      <c r="S607" s="1737"/>
      <c r="T607" s="1737"/>
      <c r="U607" s="1737"/>
      <c r="V607" s="1737"/>
      <c r="W607" s="1737"/>
      <c r="X607" s="1737"/>
      <c r="Y607" s="1737"/>
      <c r="Z607" s="1737"/>
      <c r="AA607" s="1737"/>
      <c r="AB607" s="1737"/>
      <c r="AC607" s="1737"/>
      <c r="AD607" s="1737"/>
      <c r="AE607" s="1737"/>
      <c r="AF607" s="1737"/>
      <c r="AG607" s="1737"/>
      <c r="AH607" s="1737"/>
      <c r="AI607" s="21"/>
      <c r="AJ607" s="21"/>
      <c r="AK607"/>
      <c r="AL607"/>
      <c r="AM607"/>
      <c r="AN607" s="241"/>
    </row>
    <row r="608" spans="1:69" s="4" customFormat="1" ht="12.75" customHeight="1">
      <c r="A608" s="21"/>
      <c r="B608" s="1737"/>
      <c r="C608" s="1737"/>
      <c r="D608" s="1737"/>
      <c r="E608" s="1737"/>
      <c r="F608" s="1737"/>
      <c r="G608" s="1737"/>
      <c r="H608" s="1737"/>
      <c r="I608" s="1737"/>
      <c r="J608" s="1737"/>
      <c r="K608" s="1737"/>
      <c r="L608" s="1737"/>
      <c r="M608" s="1737"/>
      <c r="N608" s="1737"/>
      <c r="O608" s="1737"/>
      <c r="P608" s="1737"/>
      <c r="Q608" s="1737"/>
      <c r="R608" s="1737"/>
      <c r="S608" s="1737"/>
      <c r="T608" s="1737"/>
      <c r="U608" s="1737"/>
      <c r="V608" s="1737"/>
      <c r="W608" s="1737"/>
      <c r="X608" s="1737"/>
      <c r="Y608" s="1737"/>
      <c r="Z608" s="1737"/>
      <c r="AA608" s="1737"/>
      <c r="AB608" s="1737"/>
      <c r="AC608" s="1737"/>
      <c r="AD608" s="1737"/>
      <c r="AE608" s="1737"/>
      <c r="AF608" s="1737"/>
      <c r="AG608" s="1737"/>
      <c r="AH608" s="1737"/>
      <c r="AI608" s="21"/>
      <c r="AJ608" s="21"/>
      <c r="AK608"/>
      <c r="AL608"/>
      <c r="AM608"/>
      <c r="AN608" s="241"/>
    </row>
    <row r="609" spans="1:60" s="4" customFormat="1" ht="12.75" customHeight="1">
      <c r="A609" s="21"/>
      <c r="B609" s="1737"/>
      <c r="C609" s="1737"/>
      <c r="D609" s="1737"/>
      <c r="E609" s="1737"/>
      <c r="F609" s="1737"/>
      <c r="G609" s="1737"/>
      <c r="H609" s="1737"/>
      <c r="I609" s="1737"/>
      <c r="J609" s="1737"/>
      <c r="K609" s="1737"/>
      <c r="L609" s="1737"/>
      <c r="M609" s="1737"/>
      <c r="N609" s="1737"/>
      <c r="O609" s="1737"/>
      <c r="P609" s="1737"/>
      <c r="Q609" s="1737"/>
      <c r="R609" s="1737"/>
      <c r="S609" s="1737"/>
      <c r="T609" s="1737"/>
      <c r="U609" s="1737"/>
      <c r="V609" s="1737"/>
      <c r="W609" s="1737"/>
      <c r="X609" s="1737"/>
      <c r="Y609" s="1737"/>
      <c r="Z609" s="1737"/>
      <c r="AA609" s="1737"/>
      <c r="AB609" s="1737"/>
      <c r="AC609" s="1737"/>
      <c r="AD609" s="1737"/>
      <c r="AE609" s="1737"/>
      <c r="AF609" s="1737"/>
      <c r="AG609" s="1737"/>
      <c r="AH609" s="1737"/>
      <c r="AI609" s="21"/>
      <c r="AJ609" s="21"/>
      <c r="AK609"/>
      <c r="AL609"/>
      <c r="AM609"/>
      <c r="AN609" s="241"/>
    </row>
    <row r="610" spans="1:60" s="4" customFormat="1" ht="12.75" customHeight="1">
      <c r="A610" s="21"/>
      <c r="B610" s="1737"/>
      <c r="C610" s="1737"/>
      <c r="D610" s="1737"/>
      <c r="E610" s="1737"/>
      <c r="F610" s="1737"/>
      <c r="G610" s="1737"/>
      <c r="H610" s="1737"/>
      <c r="I610" s="1737"/>
      <c r="J610" s="1737"/>
      <c r="K610" s="1737"/>
      <c r="L610" s="1737"/>
      <c r="M610" s="1737"/>
      <c r="N610" s="1737"/>
      <c r="O610" s="1737"/>
      <c r="P610" s="1737"/>
      <c r="Q610" s="1737"/>
      <c r="R610" s="1737"/>
      <c r="S610" s="1737"/>
      <c r="T610" s="1737"/>
      <c r="U610" s="1737"/>
      <c r="V610" s="1737"/>
      <c r="W610" s="1737"/>
      <c r="X610" s="1737"/>
      <c r="Y610" s="1737"/>
      <c r="Z610" s="1737"/>
      <c r="AA610" s="1737"/>
      <c r="AB610" s="1737"/>
      <c r="AC610" s="1737"/>
      <c r="AD610" s="1737"/>
      <c r="AE610" s="1737"/>
      <c r="AF610" s="1737"/>
      <c r="AG610" s="1737"/>
      <c r="AH610" s="1737"/>
      <c r="AI610" s="21"/>
      <c r="AJ610" s="21"/>
      <c r="AK610"/>
      <c r="AL610"/>
      <c r="AM610"/>
      <c r="AN610" s="571"/>
    </row>
    <row r="611" spans="1:60">
      <c r="B611" s="1737"/>
      <c r="C611" s="1737"/>
      <c r="D611" s="1737"/>
      <c r="E611" s="1737"/>
      <c r="F611" s="1737"/>
      <c r="G611" s="1737"/>
      <c r="H611" s="1737"/>
      <c r="I611" s="1737"/>
      <c r="J611" s="1737"/>
      <c r="K611" s="1737"/>
      <c r="L611" s="1737"/>
      <c r="M611" s="1737"/>
      <c r="N611" s="1737"/>
      <c r="O611" s="1737"/>
      <c r="P611" s="1737"/>
      <c r="Q611" s="1737"/>
      <c r="R611" s="1737"/>
      <c r="S611" s="1737"/>
      <c r="T611" s="1737"/>
      <c r="U611" s="1737"/>
      <c r="V611" s="1737"/>
      <c r="W611" s="1737"/>
      <c r="X611" s="1737"/>
      <c r="Y611" s="1737"/>
      <c r="Z611" s="1737"/>
      <c r="AA611" s="1737"/>
      <c r="AB611" s="1737"/>
      <c r="AC611" s="1737"/>
      <c r="AD611" s="1737"/>
      <c r="AE611" s="1737"/>
      <c r="AF611" s="1737"/>
      <c r="AG611" s="1737"/>
      <c r="AH611" s="1737"/>
      <c r="AK611"/>
      <c r="AL611"/>
      <c r="AM611"/>
      <c r="BD611" s="21"/>
      <c r="BE611" s="21"/>
      <c r="BF611" s="21"/>
      <c r="BG611" s="21"/>
      <c r="BH611" s="21"/>
    </row>
    <row r="612" spans="1:60" ht="12.75" customHeight="1">
      <c r="B612" s="1737"/>
      <c r="C612" s="1737"/>
      <c r="D612" s="1737"/>
      <c r="E612" s="1737"/>
      <c r="F612" s="1737"/>
      <c r="G612" s="1737"/>
      <c r="H612" s="1737"/>
      <c r="I612" s="1737"/>
      <c r="J612" s="1737"/>
      <c r="K612" s="1737"/>
      <c r="L612" s="1737"/>
      <c r="M612" s="1737"/>
      <c r="N612" s="1737"/>
      <c r="O612" s="1737"/>
      <c r="P612" s="1737"/>
      <c r="Q612" s="1737"/>
      <c r="R612" s="1737"/>
      <c r="S612" s="1737"/>
      <c r="T612" s="1737"/>
      <c r="U612" s="1737"/>
      <c r="V612" s="1737"/>
      <c r="W612" s="1737"/>
      <c r="X612" s="1737"/>
      <c r="Y612" s="1737"/>
      <c r="Z612" s="1737"/>
      <c r="AA612" s="1737"/>
      <c r="AB612" s="1737"/>
      <c r="AC612" s="1737"/>
      <c r="AD612" s="1737"/>
      <c r="AE612" s="1737"/>
      <c r="AF612" s="1737"/>
      <c r="AG612" s="1737"/>
      <c r="AH612" s="1737"/>
    </row>
    <row r="613" spans="1:60" ht="12.75" customHeight="1">
      <c r="E613" s="138"/>
    </row>
    <row r="614" spans="1:60">
      <c r="J614" s="1747" t="s">
        <v>2208</v>
      </c>
      <c r="K614" s="1748"/>
      <c r="L614" s="1748"/>
      <c r="M614" s="1748"/>
      <c r="N614" s="1749"/>
      <c r="O614" s="1347" t="s">
        <v>2209</v>
      </c>
      <c r="P614" s="1348"/>
      <c r="Q614" s="1348"/>
      <c r="R614" s="1348"/>
      <c r="S614" s="1349"/>
      <c r="T614" s="1347" t="s">
        <v>2210</v>
      </c>
      <c r="U614" s="1348"/>
      <c r="V614" s="1348"/>
      <c r="W614" s="1348"/>
      <c r="X614" s="1349"/>
      <c r="Y614" s="1347" t="s">
        <v>2211</v>
      </c>
      <c r="Z614" s="1348"/>
      <c r="AA614" s="1348"/>
      <c r="AB614" s="1348"/>
      <c r="AC614" s="1349"/>
      <c r="AF614"/>
      <c r="AG614"/>
      <c r="AH614"/>
      <c r="AI614"/>
      <c r="AJ614"/>
    </row>
    <row r="615" spans="1:60">
      <c r="D615"/>
      <c r="E615"/>
      <c r="F615"/>
      <c r="G615"/>
      <c r="H615"/>
      <c r="I615"/>
      <c r="J615" s="1750"/>
      <c r="K615" s="1751"/>
      <c r="L615" s="1751"/>
      <c r="M615" s="1751"/>
      <c r="N615" s="1752"/>
      <c r="O615" s="1350"/>
      <c r="P615" s="1351"/>
      <c r="Q615" s="1351"/>
      <c r="R615" s="1351"/>
      <c r="S615" s="1352"/>
      <c r="T615" s="1350"/>
      <c r="U615" s="1351"/>
      <c r="V615" s="1351"/>
      <c r="W615" s="1351"/>
      <c r="X615" s="1352"/>
      <c r="Y615" s="1350"/>
      <c r="Z615" s="1351"/>
      <c r="AA615" s="1351"/>
      <c r="AB615" s="1351"/>
      <c r="AC615" s="1352"/>
      <c r="AF615"/>
      <c r="AG615"/>
      <c r="AH615"/>
      <c r="AI615"/>
      <c r="AJ615"/>
      <c r="AO615" s="34" t="s">
        <v>2212</v>
      </c>
      <c r="AR615" s="21" t="b">
        <f>$Y$624&gt;=10%</f>
        <v>1</v>
      </c>
    </row>
    <row r="616" spans="1:60">
      <c r="I616"/>
      <c r="J616" s="1750"/>
      <c r="K616" s="1751"/>
      <c r="L616" s="1751"/>
      <c r="M616" s="1751"/>
      <c r="N616" s="1752"/>
      <c r="O616" s="1350"/>
      <c r="P616" s="1351"/>
      <c r="Q616" s="1351"/>
      <c r="R616" s="1351"/>
      <c r="S616" s="1352"/>
      <c r="T616" s="1350"/>
      <c r="U616" s="1351"/>
      <c r="V616" s="1351"/>
      <c r="W616" s="1351"/>
      <c r="X616" s="1352"/>
      <c r="Y616" s="1350"/>
      <c r="Z616" s="1351"/>
      <c r="AA616" s="1351"/>
      <c r="AB616" s="1351"/>
      <c r="AC616" s="1352"/>
      <c r="AD616"/>
      <c r="AF616"/>
      <c r="AG616"/>
      <c r="AH616"/>
      <c r="AI616"/>
      <c r="AJ616"/>
      <c r="AO616" s="34" t="s">
        <v>2213</v>
      </c>
      <c r="AR616" s="842">
        <f>ROUNDUP(($O$624*10%),0)</f>
        <v>6</v>
      </c>
    </row>
    <row r="617" spans="1:60" ht="19.5" customHeight="1">
      <c r="D617"/>
      <c r="E617"/>
      <c r="F617"/>
      <c r="G617"/>
      <c r="H617"/>
      <c r="I617"/>
      <c r="J617" s="1750"/>
      <c r="K617" s="1751"/>
      <c r="L617" s="1751"/>
      <c r="M617" s="1751"/>
      <c r="N617" s="1752"/>
      <c r="O617" s="1350"/>
      <c r="P617" s="1351"/>
      <c r="Q617" s="1351"/>
      <c r="R617" s="1351"/>
      <c r="S617" s="1352"/>
      <c r="T617" s="1350"/>
      <c r="U617" s="1351"/>
      <c r="V617" s="1351"/>
      <c r="W617" s="1351"/>
      <c r="X617" s="1352"/>
      <c r="Y617" s="1350"/>
      <c r="Z617" s="1351"/>
      <c r="AA617" s="1351"/>
      <c r="AB617" s="1351"/>
      <c r="AC617" s="1352"/>
      <c r="AD617"/>
      <c r="AF617"/>
      <c r="AG617"/>
      <c r="AH617"/>
      <c r="AI617"/>
      <c r="AJ617"/>
      <c r="AO617" s="34" t="s">
        <v>2214</v>
      </c>
      <c r="AR617" s="21" t="s">
        <v>2215</v>
      </c>
    </row>
    <row r="618" spans="1:60">
      <c r="D618"/>
      <c r="E618"/>
      <c r="F618"/>
      <c r="G618"/>
      <c r="H618"/>
      <c r="I618"/>
      <c r="J618" s="1633" t="s">
        <v>2216</v>
      </c>
      <c r="K618" s="1634"/>
      <c r="L618" s="1634"/>
      <c r="M618" s="1634"/>
      <c r="N618" s="1635"/>
      <c r="O618" s="1595">
        <f>Application!CM634</f>
        <v>0</v>
      </c>
      <c r="P618" s="1596"/>
      <c r="Q618" s="1596"/>
      <c r="R618" s="1596"/>
      <c r="S618" s="1597"/>
      <c r="T618" s="1595">
        <f>Application!DR635</f>
        <v>0</v>
      </c>
      <c r="U618" s="1596"/>
      <c r="V618" s="1596"/>
      <c r="W618" s="1596"/>
      <c r="X618" s="1597"/>
      <c r="Y618" s="1636">
        <f t="shared" ref="Y618:Y624" si="8">IF(T618&gt;0,T618/O618,0)</f>
        <v>0</v>
      </c>
      <c r="Z618" s="1637"/>
      <c r="AA618" s="1637"/>
      <c r="AB618" s="1637"/>
      <c r="AC618" s="1638"/>
      <c r="AD618"/>
      <c r="AF618"/>
      <c r="AG618"/>
      <c r="AH618"/>
      <c r="AI618"/>
      <c r="AJ618"/>
      <c r="AO618" s="842">
        <f t="shared" ref="AO618:AO623" si="9">ROUNDUP((O618*10%),0)</f>
        <v>0</v>
      </c>
      <c r="AP618" s="175"/>
      <c r="AR618" s="843" t="b">
        <f>OR(SUM($T$618:T618)&gt;=$AR$616,T618&gt;=AO618)</f>
        <v>1</v>
      </c>
    </row>
    <row r="619" spans="1:60">
      <c r="D619"/>
      <c r="E619"/>
      <c r="F619"/>
      <c r="G619"/>
      <c r="H619"/>
      <c r="I619"/>
      <c r="J619" s="1633" t="s">
        <v>1428</v>
      </c>
      <c r="K619" s="1634"/>
      <c r="L619" s="1634"/>
      <c r="M619" s="1634"/>
      <c r="N619" s="1635"/>
      <c r="O619" s="1595">
        <f>Application!CH634</f>
        <v>0</v>
      </c>
      <c r="P619" s="1596"/>
      <c r="Q619" s="1596"/>
      <c r="R619" s="1596"/>
      <c r="S619" s="1597"/>
      <c r="T619" s="1595">
        <f>Application!DM635</f>
        <v>0</v>
      </c>
      <c r="U619" s="1596"/>
      <c r="V619" s="1596"/>
      <c r="W619" s="1596"/>
      <c r="X619" s="1597"/>
      <c r="Y619" s="1636">
        <f t="shared" si="8"/>
        <v>0</v>
      </c>
      <c r="Z619" s="1637"/>
      <c r="AA619" s="1637"/>
      <c r="AB619" s="1637"/>
      <c r="AC619" s="1638"/>
      <c r="AD619"/>
      <c r="AF619"/>
      <c r="AG619"/>
      <c r="AH619"/>
      <c r="AI619"/>
      <c r="AJ619"/>
      <c r="AO619" s="842">
        <f t="shared" si="9"/>
        <v>0</v>
      </c>
      <c r="AP619" s="175"/>
      <c r="AR619" s="843" t="b">
        <f>OR(SUM($T$618:T619)&gt;=$AR$616,T619&gt;=AO619)</f>
        <v>1</v>
      </c>
    </row>
    <row r="620" spans="1:60">
      <c r="D620"/>
      <c r="E620"/>
      <c r="F620"/>
      <c r="G620"/>
      <c r="H620"/>
      <c r="I620"/>
      <c r="J620" s="1633" t="s">
        <v>1427</v>
      </c>
      <c r="K620" s="1634"/>
      <c r="L620" s="1634"/>
      <c r="M620" s="1634"/>
      <c r="N620" s="1635"/>
      <c r="O620" s="1595">
        <f>Application!CC634</f>
        <v>0</v>
      </c>
      <c r="P620" s="1596"/>
      <c r="Q620" s="1596"/>
      <c r="R620" s="1596"/>
      <c r="S620" s="1597"/>
      <c r="T620" s="1595">
        <f>Application!DH635</f>
        <v>0</v>
      </c>
      <c r="U620" s="1596"/>
      <c r="V620" s="1596"/>
      <c r="W620" s="1596"/>
      <c r="X620" s="1597"/>
      <c r="Y620" s="1636">
        <f t="shared" si="8"/>
        <v>0</v>
      </c>
      <c r="Z620" s="1637"/>
      <c r="AA620" s="1637"/>
      <c r="AB620" s="1637"/>
      <c r="AC620" s="1638"/>
      <c r="AD620"/>
      <c r="AF620"/>
      <c r="AG620"/>
      <c r="AH620"/>
      <c r="AI620"/>
      <c r="AJ620"/>
      <c r="AO620" s="842">
        <f t="shared" si="9"/>
        <v>0</v>
      </c>
      <c r="AP620" s="175"/>
      <c r="AR620" s="843" t="b">
        <f>OR(SUM($T$618:T620)&gt;=$AR$616,T620&gt;=AO620)</f>
        <v>1</v>
      </c>
    </row>
    <row r="621" spans="1:60">
      <c r="D621"/>
      <c r="E621"/>
      <c r="F621"/>
      <c r="G621"/>
      <c r="H621"/>
      <c r="I621"/>
      <c r="J621" s="1633" t="s">
        <v>1426</v>
      </c>
      <c r="K621" s="1634"/>
      <c r="L621" s="1634"/>
      <c r="M621" s="1634"/>
      <c r="N621" s="1635"/>
      <c r="O621" s="1595">
        <f>Application!BX634</f>
        <v>0</v>
      </c>
      <c r="P621" s="1596"/>
      <c r="Q621" s="1596"/>
      <c r="R621" s="1596"/>
      <c r="S621" s="1597"/>
      <c r="T621" s="1595">
        <f>Application!DC635</f>
        <v>0</v>
      </c>
      <c r="U621" s="1596"/>
      <c r="V621" s="1596"/>
      <c r="W621" s="1596"/>
      <c r="X621" s="1597"/>
      <c r="Y621" s="1636">
        <f t="shared" si="8"/>
        <v>0</v>
      </c>
      <c r="Z621" s="1637"/>
      <c r="AA621" s="1637"/>
      <c r="AB621" s="1637"/>
      <c r="AC621" s="1638"/>
      <c r="AD621"/>
      <c r="AF621"/>
      <c r="AG621"/>
      <c r="AH621"/>
      <c r="AI621"/>
      <c r="AJ621"/>
      <c r="AO621" s="842">
        <f t="shared" si="9"/>
        <v>0</v>
      </c>
      <c r="AP621" s="175"/>
      <c r="AR621" s="843" t="b">
        <f>OR(SUM($T$618:T621)&gt;=$AR$616,T621&gt;=AO621)</f>
        <v>1</v>
      </c>
    </row>
    <row r="622" spans="1:60">
      <c r="D622"/>
      <c r="E622"/>
      <c r="F622"/>
      <c r="G622"/>
      <c r="H622"/>
      <c r="I622"/>
      <c r="J622" s="1633" t="s">
        <v>1425</v>
      </c>
      <c r="K622" s="1634"/>
      <c r="L622" s="1634"/>
      <c r="M622" s="1634"/>
      <c r="N622" s="1635"/>
      <c r="O622" s="1595">
        <f>Application!BS634</f>
        <v>0</v>
      </c>
      <c r="P622" s="1596"/>
      <c r="Q622" s="1596"/>
      <c r="R622" s="1596"/>
      <c r="S622" s="1597"/>
      <c r="T622" s="1595">
        <f>Application!CX635</f>
        <v>0</v>
      </c>
      <c r="U622" s="1596"/>
      <c r="V622" s="1596"/>
      <c r="W622" s="1596"/>
      <c r="X622" s="1597"/>
      <c r="Y622" s="1636">
        <f t="shared" si="8"/>
        <v>0</v>
      </c>
      <c r="Z622" s="1637"/>
      <c r="AA622" s="1637"/>
      <c r="AB622" s="1637"/>
      <c r="AC622" s="1638"/>
      <c r="AD622"/>
      <c r="AF622"/>
      <c r="AG622"/>
      <c r="AH622"/>
      <c r="AI622"/>
      <c r="AJ622"/>
      <c r="AO622" s="842">
        <f t="shared" si="9"/>
        <v>0</v>
      </c>
      <c r="AP622" s="175"/>
      <c r="AR622" s="843" t="b">
        <f>OR(SUM($T$618:T622)&gt;=$AR$616,T622&gt;=AO622)</f>
        <v>1</v>
      </c>
    </row>
    <row r="623" spans="1:60">
      <c r="D623"/>
      <c r="E623"/>
      <c r="F623"/>
      <c r="G623"/>
      <c r="H623"/>
      <c r="I623"/>
      <c r="J623" s="1633" t="s">
        <v>863</v>
      </c>
      <c r="K623" s="1634"/>
      <c r="L623" s="1634"/>
      <c r="M623" s="1634"/>
      <c r="N623" s="1635"/>
      <c r="O623" s="1595">
        <f>Application!BN634</f>
        <v>57</v>
      </c>
      <c r="P623" s="1596"/>
      <c r="Q623" s="1596"/>
      <c r="R623" s="1596"/>
      <c r="S623" s="1597"/>
      <c r="T623" s="1595">
        <f>Application!CS635</f>
        <v>57</v>
      </c>
      <c r="U623" s="1596"/>
      <c r="V623" s="1596"/>
      <c r="W623" s="1596"/>
      <c r="X623" s="1597"/>
      <c r="Y623" s="1636">
        <f t="shared" si="8"/>
        <v>1</v>
      </c>
      <c r="Z623" s="1637"/>
      <c r="AA623" s="1637"/>
      <c r="AB623" s="1637"/>
      <c r="AC623" s="1638"/>
      <c r="AD623"/>
      <c r="AF623"/>
      <c r="AG623"/>
      <c r="AH623"/>
      <c r="AI623"/>
      <c r="AJ623"/>
      <c r="AO623" s="842">
        <f t="shared" si="9"/>
        <v>6</v>
      </c>
      <c r="AP623" s="175"/>
      <c r="AR623" s="843" t="b">
        <f>OR(SUM($T$618:T623)&gt;=$AR$616,T623&gt;=AO623)</f>
        <v>1</v>
      </c>
    </row>
    <row r="624" spans="1:60">
      <c r="D624"/>
      <c r="E624"/>
      <c r="F624"/>
      <c r="G624"/>
      <c r="H624"/>
      <c r="I624"/>
      <c r="J624" s="1490" t="s">
        <v>1398</v>
      </c>
      <c r="K624" s="1491"/>
      <c r="L624" s="1491"/>
      <c r="M624" s="1491"/>
      <c r="N624" s="1492"/>
      <c r="O624" s="1706">
        <f>SUM(O618:S623)</f>
        <v>57</v>
      </c>
      <c r="P624" s="1707"/>
      <c r="Q624" s="1707"/>
      <c r="R624" s="1707"/>
      <c r="S624" s="1708"/>
      <c r="T624" s="1706">
        <f>SUM(T618:X623)</f>
        <v>57</v>
      </c>
      <c r="U624" s="1707"/>
      <c r="V624" s="1707"/>
      <c r="W624" s="1707"/>
      <c r="X624" s="1708"/>
      <c r="Y624" s="1718">
        <f t="shared" si="8"/>
        <v>1</v>
      </c>
      <c r="Z624" s="1719"/>
      <c r="AA624" s="1719"/>
      <c r="AB624" s="1719"/>
      <c r="AC624" s="172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77" t="s">
        <v>2217</v>
      </c>
      <c r="B627" s="1078"/>
      <c r="C627" s="1078"/>
      <c r="D627" s="1078"/>
      <c r="E627" s="1078"/>
      <c r="F627" s="1078"/>
      <c r="G627" s="1078"/>
      <c r="H627" s="1078"/>
      <c r="I627" s="1078"/>
      <c r="J627" s="1078"/>
      <c r="K627" s="1078"/>
      <c r="L627" s="1078"/>
      <c r="M627" s="1078"/>
      <c r="N627" s="1078"/>
      <c r="O627" s="1078"/>
      <c r="P627" s="1078"/>
      <c r="Q627" s="1078"/>
      <c r="R627" s="1078"/>
      <c r="S627" s="1078"/>
      <c r="T627" s="1078"/>
      <c r="U627" s="1078"/>
      <c r="V627" s="1078"/>
      <c r="W627" s="1078"/>
      <c r="X627" s="1078"/>
      <c r="Y627" s="1078"/>
      <c r="Z627" s="1078"/>
      <c r="AA627" s="1078"/>
      <c r="AB627" s="1078"/>
      <c r="AC627" s="1078"/>
      <c r="AD627" s="1078"/>
      <c r="AE627" s="1078"/>
      <c r="AF627" s="1078"/>
      <c r="AG627" s="1078"/>
      <c r="AH627" s="1078"/>
      <c r="AI627" s="1080"/>
      <c r="AJ627" s="1727">
        <f>IF(AND(AR615,AR618,AR619,AR620,AR621,AR622,AR623),2,0)</f>
        <v>2</v>
      </c>
      <c r="AK627" s="1728"/>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705" t="s">
        <v>2218</v>
      </c>
      <c r="B629" s="1705"/>
      <c r="C629" s="1705"/>
      <c r="D629" s="1705"/>
      <c r="E629" s="1705"/>
      <c r="F629" s="1705"/>
      <c r="G629" s="1705"/>
      <c r="H629" s="1705"/>
      <c r="I629" s="1705"/>
      <c r="J629" s="1705"/>
      <c r="K629" s="1705"/>
      <c r="L629" s="1705"/>
      <c r="M629" s="1705"/>
      <c r="N629" s="1705"/>
      <c r="O629" s="1705"/>
      <c r="P629" s="1705"/>
      <c r="Q629" s="1705"/>
      <c r="R629" s="1705"/>
      <c r="S629" s="1705"/>
      <c r="T629" s="1705"/>
      <c r="U629" s="1705"/>
      <c r="V629" s="1705"/>
      <c r="W629" s="1705"/>
      <c r="X629" s="1705"/>
      <c r="Y629" s="1705"/>
      <c r="Z629" s="1705"/>
      <c r="AA629" s="1705"/>
      <c r="AB629" s="1705"/>
      <c r="AC629" s="1705"/>
      <c r="AD629" s="1705"/>
      <c r="AE629" s="1705"/>
      <c r="AF629" s="1705"/>
      <c r="AG629" s="1705"/>
      <c r="AH629" s="1705"/>
      <c r="AI629" s="1705"/>
      <c r="AJ629" s="1705"/>
      <c r="AK629" s="1034">
        <f>IF($E$602=Application!G738,$AC$602+$AJ$627,0)</f>
        <v>52</v>
      </c>
      <c r="AL629" s="1035"/>
      <c r="AM629" s="103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2219</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94" t="s">
        <v>2220</v>
      </c>
      <c r="C633" s="1594"/>
      <c r="D633" s="1594"/>
      <c r="E633" s="1594"/>
      <c r="F633" s="1594"/>
      <c r="G633" s="1594"/>
      <c r="H633" s="1594"/>
      <c r="I633" s="1594"/>
      <c r="J633" s="1594"/>
      <c r="K633" s="1594"/>
      <c r="L633" s="1594"/>
      <c r="M633" s="1594"/>
      <c r="N633" s="1594"/>
      <c r="O633" s="1594"/>
      <c r="P633" s="1594"/>
      <c r="Q633" s="1594"/>
      <c r="R633" s="1594"/>
      <c r="S633" s="1594"/>
      <c r="T633" s="1594"/>
      <c r="U633" s="1594"/>
      <c r="V633" s="1594"/>
      <c r="W633" s="1594"/>
      <c r="X633" s="1594"/>
      <c r="Y633" s="1594"/>
      <c r="Z633" s="1594"/>
      <c r="AA633" s="1594"/>
      <c r="AB633" s="1594"/>
      <c r="AC633" s="1594"/>
      <c r="AD633" s="1594"/>
      <c r="AE633" s="1594"/>
      <c r="AF633" s="1594"/>
      <c r="AG633" s="1594"/>
      <c r="AH633" s="1594"/>
      <c r="AI633" s="1594"/>
      <c r="AJ633" s="1594"/>
      <c r="AK633" s="4"/>
      <c r="AL633" s="4"/>
      <c r="AM633" s="4"/>
    </row>
    <row r="634" spans="1:60">
      <c r="A634" s="4"/>
      <c r="B634" s="1594"/>
      <c r="C634" s="1594"/>
      <c r="D634" s="1594"/>
      <c r="E634" s="1594"/>
      <c r="F634" s="1594"/>
      <c r="G634" s="1594"/>
      <c r="H634" s="1594"/>
      <c r="I634" s="1594"/>
      <c r="J634" s="1594"/>
      <c r="K634" s="1594"/>
      <c r="L634" s="1594"/>
      <c r="M634" s="1594"/>
      <c r="N634" s="1594"/>
      <c r="O634" s="1594"/>
      <c r="P634" s="1594"/>
      <c r="Q634" s="1594"/>
      <c r="R634" s="1594"/>
      <c r="S634" s="1594"/>
      <c r="T634" s="1594"/>
      <c r="U634" s="1594"/>
      <c r="V634" s="1594"/>
      <c r="W634" s="1594"/>
      <c r="X634" s="1594"/>
      <c r="Y634" s="1594"/>
      <c r="Z634" s="1594"/>
      <c r="AA634" s="1594"/>
      <c r="AB634" s="1594"/>
      <c r="AC634" s="1594"/>
      <c r="AD634" s="1594"/>
      <c r="AE634" s="1594"/>
      <c r="AF634" s="1594"/>
      <c r="AG634" s="1594"/>
      <c r="AH634" s="1594"/>
      <c r="AI634" s="1594"/>
      <c r="AJ634" s="1594"/>
      <c r="AK634" s="4"/>
      <c r="AL634" s="4"/>
      <c r="AM634" s="4"/>
    </row>
    <row r="635" spans="1:60" ht="13.7" customHeight="1">
      <c r="A635" s="4"/>
      <c r="B635" s="32"/>
      <c r="C635" s="150" t="s">
        <v>2221</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1821</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65" t="s">
        <v>765</v>
      </c>
      <c r="D637" s="1065"/>
      <c r="E637" s="161"/>
      <c r="F637" s="1608" t="s">
        <v>2222</v>
      </c>
      <c r="G637" s="1609"/>
      <c r="H637" s="1609"/>
      <c r="I637" s="1609"/>
      <c r="J637" s="1609"/>
      <c r="K637" s="1609"/>
      <c r="L637" s="1609"/>
      <c r="M637" s="1609"/>
      <c r="N637" s="1609"/>
      <c r="O637" s="1609"/>
      <c r="P637" s="1609"/>
      <c r="Q637" s="1609"/>
      <c r="R637" s="1609"/>
      <c r="S637" s="1609"/>
      <c r="T637" s="1609"/>
      <c r="U637" s="1609"/>
      <c r="V637" s="1609"/>
      <c r="W637" s="1609"/>
      <c r="X637" s="1609"/>
      <c r="Y637" s="1609"/>
      <c r="Z637" s="1609"/>
      <c r="AA637" s="1609"/>
      <c r="AB637" s="1609"/>
      <c r="AC637" s="1609"/>
      <c r="AD637" s="1609"/>
      <c r="AE637" s="1610"/>
      <c r="AF637" s="151"/>
      <c r="AG637" s="980" t="s">
        <v>1852</v>
      </c>
      <c r="AH637" s="980"/>
      <c r="AI637" s="980"/>
      <c r="AJ637" s="980"/>
      <c r="AK637" s="4"/>
      <c r="AL637" s="4"/>
      <c r="AM637" s="4"/>
      <c r="AO637" s="4"/>
      <c r="AP637" s="32"/>
    </row>
    <row r="638" spans="1:60">
      <c r="A638" s="4"/>
      <c r="B638" s="20"/>
      <c r="C638" s="38"/>
      <c r="D638" s="4"/>
      <c r="E638" s="161"/>
      <c r="F638" s="1611"/>
      <c r="G638" s="1612"/>
      <c r="H638" s="1612"/>
      <c r="I638" s="1612"/>
      <c r="J638" s="1612"/>
      <c r="K638" s="1612"/>
      <c r="L638" s="1612"/>
      <c r="M638" s="1612"/>
      <c r="N638" s="1612"/>
      <c r="O638" s="1612"/>
      <c r="P638" s="1612"/>
      <c r="Q638" s="1612"/>
      <c r="R638" s="1612"/>
      <c r="S638" s="1612"/>
      <c r="T638" s="1612"/>
      <c r="U638" s="1612"/>
      <c r="V638" s="1612"/>
      <c r="W638" s="1612"/>
      <c r="X638" s="1612"/>
      <c r="Y638" s="1612"/>
      <c r="Z638" s="1612"/>
      <c r="AA638" s="1612"/>
      <c r="AB638" s="1612"/>
      <c r="AC638" s="1612"/>
      <c r="AD638" s="1612"/>
      <c r="AE638" s="1613"/>
      <c r="AF638" s="151"/>
      <c r="AG638" s="151"/>
      <c r="AH638" s="151"/>
      <c r="AI638" s="151"/>
      <c r="AJ638" s="4"/>
      <c r="AK638" s="4"/>
      <c r="AL638" s="4"/>
      <c r="AM638" s="4"/>
    </row>
    <row r="639" spans="1:60" ht="13.7" customHeight="1">
      <c r="A639" s="4"/>
      <c r="B639" s="20"/>
      <c r="C639" s="38"/>
      <c r="D639" s="4"/>
      <c r="E639" s="161"/>
      <c r="F639" s="1614"/>
      <c r="G639" s="1615"/>
      <c r="H639" s="1615"/>
      <c r="I639" s="1615"/>
      <c r="J639" s="1615"/>
      <c r="K639" s="1615"/>
      <c r="L639" s="1615"/>
      <c r="M639" s="1615"/>
      <c r="N639" s="1615"/>
      <c r="O639" s="1615"/>
      <c r="P639" s="1615"/>
      <c r="Q639" s="1615"/>
      <c r="R639" s="1615"/>
      <c r="S639" s="1615"/>
      <c r="T639" s="1615"/>
      <c r="U639" s="1615"/>
      <c r="V639" s="1615"/>
      <c r="W639" s="1615"/>
      <c r="X639" s="1615"/>
      <c r="Y639" s="1615"/>
      <c r="Z639" s="1615"/>
      <c r="AA639" s="1615"/>
      <c r="AB639" s="1615"/>
      <c r="AC639" s="1615"/>
      <c r="AD639" s="1615"/>
      <c r="AE639" s="1616"/>
      <c r="AF639" s="151"/>
      <c r="AG639" s="151"/>
      <c r="AH639" s="151"/>
      <c r="AI639" s="151"/>
      <c r="AJ639" s="4"/>
      <c r="AK639" s="4"/>
      <c r="AL639" s="4"/>
      <c r="AM639" s="4"/>
    </row>
    <row r="640" spans="1:60" ht="13.7" customHeight="1">
      <c r="A640" s="4"/>
      <c r="B640" s="20"/>
      <c r="C640" s="38"/>
      <c r="D640" s="4"/>
      <c r="E640" s="161"/>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c r="AD640" s="718"/>
      <c r="AE640" s="4"/>
      <c r="AF640" s="151"/>
      <c r="AG640" s="151"/>
      <c r="AH640" s="151"/>
      <c r="AI640" s="151"/>
      <c r="AJ640" s="4"/>
      <c r="AK640" s="4"/>
      <c r="AL640" s="4"/>
      <c r="AM640" s="4"/>
    </row>
    <row r="641" spans="1:60" ht="13.7" customHeight="1">
      <c r="A641" s="4"/>
      <c r="B641" s="1594" t="s">
        <v>2223</v>
      </c>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c r="AA641" s="1594"/>
      <c r="AB641" s="1594"/>
      <c r="AC641" s="1594"/>
      <c r="AD641" s="1594"/>
      <c r="AE641" s="1594"/>
      <c r="AF641" s="1594"/>
      <c r="AG641" s="1594"/>
      <c r="AH641" s="1594"/>
      <c r="AI641" s="151"/>
      <c r="AJ641" s="4"/>
      <c r="AK641" s="4"/>
      <c r="AL641" s="4"/>
      <c r="AM641" s="4"/>
      <c r="AN641" s="65"/>
    </row>
    <row r="642" spans="1:60" ht="13.7" customHeight="1">
      <c r="B642" s="1594"/>
      <c r="C642" s="1594"/>
      <c r="D642" s="1594"/>
      <c r="E642" s="1594"/>
      <c r="F642" s="1594"/>
      <c r="G642" s="1594"/>
      <c r="H642" s="1594"/>
      <c r="I642" s="1594"/>
      <c r="J642" s="1594"/>
      <c r="K642" s="1594"/>
      <c r="L642" s="1594"/>
      <c r="M642" s="1594"/>
      <c r="N642" s="1594"/>
      <c r="O642" s="1594"/>
      <c r="P642" s="1594"/>
      <c r="Q642" s="1594"/>
      <c r="R642" s="1594"/>
      <c r="S642" s="1594"/>
      <c r="T642" s="1594"/>
      <c r="U642" s="1594"/>
      <c r="V642" s="1594"/>
      <c r="W642" s="1594"/>
      <c r="X642" s="1594"/>
      <c r="Y642" s="1594"/>
      <c r="Z642" s="1594"/>
      <c r="AA642" s="1594"/>
      <c r="AB642" s="1594"/>
      <c r="AC642" s="1594"/>
      <c r="AD642" s="1594"/>
      <c r="AE642" s="1594"/>
      <c r="AF642" s="1594"/>
      <c r="AG642" s="1594"/>
      <c r="AH642" s="1594"/>
      <c r="AI642" s="138"/>
      <c r="AJ642" s="4"/>
      <c r="AK642" s="4"/>
      <c r="AL642" s="4"/>
      <c r="AM642" s="4"/>
      <c r="AN642" s="65"/>
      <c r="AR642" s="37"/>
    </row>
    <row r="643" spans="1:60" ht="13.7" customHeight="1">
      <c r="A643" s="4"/>
      <c r="B643" s="1594"/>
      <c r="C643" s="1594"/>
      <c r="D643" s="1594"/>
      <c r="E643" s="1594"/>
      <c r="F643" s="1594"/>
      <c r="G643" s="1594"/>
      <c r="H643" s="1594"/>
      <c r="I643" s="1594"/>
      <c r="J643" s="1594"/>
      <c r="K643" s="1594"/>
      <c r="L643" s="1594"/>
      <c r="M643" s="1594"/>
      <c r="N643" s="1594"/>
      <c r="O643" s="1594"/>
      <c r="P643" s="1594"/>
      <c r="Q643" s="1594"/>
      <c r="R643" s="1594"/>
      <c r="S643" s="1594"/>
      <c r="T643" s="1594"/>
      <c r="U643" s="1594"/>
      <c r="V643" s="1594"/>
      <c r="W643" s="1594"/>
      <c r="X643" s="1594"/>
      <c r="Y643" s="1594"/>
      <c r="Z643" s="1594"/>
      <c r="AA643" s="1594"/>
      <c r="AB643" s="1594"/>
      <c r="AC643" s="1594"/>
      <c r="AD643" s="1594"/>
      <c r="AE643" s="1594"/>
      <c r="AF643" s="1594"/>
      <c r="AG643" s="1594"/>
      <c r="AH643" s="1594"/>
      <c r="AI643" s="138"/>
      <c r="AJ643" s="4"/>
      <c r="AK643" s="4"/>
      <c r="AL643" s="4"/>
      <c r="AM643" s="4"/>
      <c r="AN643" s="65"/>
    </row>
    <row r="644" spans="1:60" ht="13.7" customHeight="1">
      <c r="A644" s="4"/>
      <c r="B644" s="1594"/>
      <c r="C644" s="1594"/>
      <c r="D644" s="1594"/>
      <c r="E644" s="1594"/>
      <c r="F644" s="1594"/>
      <c r="G644" s="1594"/>
      <c r="H644" s="1594"/>
      <c r="I644" s="1594"/>
      <c r="J644" s="1594"/>
      <c r="K644" s="1594"/>
      <c r="L644" s="1594"/>
      <c r="M644" s="1594"/>
      <c r="N644" s="1594"/>
      <c r="O644" s="1594"/>
      <c r="P644" s="1594"/>
      <c r="Q644" s="1594"/>
      <c r="R644" s="1594"/>
      <c r="S644" s="1594"/>
      <c r="T644" s="1594"/>
      <c r="U644" s="1594"/>
      <c r="V644" s="1594"/>
      <c r="W644" s="1594"/>
      <c r="X644" s="1594"/>
      <c r="Y644" s="1594"/>
      <c r="Z644" s="1594"/>
      <c r="AA644" s="1594"/>
      <c r="AB644" s="1594"/>
      <c r="AC644" s="1594"/>
      <c r="AD644" s="1594"/>
      <c r="AE644" s="1594"/>
      <c r="AF644" s="1594"/>
      <c r="AG644" s="1594"/>
      <c r="AH644" s="1594"/>
      <c r="AI644" s="138"/>
      <c r="AJ644" s="4"/>
      <c r="AK644" s="4"/>
      <c r="AL644" s="4"/>
      <c r="AM644" s="4"/>
      <c r="AN644" s="65"/>
    </row>
    <row r="645" spans="1:60" ht="13.7" customHeight="1">
      <c r="A645" s="4"/>
      <c r="B645" s="1594"/>
      <c r="C645" s="1594"/>
      <c r="D645" s="1594"/>
      <c r="E645" s="1594"/>
      <c r="F645" s="1594"/>
      <c r="G645" s="1594"/>
      <c r="H645" s="1594"/>
      <c r="I645" s="1594"/>
      <c r="J645" s="1594"/>
      <c r="K645" s="1594"/>
      <c r="L645" s="1594"/>
      <c r="M645" s="1594"/>
      <c r="N645" s="1594"/>
      <c r="O645" s="1594"/>
      <c r="P645" s="1594"/>
      <c r="Q645" s="1594"/>
      <c r="R645" s="1594"/>
      <c r="S645" s="1594"/>
      <c r="T645" s="1594"/>
      <c r="U645" s="1594"/>
      <c r="V645" s="1594"/>
      <c r="W645" s="1594"/>
      <c r="X645" s="1594"/>
      <c r="Y645" s="1594"/>
      <c r="Z645" s="1594"/>
      <c r="AA645" s="1594"/>
      <c r="AB645" s="1594"/>
      <c r="AC645" s="1594"/>
      <c r="AD645" s="1594"/>
      <c r="AE645" s="1594"/>
      <c r="AF645" s="1594"/>
      <c r="AG645" s="1594"/>
      <c r="AH645" s="1594"/>
      <c r="AI645" s="138"/>
      <c r="AJ645" s="4"/>
      <c r="AK645" s="4"/>
      <c r="AL645" s="4"/>
      <c r="AM645" s="4"/>
      <c r="AN645" s="65"/>
    </row>
    <row r="646" spans="1:60" ht="13.7" customHeight="1">
      <c r="A646" s="4"/>
      <c r="B646" s="1594"/>
      <c r="C646" s="1594"/>
      <c r="D646" s="1594"/>
      <c r="E646" s="1594"/>
      <c r="F646" s="1594"/>
      <c r="G646" s="1594"/>
      <c r="H646" s="1594"/>
      <c r="I646" s="1594"/>
      <c r="J646" s="1594"/>
      <c r="K646" s="1594"/>
      <c r="L646" s="1594"/>
      <c r="M646" s="1594"/>
      <c r="N646" s="1594"/>
      <c r="O646" s="1594"/>
      <c r="P646" s="1594"/>
      <c r="Q646" s="1594"/>
      <c r="R646" s="1594"/>
      <c r="S646" s="1594"/>
      <c r="T646" s="1594"/>
      <c r="U646" s="1594"/>
      <c r="V646" s="1594"/>
      <c r="W646" s="1594"/>
      <c r="X646" s="1594"/>
      <c r="Y646" s="1594"/>
      <c r="Z646" s="1594"/>
      <c r="AA646" s="1594"/>
      <c r="AB646" s="1594"/>
      <c r="AC646" s="1594"/>
      <c r="AD646" s="1594"/>
      <c r="AE646" s="1594"/>
      <c r="AF646" s="1594"/>
      <c r="AG646" s="1594"/>
      <c r="AH646" s="1594"/>
      <c r="AI646" s="138"/>
      <c r="AJ646" s="4"/>
      <c r="AK646" s="4"/>
      <c r="AL646" s="4"/>
      <c r="AM646" s="4"/>
      <c r="AN646" s="65"/>
    </row>
    <row r="647" spans="1:60" ht="13.7" customHeight="1">
      <c r="A647" s="4"/>
      <c r="B647" s="1594"/>
      <c r="C647" s="1594"/>
      <c r="D647" s="1594"/>
      <c r="E647" s="1594"/>
      <c r="F647" s="1594"/>
      <c r="G647" s="1594"/>
      <c r="H647" s="1594"/>
      <c r="I647" s="1594"/>
      <c r="J647" s="1594"/>
      <c r="K647" s="1594"/>
      <c r="L647" s="1594"/>
      <c r="M647" s="1594"/>
      <c r="N647" s="1594"/>
      <c r="O647" s="1594"/>
      <c r="P647" s="1594"/>
      <c r="Q647" s="1594"/>
      <c r="R647" s="1594"/>
      <c r="S647" s="1594"/>
      <c r="T647" s="1594"/>
      <c r="U647" s="1594"/>
      <c r="V647" s="1594"/>
      <c r="W647" s="1594"/>
      <c r="X647" s="1594"/>
      <c r="Y647" s="1594"/>
      <c r="Z647" s="1594"/>
      <c r="AA647" s="1594"/>
      <c r="AB647" s="1594"/>
      <c r="AC647" s="1594"/>
      <c r="AD647" s="1594"/>
      <c r="AE647" s="1594"/>
      <c r="AF647" s="1594"/>
      <c r="AG647" s="1594"/>
      <c r="AH647" s="1594"/>
      <c r="AI647" s="138"/>
      <c r="AJ647" s="4"/>
      <c r="AK647" s="4"/>
      <c r="AL647" s="4"/>
      <c r="AM647" s="4"/>
      <c r="AN647" s="65"/>
    </row>
    <row r="648" spans="1:60">
      <c r="A648" s="4"/>
      <c r="B648" s="1594"/>
      <c r="C648" s="1594"/>
      <c r="D648" s="1594"/>
      <c r="E648" s="1594"/>
      <c r="F648" s="1594"/>
      <c r="G648" s="1594"/>
      <c r="H648" s="1594"/>
      <c r="I648" s="1594"/>
      <c r="J648" s="1594"/>
      <c r="K648" s="1594"/>
      <c r="L648" s="1594"/>
      <c r="M648" s="1594"/>
      <c r="N648" s="1594"/>
      <c r="O648" s="1594"/>
      <c r="P648" s="1594"/>
      <c r="Q648" s="1594"/>
      <c r="R648" s="1594"/>
      <c r="S648" s="1594"/>
      <c r="T648" s="1594"/>
      <c r="U648" s="1594"/>
      <c r="V648" s="1594"/>
      <c r="W648" s="1594"/>
      <c r="X648" s="1594"/>
      <c r="Y648" s="1594"/>
      <c r="Z648" s="1594"/>
      <c r="AA648" s="1594"/>
      <c r="AB648" s="1594"/>
      <c r="AC648" s="1594"/>
      <c r="AD648" s="1594"/>
      <c r="AE648" s="1594"/>
      <c r="AF648" s="1594"/>
      <c r="AG648" s="1594"/>
      <c r="AH648" s="1594"/>
      <c r="AI648" s="138"/>
      <c r="AJ648" s="4"/>
      <c r="AK648" s="4"/>
      <c r="AL648" s="4"/>
      <c r="AM648" s="4"/>
      <c r="AN648" s="65"/>
    </row>
    <row r="649" spans="1:60">
      <c r="A649" s="4"/>
      <c r="B649" s="1594"/>
      <c r="C649" s="1594"/>
      <c r="D649" s="1594"/>
      <c r="E649" s="1594"/>
      <c r="F649" s="1594"/>
      <c r="G649" s="1594"/>
      <c r="H649" s="1594"/>
      <c r="I649" s="1594"/>
      <c r="J649" s="1594"/>
      <c r="K649" s="1594"/>
      <c r="L649" s="1594"/>
      <c r="M649" s="1594"/>
      <c r="N649" s="1594"/>
      <c r="O649" s="1594"/>
      <c r="P649" s="1594"/>
      <c r="Q649" s="1594"/>
      <c r="R649" s="1594"/>
      <c r="S649" s="1594"/>
      <c r="T649" s="1594"/>
      <c r="U649" s="1594"/>
      <c r="V649" s="1594"/>
      <c r="W649" s="1594"/>
      <c r="X649" s="1594"/>
      <c r="Y649" s="1594"/>
      <c r="Z649" s="1594"/>
      <c r="AA649" s="1594"/>
      <c r="AB649" s="1594"/>
      <c r="AC649" s="1594"/>
      <c r="AD649" s="1594"/>
      <c r="AE649" s="1594"/>
      <c r="AF649" s="1594"/>
      <c r="AG649" s="1594"/>
      <c r="AH649" s="1594"/>
      <c r="AI649" s="138"/>
      <c r="AJ649" s="4"/>
      <c r="AK649" s="4"/>
      <c r="AL649" s="4"/>
      <c r="AM649" s="4"/>
      <c r="AN649" s="65"/>
    </row>
    <row r="650" spans="1:60">
      <c r="A650" s="4"/>
      <c r="B650" s="1594"/>
      <c r="C650" s="1594"/>
      <c r="D650" s="1594"/>
      <c r="E650" s="1594"/>
      <c r="F650" s="1594"/>
      <c r="G650" s="1594"/>
      <c r="H650" s="1594"/>
      <c r="I650" s="1594"/>
      <c r="J650" s="1594"/>
      <c r="K650" s="1594"/>
      <c r="L650" s="1594"/>
      <c r="M650" s="1594"/>
      <c r="N650" s="1594"/>
      <c r="O650" s="1594"/>
      <c r="P650" s="1594"/>
      <c r="Q650" s="1594"/>
      <c r="R650" s="1594"/>
      <c r="S650" s="1594"/>
      <c r="T650" s="1594"/>
      <c r="U650" s="1594"/>
      <c r="V650" s="1594"/>
      <c r="W650" s="1594"/>
      <c r="X650" s="1594"/>
      <c r="Y650" s="1594"/>
      <c r="Z650" s="1594"/>
      <c r="AA650" s="1594"/>
      <c r="AB650" s="1594"/>
      <c r="AC650" s="1594"/>
      <c r="AD650" s="1594"/>
      <c r="AE650" s="1594"/>
      <c r="AF650" s="1594"/>
      <c r="AG650" s="1594"/>
      <c r="AH650" s="1594"/>
      <c r="AI650" s="138"/>
      <c r="AJ650" s="4"/>
      <c r="AK650" s="4"/>
      <c r="AL650" s="4"/>
      <c r="AM650" s="4"/>
      <c r="AN650" s="65"/>
    </row>
    <row r="651" spans="1:60">
      <c r="A651" s="4"/>
      <c r="B651" s="1594"/>
      <c r="C651" s="1594"/>
      <c r="D651" s="1594"/>
      <c r="E651" s="1594"/>
      <c r="F651" s="1594"/>
      <c r="G651" s="1594"/>
      <c r="H651" s="1594"/>
      <c r="I651" s="1594"/>
      <c r="J651" s="1594"/>
      <c r="K651" s="1594"/>
      <c r="L651" s="1594"/>
      <c r="M651" s="1594"/>
      <c r="N651" s="1594"/>
      <c r="O651" s="1594"/>
      <c r="P651" s="1594"/>
      <c r="Q651" s="1594"/>
      <c r="R651" s="1594"/>
      <c r="S651" s="1594"/>
      <c r="T651" s="1594"/>
      <c r="U651" s="1594"/>
      <c r="V651" s="1594"/>
      <c r="W651" s="1594"/>
      <c r="X651" s="1594"/>
      <c r="Y651" s="1594"/>
      <c r="Z651" s="1594"/>
      <c r="AA651" s="1594"/>
      <c r="AB651" s="1594"/>
      <c r="AC651" s="1594"/>
      <c r="AD651" s="1594"/>
      <c r="AE651" s="1594"/>
      <c r="AF651" s="1594"/>
      <c r="AG651" s="1594"/>
      <c r="AH651" s="1594"/>
      <c r="AI651" s="138"/>
      <c r="AJ651" s="4"/>
      <c r="AK651" s="4"/>
      <c r="AL651" s="4"/>
      <c r="AM651" s="4"/>
      <c r="AN651" s="65"/>
    </row>
    <row r="652" spans="1:60" s="550" customFormat="1" ht="12.6" customHeight="1">
      <c r="A652" s="4"/>
      <c r="B652" s="1594"/>
      <c r="C652" s="1594"/>
      <c r="D652" s="1594"/>
      <c r="E652" s="1594"/>
      <c r="F652" s="1594"/>
      <c r="G652" s="1594"/>
      <c r="H652" s="1594"/>
      <c r="I652" s="1594"/>
      <c r="J652" s="1594"/>
      <c r="K652" s="1594"/>
      <c r="L652" s="1594"/>
      <c r="M652" s="1594"/>
      <c r="N652" s="1594"/>
      <c r="O652" s="1594"/>
      <c r="P652" s="1594"/>
      <c r="Q652" s="1594"/>
      <c r="R652" s="1594"/>
      <c r="S652" s="1594"/>
      <c r="T652" s="1594"/>
      <c r="U652" s="1594"/>
      <c r="V652" s="1594"/>
      <c r="W652" s="1594"/>
      <c r="X652" s="1594"/>
      <c r="Y652" s="1594"/>
      <c r="Z652" s="1594"/>
      <c r="AA652" s="1594"/>
      <c r="AB652" s="1594"/>
      <c r="AC652" s="1594"/>
      <c r="AD652" s="1594"/>
      <c r="AE652" s="1594"/>
      <c r="AF652" s="1594"/>
      <c r="AG652" s="1594"/>
      <c r="AH652" s="1594"/>
      <c r="AI652" s="138"/>
      <c r="AJ652" s="4"/>
      <c r="AK652" s="4"/>
      <c r="AL652" s="4"/>
      <c r="AM652" s="4"/>
      <c r="AN652" s="579"/>
      <c r="BD652" s="552"/>
      <c r="BE652" s="552"/>
      <c r="BF652" s="552"/>
      <c r="BG652" s="552"/>
      <c r="BH652" s="552"/>
    </row>
    <row r="653" spans="1:60">
      <c r="A653" s="4"/>
      <c r="B653" s="1594"/>
      <c r="C653" s="1594"/>
      <c r="D653" s="1594"/>
      <c r="E653" s="1594"/>
      <c r="F653" s="1594"/>
      <c r="G653" s="1594"/>
      <c r="H653" s="1594"/>
      <c r="I653" s="1594"/>
      <c r="J653" s="1594"/>
      <c r="K653" s="1594"/>
      <c r="L653" s="1594"/>
      <c r="M653" s="1594"/>
      <c r="N653" s="1594"/>
      <c r="O653" s="1594"/>
      <c r="P653" s="1594"/>
      <c r="Q653" s="1594"/>
      <c r="R653" s="1594"/>
      <c r="S653" s="1594"/>
      <c r="T653" s="1594"/>
      <c r="U653" s="1594"/>
      <c r="V653" s="1594"/>
      <c r="W653" s="1594"/>
      <c r="X653" s="1594"/>
      <c r="Y653" s="1594"/>
      <c r="Z653" s="1594"/>
      <c r="AA653" s="1594"/>
      <c r="AB653" s="1594"/>
      <c r="AC653" s="1594"/>
      <c r="AD653" s="1594"/>
      <c r="AE653" s="1594"/>
      <c r="AF653" s="1594"/>
      <c r="AG653" s="1594"/>
      <c r="AH653" s="1594"/>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2224</v>
      </c>
      <c r="AK655" s="1034">
        <f>IF($C$637="yes",10,0)</f>
        <v>10</v>
      </c>
      <c r="AL655" s="1035"/>
      <c r="AM655" s="1037"/>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8"/>
      <c r="AR657"/>
      <c r="AS657"/>
      <c r="AT657"/>
      <c r="AU657"/>
      <c r="AV657" s="36"/>
      <c r="AW657" s="36"/>
    </row>
    <row r="658" spans="1:49">
      <c r="A658" s="105" t="s">
        <v>2225</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2226</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65" t="s">
        <v>326</v>
      </c>
      <c r="D660" s="1065"/>
      <c r="E660" s="161" t="s">
        <v>19</v>
      </c>
      <c r="F660" s="19" t="s">
        <v>2227</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1901</v>
      </c>
      <c r="AH660" s="4"/>
      <c r="AI660" s="4"/>
      <c r="AJ660" s="4"/>
      <c r="AK660" s="4"/>
      <c r="AL660" s="4"/>
      <c r="AM660" s="4"/>
      <c r="AN660" s="65"/>
      <c r="AO660" s="4">
        <f>IF($C$669="yes",2,0)</f>
        <v>2</v>
      </c>
      <c r="AQ660"/>
      <c r="AR660"/>
      <c r="AS660"/>
      <c r="AT660"/>
      <c r="AU660"/>
      <c r="AV660" s="36"/>
      <c r="AW660" s="36"/>
    </row>
    <row r="661" spans="1:49">
      <c r="A661" s="105"/>
      <c r="B661" s="20"/>
      <c r="F661" s="19" t="s">
        <v>2228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2229</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2230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65" t="s">
        <v>326</v>
      </c>
      <c r="D665" s="1065"/>
      <c r="E665" s="161" t="s">
        <v>24</v>
      </c>
      <c r="F665" s="19" t="s">
        <v>2231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1901</v>
      </c>
      <c r="AH665" s="19"/>
      <c r="AI665" s="19"/>
      <c r="AJ665" s="4"/>
      <c r="AK665" s="4"/>
      <c r="AL665" s="4"/>
      <c r="AM665" s="4"/>
      <c r="AO665" s="25">
        <f>SUM(AO658:AO664)</f>
        <v>2</v>
      </c>
      <c r="AP665" s="551" t="s">
        <v>2232</v>
      </c>
    </row>
    <row r="666" spans="1:49">
      <c r="A666" s="4"/>
      <c r="B666" s="19"/>
      <c r="C666" s="4"/>
      <c r="D666" s="19"/>
      <c r="E666" s="4"/>
      <c r="F666" s="19" t="s">
        <v>2233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2234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65" t="s">
        <v>765</v>
      </c>
      <c r="D669" s="1065"/>
      <c r="E669" s="161" t="s">
        <v>44</v>
      </c>
      <c r="F669" s="415" t="s">
        <v>2235</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1901</v>
      </c>
      <c r="AH669" s="19"/>
      <c r="AI669" s="19"/>
      <c r="AJ669" s="4"/>
      <c r="AK669" s="4"/>
      <c r="AL669" s="4"/>
      <c r="AM669" s="4"/>
      <c r="AN669" s="65"/>
      <c r="AO669" s="21"/>
    </row>
    <row r="670" spans="1:49">
      <c r="A670" s="4"/>
      <c r="B670" s="19"/>
      <c r="C670" s="4"/>
      <c r="D670" s="19"/>
      <c r="E670" s="4"/>
      <c r="F670" s="19" t="s">
        <v>2236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2237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65" t="s">
        <v>326</v>
      </c>
      <c r="D673" s="1065"/>
      <c r="E673" s="161" t="s">
        <v>1876</v>
      </c>
      <c r="F673" s="19" t="s">
        <v>2238</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1920</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65" t="s">
        <v>326</v>
      </c>
      <c r="D675" s="1065"/>
      <c r="E675" s="161" t="s">
        <v>1878</v>
      </c>
      <c r="F675" s="19" t="s">
        <v>2239</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1901</v>
      </c>
      <c r="AH675" s="19"/>
      <c r="AI675" s="19"/>
      <c r="AJ675" s="4"/>
      <c r="AK675" s="4"/>
      <c r="AL675" s="4"/>
      <c r="AM675" s="4"/>
    </row>
    <row r="676" spans="1:41">
      <c r="A676" s="4"/>
      <c r="B676" s="19"/>
      <c r="C676" s="4"/>
      <c r="D676" s="19"/>
      <c r="E676" s="4"/>
      <c r="F676" s="416" t="s">
        <v>2240</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2241</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2242</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65" t="s">
        <v>326</v>
      </c>
      <c r="D680" s="1065"/>
      <c r="E680" s="161" t="s">
        <v>1916</v>
      </c>
      <c r="F680" s="19" t="s">
        <v>2243</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1920</v>
      </c>
      <c r="AH680" s="19"/>
      <c r="AI680" s="19"/>
      <c r="AJ680" s="4"/>
      <c r="AK680" s="4"/>
      <c r="AL680" s="4"/>
      <c r="AM680" s="4"/>
      <c r="AN680" s="65"/>
      <c r="AO680" s="21"/>
    </row>
    <row r="681" spans="1:41">
      <c r="A681" s="4"/>
      <c r="B681" s="19"/>
      <c r="C681" s="19"/>
      <c r="D681" s="19"/>
      <c r="E681" s="19"/>
      <c r="F681" s="19" t="s">
        <v>2244</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65" t="s">
        <v>326</v>
      </c>
      <c r="D683" s="1065"/>
      <c r="E683" s="161" t="s">
        <v>1918</v>
      </c>
      <c r="F683" s="1594" t="s">
        <v>2245</v>
      </c>
      <c r="G683" s="1594"/>
      <c r="H683" s="1594"/>
      <c r="I683" s="1594"/>
      <c r="J683" s="1594"/>
      <c r="K683" s="1594"/>
      <c r="L683" s="1594"/>
      <c r="M683" s="1594"/>
      <c r="N683" s="1594"/>
      <c r="O683" s="1594"/>
      <c r="P683" s="1594"/>
      <c r="Q683" s="1594"/>
      <c r="R683" s="1594"/>
      <c r="S683" s="1594"/>
      <c r="T683" s="1594"/>
      <c r="U683" s="1594"/>
      <c r="V683" s="1594"/>
      <c r="W683" s="1594"/>
      <c r="X683" s="1594"/>
      <c r="Y683" s="1594"/>
      <c r="Z683" s="1594"/>
      <c r="AA683" s="1594"/>
      <c r="AB683" s="1594"/>
      <c r="AC683" s="1594"/>
      <c r="AD683" s="1594"/>
      <c r="AE683" s="19"/>
      <c r="AF683" s="19"/>
      <c r="AG683" s="3" t="s">
        <v>1901</v>
      </c>
      <c r="AH683" s="19"/>
      <c r="AI683" s="19"/>
      <c r="AJ683" s="4"/>
      <c r="AK683" s="4"/>
      <c r="AL683" s="4"/>
      <c r="AM683" s="4"/>
      <c r="AN683" s="65"/>
      <c r="AO683" s="21"/>
    </row>
    <row r="684" spans="1:41">
      <c r="A684" s="4"/>
      <c r="B684" s="19"/>
      <c r="C684" s="19"/>
      <c r="D684" s="19"/>
      <c r="E684" s="19"/>
      <c r="F684" s="1594"/>
      <c r="G684" s="1594"/>
      <c r="H684" s="1594"/>
      <c r="I684" s="1594"/>
      <c r="J684" s="1594"/>
      <c r="K684" s="1594"/>
      <c r="L684" s="1594"/>
      <c r="M684" s="1594"/>
      <c r="N684" s="1594"/>
      <c r="O684" s="1594"/>
      <c r="P684" s="1594"/>
      <c r="Q684" s="1594"/>
      <c r="R684" s="1594"/>
      <c r="S684" s="1594"/>
      <c r="T684" s="1594"/>
      <c r="U684" s="1594"/>
      <c r="V684" s="1594"/>
      <c r="W684" s="1594"/>
      <c r="X684" s="1594"/>
      <c r="Y684" s="1594"/>
      <c r="Z684" s="1594"/>
      <c r="AA684" s="1594"/>
      <c r="AB684" s="1594"/>
      <c r="AC684" s="1594"/>
      <c r="AD684" s="1594"/>
      <c r="AE684" s="19"/>
      <c r="AF684" s="19"/>
      <c r="AG684" s="19"/>
      <c r="AH684" s="19"/>
      <c r="AI684" s="19"/>
      <c r="AJ684" s="4"/>
      <c r="AK684" s="4"/>
      <c r="AL684" s="4"/>
      <c r="AM684" s="4"/>
      <c r="AN684" s="65"/>
      <c r="AO684" s="21"/>
    </row>
    <row r="685" spans="1:41" ht="0.75" customHeight="1">
      <c r="A685" s="4"/>
      <c r="B685" s="19"/>
      <c r="C685" s="19"/>
      <c r="D685" s="19"/>
      <c r="E685" s="19"/>
      <c r="F685" s="1594"/>
      <c r="G685" s="1594"/>
      <c r="H685" s="1594"/>
      <c r="I685" s="1594"/>
      <c r="J685" s="1594"/>
      <c r="K685" s="1594"/>
      <c r="L685" s="1594"/>
      <c r="M685" s="1594"/>
      <c r="N685" s="1594"/>
      <c r="O685" s="1594"/>
      <c r="P685" s="1594"/>
      <c r="Q685" s="1594"/>
      <c r="R685" s="1594"/>
      <c r="S685" s="1594"/>
      <c r="T685" s="1594"/>
      <c r="U685" s="1594"/>
      <c r="V685" s="1594"/>
      <c r="W685" s="1594"/>
      <c r="X685" s="1594"/>
      <c r="Y685" s="1594"/>
      <c r="Z685" s="1594"/>
      <c r="AA685" s="1594"/>
      <c r="AB685" s="1594"/>
      <c r="AC685" s="1594"/>
      <c r="AD685" s="1594"/>
      <c r="AE685" s="19"/>
      <c r="AF685" s="19"/>
      <c r="AG685" s="19"/>
      <c r="AH685" s="19"/>
      <c r="AI685" s="19"/>
      <c r="AJ685" s="4"/>
      <c r="AK685" s="4"/>
      <c r="AL685" s="4"/>
      <c r="AM685" s="4"/>
      <c r="AN685" s="65"/>
      <c r="AO685" s="21"/>
    </row>
    <row r="686" spans="1:41" ht="12.75" customHeight="1">
      <c r="A686" s="4"/>
      <c r="B686" s="19"/>
      <c r="C686" s="19"/>
      <c r="D686" s="19"/>
      <c r="F686" s="1594"/>
      <c r="G686" s="1594"/>
      <c r="H686" s="1594"/>
      <c r="I686" s="1594"/>
      <c r="J686" s="1594"/>
      <c r="K686" s="1594"/>
      <c r="L686" s="1594"/>
      <c r="M686" s="1594"/>
      <c r="N686" s="1594"/>
      <c r="O686" s="1594"/>
      <c r="P686" s="1594"/>
      <c r="Q686" s="1594"/>
      <c r="R686" s="1594"/>
      <c r="S686" s="1594"/>
      <c r="T686" s="1594"/>
      <c r="U686" s="1594"/>
      <c r="V686" s="1594"/>
      <c r="W686" s="1594"/>
      <c r="X686" s="1594"/>
      <c r="Y686" s="1594"/>
      <c r="Z686" s="1594"/>
      <c r="AA686" s="1594"/>
      <c r="AB686" s="1594"/>
      <c r="AC686" s="1594"/>
      <c r="AD686" s="1594"/>
      <c r="AE686" s="26"/>
      <c r="AF686" s="26"/>
      <c r="AG686" s="19"/>
      <c r="AH686" s="19"/>
      <c r="AI686" s="19"/>
      <c r="AJ686" s="4"/>
      <c r="AK686" s="4"/>
      <c r="AL686" s="4"/>
      <c r="AM686" s="4"/>
      <c r="AN686" s="65"/>
      <c r="AO686" s="21"/>
    </row>
    <row r="687" spans="1:41" ht="7.5" customHeight="1">
      <c r="A687" s="4"/>
      <c r="B687" s="19"/>
      <c r="C687" s="19"/>
      <c r="D687" s="19"/>
      <c r="E687" s="19"/>
      <c r="F687" s="1594"/>
      <c r="G687" s="1594"/>
      <c r="H687" s="1594"/>
      <c r="I687" s="1594"/>
      <c r="J687" s="1594"/>
      <c r="K687" s="1594"/>
      <c r="L687" s="1594"/>
      <c r="M687" s="1594"/>
      <c r="N687" s="1594"/>
      <c r="O687" s="1594"/>
      <c r="P687" s="1594"/>
      <c r="Q687" s="1594"/>
      <c r="R687" s="1594"/>
      <c r="S687" s="1594"/>
      <c r="T687" s="1594"/>
      <c r="U687" s="1594"/>
      <c r="V687" s="1594"/>
      <c r="W687" s="1594"/>
      <c r="X687" s="1594"/>
      <c r="Y687" s="1594"/>
      <c r="Z687" s="1594"/>
      <c r="AA687" s="1594"/>
      <c r="AB687" s="1594"/>
      <c r="AC687" s="1594"/>
      <c r="AD687" s="1594"/>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2246</v>
      </c>
      <c r="AK698" s="1034">
        <f>$AO$665</f>
        <v>2</v>
      </c>
      <c r="AL698" s="1035"/>
      <c r="AM698" s="103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712" t="s">
        <v>2247</v>
      </c>
      <c r="B701" s="1712"/>
      <c r="C701" s="1712"/>
      <c r="D701" s="1712"/>
      <c r="E701" s="1712"/>
      <c r="F701" s="1712"/>
      <c r="G701" s="1712"/>
      <c r="H701" s="1712"/>
      <c r="I701" s="1712"/>
      <c r="J701" s="1712"/>
      <c r="K701" s="1712"/>
      <c r="L701" s="1712"/>
      <c r="M701" s="1712"/>
      <c r="N701" s="1712"/>
      <c r="O701" s="1712"/>
      <c r="P701" s="1712"/>
      <c r="Q701" s="1712"/>
      <c r="R701" s="1712"/>
      <c r="S701" s="1712"/>
      <c r="T701" s="1712"/>
      <c r="U701" s="1712"/>
      <c r="V701" s="1712"/>
      <c r="W701" s="1712"/>
      <c r="X701" s="1712"/>
      <c r="Y701" s="1712"/>
      <c r="Z701" s="1712"/>
      <c r="AA701" s="1712"/>
      <c r="AB701" s="1712"/>
      <c r="AC701" s="1712"/>
      <c r="AD701" s="1712"/>
      <c r="AE701" s="1712"/>
      <c r="AF701" s="1712"/>
      <c r="AG701" s="1712"/>
      <c r="AH701" s="1712"/>
      <c r="AI701" s="1712"/>
      <c r="AJ701" s="1712"/>
      <c r="AK701" s="1712"/>
      <c r="AL701" s="1712"/>
      <c r="AM701" s="1712"/>
      <c r="AO701" s="175"/>
      <c r="AP701" s="175"/>
      <c r="AQ701" s="175"/>
    </row>
    <row r="702" spans="1:60">
      <c r="A702" s="1713"/>
      <c r="B702" s="1713"/>
      <c r="C702" s="1713"/>
      <c r="D702" s="1713"/>
      <c r="E702" s="1713"/>
      <c r="F702" s="1713"/>
      <c r="G702" s="1713"/>
      <c r="H702" s="1713"/>
      <c r="I702" s="1713"/>
      <c r="J702" s="1713"/>
      <c r="K702" s="1713"/>
      <c r="L702" s="1713"/>
      <c r="M702" s="1713"/>
      <c r="N702" s="1713"/>
      <c r="O702" s="1713"/>
      <c r="P702" s="1713"/>
      <c r="Q702" s="1713"/>
      <c r="R702" s="1713"/>
      <c r="S702" s="1713"/>
      <c r="T702" s="1713"/>
      <c r="U702" s="1713"/>
      <c r="V702" s="1713"/>
      <c r="W702" s="1713"/>
      <c r="X702" s="1713"/>
      <c r="Y702" s="1713"/>
      <c r="Z702" s="1713"/>
      <c r="AA702" s="1713"/>
      <c r="AB702" s="1713"/>
      <c r="AC702" s="1713"/>
      <c r="AD702" s="1713"/>
      <c r="AE702" s="1713"/>
      <c r="AF702" s="1713"/>
      <c r="AG702" s="1713"/>
      <c r="AH702" s="1713"/>
      <c r="AI702" s="1713"/>
      <c r="AJ702" s="1713"/>
      <c r="AK702" s="1713"/>
      <c r="AL702" s="1713"/>
      <c r="AM702" s="1713"/>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475" t="s">
        <v>2248</v>
      </c>
      <c r="B704" s="1475"/>
      <c r="C704" s="1475"/>
      <c r="D704" s="1475"/>
      <c r="E704" s="1475"/>
      <c r="F704" s="1475"/>
      <c r="G704" s="1475"/>
      <c r="H704" s="1475"/>
      <c r="I704" s="1475"/>
      <c r="J704" s="1475"/>
      <c r="K704" s="1475"/>
      <c r="L704" s="1475"/>
      <c r="M704" s="1475"/>
      <c r="N704" s="1475"/>
      <c r="O704" s="1475"/>
      <c r="P704" s="1475"/>
      <c r="Q704" s="1475"/>
      <c r="R704" s="1475"/>
      <c r="S704" s="1475"/>
      <c r="T704" s="1475"/>
      <c r="U704" s="1475"/>
      <c r="V704" s="1475"/>
      <c r="W704" s="1475"/>
      <c r="X704" s="1475"/>
      <c r="Y704" s="1475"/>
      <c r="Z704" s="1475"/>
      <c r="AA704" s="1475"/>
      <c r="AB704" s="1475"/>
      <c r="AC704" s="1475"/>
      <c r="AD704" s="1475"/>
      <c r="AE704" s="1475"/>
      <c r="AF704" s="1475"/>
      <c r="AG704" s="1475"/>
      <c r="AH704" s="1475"/>
      <c r="AI704" s="1475"/>
      <c r="AJ704" s="1475"/>
      <c r="AK704" s="1475"/>
      <c r="AL704" s="1475"/>
      <c r="AM704" s="1475"/>
      <c r="AO704" s="175">
        <f>IF(T713&gt;15,15,T713)</f>
        <v>15</v>
      </c>
      <c r="AP704" s="175"/>
      <c r="AQ704" s="175"/>
    </row>
    <row r="705" spans="1:43">
      <c r="A705" s="1475" t="s">
        <v>2249</v>
      </c>
      <c r="B705" s="1475"/>
      <c r="C705" s="1475"/>
      <c r="D705" s="1475"/>
      <c r="E705" s="1475"/>
      <c r="F705" s="1475"/>
      <c r="G705" s="1475"/>
      <c r="H705" s="1475"/>
      <c r="I705" s="1475"/>
      <c r="J705" s="1475"/>
      <c r="K705" s="1475"/>
      <c r="L705" s="1475"/>
      <c r="M705" s="1475"/>
      <c r="N705" s="1475"/>
      <c r="O705" s="1475"/>
      <c r="P705" s="1475"/>
      <c r="Q705" s="1475"/>
      <c r="R705" s="1475"/>
      <c r="S705" s="1475"/>
      <c r="T705" s="1475"/>
      <c r="U705" s="1475"/>
      <c r="V705" s="1475"/>
      <c r="W705" s="1475"/>
      <c r="X705" s="1475"/>
      <c r="Y705" s="1475"/>
      <c r="Z705" s="1475"/>
      <c r="AA705" s="1475"/>
      <c r="AB705" s="1475"/>
      <c r="AC705" s="1475"/>
      <c r="AD705" s="1475"/>
      <c r="AE705" s="1475"/>
      <c r="AF705" s="1475"/>
      <c r="AG705" s="1475"/>
      <c r="AH705" s="1475"/>
      <c r="AI705" s="1475"/>
      <c r="AJ705" s="1475"/>
      <c r="AK705" s="1475"/>
      <c r="AL705" s="1475"/>
      <c r="AM705" s="1475"/>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138" t="s">
        <v>2250</v>
      </c>
      <c r="U706" s="1139"/>
      <c r="V706" s="1139"/>
      <c r="W706" s="1139"/>
      <c r="X706" s="1139"/>
      <c r="Y706" s="1169"/>
      <c r="Z706" s="1138" t="s">
        <v>2251</v>
      </c>
      <c r="AA706" s="1139"/>
      <c r="AB706" s="1139"/>
      <c r="AC706" s="1139"/>
      <c r="AD706" s="1139"/>
      <c r="AE706" s="1169"/>
      <c r="AF706" s="1138" t="s">
        <v>2252</v>
      </c>
      <c r="AG706" s="1139"/>
      <c r="AH706" s="1139"/>
      <c r="AI706" s="1139"/>
      <c r="AJ706" s="1139"/>
      <c r="AK706" s="1169"/>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142"/>
      <c r="U707" s="1143"/>
      <c r="V707" s="1143"/>
      <c r="W707" s="1143"/>
      <c r="X707" s="1143"/>
      <c r="Y707" s="1170"/>
      <c r="Z707" s="1142"/>
      <c r="AA707" s="1143"/>
      <c r="AB707" s="1143"/>
      <c r="AC707" s="1143"/>
      <c r="AD707" s="1143"/>
      <c r="AE707" s="1170"/>
      <c r="AF707" s="1142"/>
      <c r="AG707" s="1143"/>
      <c r="AH707" s="1143"/>
      <c r="AI707" s="1143"/>
      <c r="AJ707" s="1143"/>
      <c r="AK707" s="1170"/>
      <c r="AL707" s="672"/>
      <c r="AM707" s="20"/>
    </row>
    <row r="708" spans="1:43">
      <c r="A708" s="503" t="s">
        <v>793</v>
      </c>
      <c r="B708" s="1587" t="s">
        <v>2253</v>
      </c>
      <c r="C708" s="1587"/>
      <c r="D708" s="1587"/>
      <c r="E708" s="1587"/>
      <c r="F708" s="1587"/>
      <c r="G708" s="1587"/>
      <c r="H708" s="1587"/>
      <c r="I708" s="1587"/>
      <c r="J708" s="1587"/>
      <c r="K708" s="1587"/>
      <c r="L708" s="1587"/>
      <c r="M708" s="1587"/>
      <c r="N708" s="1587"/>
      <c r="O708" s="1587"/>
      <c r="P708" s="1587"/>
      <c r="Q708" s="1587"/>
      <c r="R708" s="1587"/>
      <c r="S708" s="1588"/>
      <c r="T708" s="1600">
        <f>SUM(T709:Y710)</f>
        <v>10</v>
      </c>
      <c r="U708" s="1600"/>
      <c r="V708" s="1600"/>
      <c r="W708" s="1600"/>
      <c r="X708" s="1600"/>
      <c r="Y708" s="1600"/>
      <c r="Z708" s="1171">
        <v>10</v>
      </c>
      <c r="AA708" s="1171"/>
      <c r="AB708" s="1171"/>
      <c r="AC708" s="1171"/>
      <c r="AD708" s="1171"/>
      <c r="AE708" s="1171"/>
      <c r="AF708" s="1171">
        <f>IF(T708&gt;Z708,Z708,T708)</f>
        <v>10</v>
      </c>
      <c r="AG708" s="1171"/>
      <c r="AH708" s="1171"/>
      <c r="AI708" s="1171"/>
      <c r="AJ708" s="1171"/>
      <c r="AK708" s="1171"/>
      <c r="AL708" s="672"/>
      <c r="AM708" s="20"/>
      <c r="AO708" s="4">
        <f>IF(T717&gt;50,50,T717)</f>
        <v>50</v>
      </c>
    </row>
    <row r="709" spans="1:43">
      <c r="A709" s="521"/>
      <c r="B709" s="522"/>
      <c r="C709" s="527"/>
      <c r="D709" s="259" t="s">
        <v>2254</v>
      </c>
      <c r="E709" s="1589" t="s">
        <v>2255</v>
      </c>
      <c r="F709" s="1589"/>
      <c r="G709" s="1589"/>
      <c r="H709" s="1589"/>
      <c r="I709" s="1589"/>
      <c r="J709" s="1589"/>
      <c r="K709" s="1589"/>
      <c r="L709" s="1589"/>
      <c r="M709" s="1589"/>
      <c r="N709" s="1589"/>
      <c r="O709" s="1589"/>
      <c r="P709" s="1589"/>
      <c r="Q709" s="1589"/>
      <c r="R709" s="1589"/>
      <c r="S709" s="1590"/>
      <c r="T709" s="1632">
        <f>AJ31</f>
        <v>7</v>
      </c>
      <c r="U709" s="1632"/>
      <c r="V709" s="1632"/>
      <c r="W709" s="1632"/>
      <c r="X709" s="1632"/>
      <c r="Y709" s="1632"/>
      <c r="Z709" s="1188">
        <v>7</v>
      </c>
      <c r="AA709" s="1188"/>
      <c r="AB709" s="1188"/>
      <c r="AC709" s="1188"/>
      <c r="AD709" s="1188"/>
      <c r="AE709" s="1188"/>
      <c r="AF709" s="1714"/>
      <c r="AG709" s="1714"/>
      <c r="AH709" s="1714"/>
      <c r="AI709" s="1714"/>
      <c r="AJ709" s="1714"/>
      <c r="AK709" s="1714"/>
      <c r="AL709" s="672"/>
      <c r="AM709" s="20"/>
    </row>
    <row r="710" spans="1:43">
      <c r="A710" s="523"/>
      <c r="B710" s="522"/>
      <c r="C710" s="522"/>
      <c r="D710" s="259" t="s">
        <v>2256</v>
      </c>
      <c r="E710" s="1589" t="s">
        <v>2257</v>
      </c>
      <c r="F710" s="1589"/>
      <c r="G710" s="1589"/>
      <c r="H710" s="1589"/>
      <c r="I710" s="1589"/>
      <c r="J710" s="1589"/>
      <c r="K710" s="1589"/>
      <c r="L710" s="1589"/>
      <c r="M710" s="1589"/>
      <c r="N710" s="1589"/>
      <c r="O710" s="1589"/>
      <c r="P710" s="1589"/>
      <c r="Q710" s="1589"/>
      <c r="R710" s="1589"/>
      <c r="S710" s="1590"/>
      <c r="T710" s="1632">
        <f>AJ47</f>
        <v>3</v>
      </c>
      <c r="U710" s="1632"/>
      <c r="V710" s="1632"/>
      <c r="W710" s="1632"/>
      <c r="X710" s="1632"/>
      <c r="Y710" s="1632"/>
      <c r="Z710" s="1188">
        <v>3</v>
      </c>
      <c r="AA710" s="1188"/>
      <c r="AB710" s="1188"/>
      <c r="AC710" s="1188"/>
      <c r="AD710" s="1188"/>
      <c r="AE710" s="1188"/>
      <c r="AF710" s="1714"/>
      <c r="AG710" s="1714"/>
      <c r="AH710" s="1714"/>
      <c r="AI710" s="1714"/>
      <c r="AJ710" s="1714"/>
      <c r="AK710" s="1714"/>
      <c r="AL710" s="672"/>
      <c r="AM710" s="20"/>
    </row>
    <row r="711" spans="1:43">
      <c r="A711" s="503" t="s">
        <v>828</v>
      </c>
      <c r="B711" s="1587" t="s">
        <v>2258</v>
      </c>
      <c r="C711" s="1587"/>
      <c r="D711" s="1587"/>
      <c r="E711" s="1587"/>
      <c r="F711" s="1587"/>
      <c r="G711" s="1587"/>
      <c r="H711" s="1587"/>
      <c r="I711" s="1587"/>
      <c r="J711" s="1587"/>
      <c r="K711" s="1587"/>
      <c r="L711" s="1587"/>
      <c r="M711" s="1587"/>
      <c r="N711" s="1587"/>
      <c r="O711" s="1587"/>
      <c r="P711" s="1587"/>
      <c r="Q711" s="1587"/>
      <c r="R711" s="1587"/>
      <c r="S711" s="1588"/>
      <c r="T711" s="1600">
        <f>AK68</f>
        <v>10</v>
      </c>
      <c r="U711" s="1600"/>
      <c r="V711" s="1600"/>
      <c r="W711" s="1600"/>
      <c r="X711" s="1600"/>
      <c r="Y711" s="1600"/>
      <c r="Z711" s="1171">
        <v>10</v>
      </c>
      <c r="AA711" s="1171"/>
      <c r="AB711" s="1171"/>
      <c r="AC711" s="1171"/>
      <c r="AD711" s="1171"/>
      <c r="AE711" s="1171"/>
      <c r="AF711" s="1171">
        <f>IF(T711&gt;Z711,Z711,T711)</f>
        <v>10</v>
      </c>
      <c r="AG711" s="1171"/>
      <c r="AH711" s="1171"/>
      <c r="AI711" s="1171"/>
      <c r="AJ711" s="1171"/>
      <c r="AK711" s="1171"/>
      <c r="AL711" s="672"/>
      <c r="AM711" s="20"/>
    </row>
    <row r="712" spans="1:43">
      <c r="A712" s="503" t="s">
        <v>908</v>
      </c>
      <c r="B712" s="1587" t="s">
        <v>2259</v>
      </c>
      <c r="C712" s="1587"/>
      <c r="D712" s="1587"/>
      <c r="E712" s="1587"/>
      <c r="F712" s="1587"/>
      <c r="G712" s="1587"/>
      <c r="H712" s="1587"/>
      <c r="I712" s="1587"/>
      <c r="J712" s="1587"/>
      <c r="K712" s="1587"/>
      <c r="L712" s="1587"/>
      <c r="M712" s="1587"/>
      <c r="N712" s="1587"/>
      <c r="O712" s="1587"/>
      <c r="P712" s="1587"/>
      <c r="Q712" s="1587"/>
      <c r="R712" s="1587"/>
      <c r="S712" s="1588"/>
      <c r="T712" s="1600">
        <f>AO703</f>
        <v>25</v>
      </c>
      <c r="U712" s="1600">
        <f>IF(AND(AND(A713&gt;15,15+A714),A714&gt;10,A713+10),A712,0)</f>
        <v>0</v>
      </c>
      <c r="V712" s="1600">
        <f>IF(AND(AND(B713&gt;15,15+B714),B714&gt;10,B713+10),#REF!,0)</f>
        <v>0</v>
      </c>
      <c r="W712" s="1600">
        <f>IF(AND(AND(C713&gt;15,15+C714),C714&gt;10,C713+10),B712,0)</f>
        <v>0</v>
      </c>
      <c r="X712" s="1600" t="e">
        <f>IF(AND(AND(D713&gt;15,15+D714),D714&gt;10,D713+10),D712,0)</f>
        <v>#VALUE!</v>
      </c>
      <c r="Y712" s="1600" t="e">
        <f>IF(AND(AND(E713&gt;15,15+E714),E714&gt;10,E713+10),E712,0)</f>
        <v>#VALUE!</v>
      </c>
      <c r="Z712" s="1171">
        <v>25</v>
      </c>
      <c r="AA712" s="1171"/>
      <c r="AB712" s="1171"/>
      <c r="AC712" s="1171"/>
      <c r="AD712" s="1171"/>
      <c r="AE712" s="1171"/>
      <c r="AF712" s="1171">
        <f>IF(T712&gt;Z712,Z712,T712)</f>
        <v>25</v>
      </c>
      <c r="AG712" s="1171"/>
      <c r="AH712" s="1171"/>
      <c r="AI712" s="1171"/>
      <c r="AJ712" s="1171"/>
      <c r="AK712" s="1171"/>
      <c r="AL712" s="672"/>
      <c r="AM712" s="20"/>
    </row>
    <row r="713" spans="1:43">
      <c r="A713" s="503"/>
      <c r="B713" s="522"/>
      <c r="C713" s="522"/>
      <c r="D713" s="259" t="s">
        <v>1003</v>
      </c>
      <c r="E713" s="1589" t="s">
        <v>2260</v>
      </c>
      <c r="F713" s="1589"/>
      <c r="G713" s="1589"/>
      <c r="H713" s="1589"/>
      <c r="I713" s="1589"/>
      <c r="J713" s="1589"/>
      <c r="K713" s="1589"/>
      <c r="L713" s="1589"/>
      <c r="M713" s="1589"/>
      <c r="N713" s="1589"/>
      <c r="O713" s="1589"/>
      <c r="P713" s="1589"/>
      <c r="Q713" s="1589"/>
      <c r="R713" s="1589"/>
      <c r="S713" s="1590"/>
      <c r="T713" s="1632">
        <f>AK293</f>
        <v>18</v>
      </c>
      <c r="U713" s="1632"/>
      <c r="V713" s="1632"/>
      <c r="W713" s="1632"/>
      <c r="X713" s="1632"/>
      <c r="Y713" s="1632"/>
      <c r="Z713" s="1188">
        <v>15</v>
      </c>
      <c r="AA713" s="1188"/>
      <c r="AB713" s="1188"/>
      <c r="AC713" s="1188"/>
      <c r="AD713" s="1188"/>
      <c r="AE713" s="1188"/>
      <c r="AF713" s="1714"/>
      <c r="AG713" s="1714"/>
      <c r="AH713" s="1714"/>
      <c r="AI713" s="1714"/>
      <c r="AJ713" s="1714"/>
      <c r="AK713" s="1714"/>
      <c r="AL713" s="672"/>
      <c r="AM713" s="20"/>
    </row>
    <row r="714" spans="1:43">
      <c r="A714" s="524"/>
      <c r="B714" s="74"/>
      <c r="C714" s="74"/>
      <c r="D714" s="525" t="s">
        <v>1014</v>
      </c>
      <c r="E714" s="1589" t="s">
        <v>2261</v>
      </c>
      <c r="F714" s="1589"/>
      <c r="G714" s="1589"/>
      <c r="H714" s="1589"/>
      <c r="I714" s="1589"/>
      <c r="J714" s="1589"/>
      <c r="K714" s="1589"/>
      <c r="L714" s="1589"/>
      <c r="M714" s="1589"/>
      <c r="N714" s="1589"/>
      <c r="O714" s="1589"/>
      <c r="P714" s="1589"/>
      <c r="Q714" s="1589"/>
      <c r="R714" s="1589"/>
      <c r="S714" s="1590"/>
      <c r="T714" s="1632">
        <f>AK484</f>
        <v>10</v>
      </c>
      <c r="U714" s="1632"/>
      <c r="V714" s="1632"/>
      <c r="W714" s="1632"/>
      <c r="X714" s="1632"/>
      <c r="Y714" s="1632"/>
      <c r="Z714" s="1188">
        <v>10</v>
      </c>
      <c r="AA714" s="1188"/>
      <c r="AB714" s="1188"/>
      <c r="AC714" s="1188"/>
      <c r="AD714" s="1188"/>
      <c r="AE714" s="1188"/>
      <c r="AF714" s="1714"/>
      <c r="AG714" s="1714"/>
      <c r="AH714" s="1714"/>
      <c r="AI714" s="1714"/>
      <c r="AJ714" s="1714"/>
      <c r="AK714" s="1714"/>
      <c r="AL714" s="672"/>
      <c r="AM714" s="20"/>
    </row>
    <row r="715" spans="1:43" hidden="1">
      <c r="A715" s="503" t="s">
        <v>930</v>
      </c>
      <c r="B715" s="1587" t="s">
        <v>2262</v>
      </c>
      <c r="C715" s="1587"/>
      <c r="D715" s="1587"/>
      <c r="E715" s="1587"/>
      <c r="F715" s="1587"/>
      <c r="G715" s="1587"/>
      <c r="H715" s="1587"/>
      <c r="I715" s="1587"/>
      <c r="J715" s="1587"/>
      <c r="K715" s="1587"/>
      <c r="L715" s="1587"/>
      <c r="M715" s="1587"/>
      <c r="N715" s="1587"/>
      <c r="O715" s="1587"/>
      <c r="P715" s="1587"/>
      <c r="Q715" s="1587"/>
      <c r="R715" s="1587"/>
      <c r="S715" s="1588"/>
      <c r="T715" s="1600"/>
      <c r="U715" s="1600"/>
      <c r="V715" s="1600"/>
      <c r="W715" s="1600"/>
      <c r="X715" s="1600"/>
      <c r="Y715" s="1600"/>
      <c r="Z715" s="1171"/>
      <c r="AA715" s="1171"/>
      <c r="AB715" s="1171"/>
      <c r="AC715" s="1171"/>
      <c r="AD715" s="1171"/>
      <c r="AE715" s="1171"/>
      <c r="AF715" s="1171"/>
      <c r="AG715" s="1171"/>
      <c r="AH715" s="1171"/>
      <c r="AI715" s="1171"/>
      <c r="AJ715" s="1171"/>
      <c r="AK715" s="1171"/>
      <c r="AL715" s="672"/>
      <c r="AM715" s="20"/>
    </row>
    <row r="716" spans="1:43">
      <c r="A716" s="503" t="s">
        <v>930</v>
      </c>
      <c r="B716" s="1587" t="s">
        <v>2263</v>
      </c>
      <c r="C716" s="1587"/>
      <c r="D716" s="1587"/>
      <c r="E716" s="1587"/>
      <c r="F716" s="1587"/>
      <c r="G716" s="1587"/>
      <c r="H716" s="1587"/>
      <c r="I716" s="1587"/>
      <c r="J716" s="1587"/>
      <c r="K716" s="1587"/>
      <c r="L716" s="1587"/>
      <c r="M716" s="1587"/>
      <c r="N716" s="1587"/>
      <c r="O716" s="1587"/>
      <c r="P716" s="1587"/>
      <c r="Q716" s="1587"/>
      <c r="R716" s="1587"/>
      <c r="S716" s="1588"/>
      <c r="T716" s="1700">
        <f>IF(SUM(T717:Y718)&gt;52,52,SUM(T717:Y718))</f>
        <v>52</v>
      </c>
      <c r="U716" s="1701"/>
      <c r="V716" s="1701"/>
      <c r="W716" s="1701"/>
      <c r="X716" s="1701"/>
      <c r="Y716" s="1701"/>
      <c r="Z716" s="1701">
        <v>52</v>
      </c>
      <c r="AA716" s="1701"/>
      <c r="AB716" s="1701"/>
      <c r="AC716" s="1701"/>
      <c r="AD716" s="1701"/>
      <c r="AE716" s="1701"/>
      <c r="AF716" s="1701">
        <f>$AO$708+$T$718</f>
        <v>52</v>
      </c>
      <c r="AG716" s="1701"/>
      <c r="AH716" s="1701"/>
      <c r="AI716" s="1701"/>
      <c r="AJ716" s="1701"/>
      <c r="AK716" s="1701"/>
      <c r="AL716" s="672"/>
      <c r="AM716" s="20"/>
    </row>
    <row r="717" spans="1:43">
      <c r="A717" s="526"/>
      <c r="B717" s="528"/>
      <c r="C717" s="528"/>
      <c r="D717" s="529" t="s">
        <v>2264</v>
      </c>
      <c r="E717" s="1589" t="s">
        <v>2265</v>
      </c>
      <c r="F717" s="1589"/>
      <c r="G717" s="1589"/>
      <c r="H717" s="1589"/>
      <c r="I717" s="1589"/>
      <c r="J717" s="1589"/>
      <c r="K717" s="1589"/>
      <c r="L717" s="1589"/>
      <c r="M717" s="1589"/>
      <c r="N717" s="1589"/>
      <c r="O717" s="1589"/>
      <c r="P717" s="1589"/>
      <c r="Q717" s="1589"/>
      <c r="R717" s="1589"/>
      <c r="S717" s="1590"/>
      <c r="T717" s="1601">
        <f>AC602</f>
        <v>50</v>
      </c>
      <c r="U717" s="1602"/>
      <c r="V717" s="1602"/>
      <c r="W717" s="1602"/>
      <c r="X717" s="1602"/>
      <c r="Y717" s="1603"/>
      <c r="Z717" s="1601">
        <v>50</v>
      </c>
      <c r="AA717" s="1602"/>
      <c r="AB717" s="1602"/>
      <c r="AC717" s="1602"/>
      <c r="AD717" s="1602"/>
      <c r="AE717" s="1603"/>
      <c r="AF717" s="1709"/>
      <c r="AG717" s="1710"/>
      <c r="AH717" s="1710"/>
      <c r="AI717" s="1710"/>
      <c r="AJ717" s="1710"/>
      <c r="AK717" s="1711"/>
      <c r="AL717" s="672"/>
      <c r="AM717" s="4"/>
    </row>
    <row r="718" spans="1:43">
      <c r="A718" s="530"/>
      <c r="B718" s="522"/>
      <c r="C718" s="522"/>
      <c r="D718" s="259" t="s">
        <v>2266</v>
      </c>
      <c r="E718" s="1589" t="s">
        <v>2267</v>
      </c>
      <c r="F718" s="1589"/>
      <c r="G718" s="1589"/>
      <c r="H718" s="1589"/>
      <c r="I718" s="1589"/>
      <c r="J718" s="1589"/>
      <c r="K718" s="1589"/>
      <c r="L718" s="1589"/>
      <c r="M718" s="1589"/>
      <c r="N718" s="1589"/>
      <c r="O718" s="1589"/>
      <c r="P718" s="1589"/>
      <c r="Q718" s="1589"/>
      <c r="R718" s="1589"/>
      <c r="S718" s="1590"/>
      <c r="T718" s="1242">
        <f>IF(AJ627&gt;0,2,0)</f>
        <v>2</v>
      </c>
      <c r="U718" s="1243"/>
      <c r="V718" s="1243"/>
      <c r="W718" s="1243"/>
      <c r="X718" s="1243"/>
      <c r="Y718" s="1244"/>
      <c r="Z718" s="1034">
        <v>2</v>
      </c>
      <c r="AA718" s="1035"/>
      <c r="AB718" s="1035"/>
      <c r="AC718" s="1035"/>
      <c r="AD718" s="1035"/>
      <c r="AE718" s="1037"/>
      <c r="AF718" s="1729"/>
      <c r="AG718" s="1730"/>
      <c r="AH718" s="1730"/>
      <c r="AI718" s="1730"/>
      <c r="AJ718" s="1730"/>
      <c r="AK718" s="1731"/>
      <c r="AL718" s="672"/>
      <c r="AM718" s="4"/>
    </row>
    <row r="719" spans="1:43">
      <c r="A719" s="526" t="s">
        <v>942</v>
      </c>
      <c r="B719" s="1587" t="s">
        <v>2268</v>
      </c>
      <c r="C719" s="1587"/>
      <c r="D719" s="1587"/>
      <c r="E719" s="1587"/>
      <c r="F719" s="1587"/>
      <c r="G719" s="1587"/>
      <c r="H719" s="1587"/>
      <c r="I719" s="1587"/>
      <c r="J719" s="1587"/>
      <c r="K719" s="1587"/>
      <c r="L719" s="1587"/>
      <c r="M719" s="1587"/>
      <c r="N719" s="1587"/>
      <c r="O719" s="1587"/>
      <c r="P719" s="1587"/>
      <c r="Q719" s="1587"/>
      <c r="R719" s="1587"/>
      <c r="S719" s="1588"/>
      <c r="T719" s="1600">
        <f>AK655</f>
        <v>10</v>
      </c>
      <c r="U719" s="1600"/>
      <c r="V719" s="1600"/>
      <c r="W719" s="1600"/>
      <c r="X719" s="1600"/>
      <c r="Y719" s="1600"/>
      <c r="Z719" s="1171">
        <v>10</v>
      </c>
      <c r="AA719" s="1171"/>
      <c r="AB719" s="1171"/>
      <c r="AC719" s="1171"/>
      <c r="AD719" s="1171"/>
      <c r="AE719" s="1171"/>
      <c r="AF719" s="1107">
        <f>IF(T719&gt;Z719,Z719,T719)</f>
        <v>10</v>
      </c>
      <c r="AG719" s="1093"/>
      <c r="AH719" s="1093"/>
      <c r="AI719" s="1093"/>
      <c r="AJ719" s="1093"/>
      <c r="AK719" s="1094"/>
      <c r="AL719" s="672"/>
      <c r="AM719" s="20"/>
    </row>
    <row r="720" spans="1:43">
      <c r="A720" s="526" t="s">
        <v>951</v>
      </c>
      <c r="B720" s="1587" t="s">
        <v>2269</v>
      </c>
      <c r="C720" s="1587"/>
      <c r="D720" s="1587"/>
      <c r="E720" s="1587"/>
      <c r="F720" s="1587"/>
      <c r="G720" s="1587"/>
      <c r="H720" s="1587"/>
      <c r="I720" s="1587"/>
      <c r="J720" s="1587"/>
      <c r="K720" s="1587"/>
      <c r="L720" s="1587"/>
      <c r="M720" s="1587"/>
      <c r="N720" s="1587"/>
      <c r="O720" s="1587"/>
      <c r="P720" s="1587"/>
      <c r="Q720" s="1587"/>
      <c r="R720" s="1587"/>
      <c r="S720" s="1588"/>
      <c r="T720" s="1702">
        <f>IF(AK698&gt;2,2,AK698)</f>
        <v>2</v>
      </c>
      <c r="U720" s="1703"/>
      <c r="V720" s="1703"/>
      <c r="W720" s="1703"/>
      <c r="X720" s="1703"/>
      <c r="Y720" s="1704"/>
      <c r="Z720" s="1107">
        <v>2</v>
      </c>
      <c r="AA720" s="1093"/>
      <c r="AB720" s="1093"/>
      <c r="AC720" s="1093"/>
      <c r="AD720" s="1093"/>
      <c r="AE720" s="1094"/>
      <c r="AF720" s="1107">
        <f>IF(T720&gt;Z720,Z720,T720)</f>
        <v>2</v>
      </c>
      <c r="AG720" s="1911"/>
      <c r="AH720" s="1911"/>
      <c r="AI720" s="1911"/>
      <c r="AJ720" s="1911"/>
      <c r="AK720" s="1912"/>
      <c r="AL720" s="3"/>
      <c r="AM720" s="20"/>
    </row>
    <row r="721" spans="1:39">
      <c r="A721" s="1586" t="s">
        <v>2270</v>
      </c>
      <c r="B721" s="1587"/>
      <c r="C721" s="1587"/>
      <c r="D721" s="1587"/>
      <c r="E721" s="1587"/>
      <c r="F721" s="1587"/>
      <c r="G721" s="1587"/>
      <c r="H721" s="1587"/>
      <c r="I721" s="1587"/>
      <c r="J721" s="1587"/>
      <c r="K721" s="1587"/>
      <c r="L721" s="1587"/>
      <c r="M721" s="1587"/>
      <c r="N721" s="1587"/>
      <c r="O721" s="1587"/>
      <c r="P721" s="1587"/>
      <c r="Q721" s="1587"/>
      <c r="R721" s="1587"/>
      <c r="S721" s="1588"/>
      <c r="T721" s="1421"/>
      <c r="U721" s="1421"/>
      <c r="V721" s="1421"/>
      <c r="W721" s="1421"/>
      <c r="X721" s="1421"/>
      <c r="Y721" s="1421"/>
      <c r="Z721" s="1188" t="s">
        <v>2271</v>
      </c>
      <c r="AA721" s="1188"/>
      <c r="AB721" s="1188"/>
      <c r="AC721" s="1188"/>
      <c r="AD721" s="1188"/>
      <c r="AE721" s="1188"/>
      <c r="AF721" s="1107">
        <f>IF(T721&gt;0,T721,0)</f>
        <v>0</v>
      </c>
      <c r="AG721" s="1093"/>
      <c r="AH721" s="1093"/>
      <c r="AI721" s="1093"/>
      <c r="AJ721" s="1093"/>
      <c r="AK721" s="1094"/>
      <c r="AL721" s="18"/>
      <c r="AM721" s="20"/>
    </row>
    <row r="722" spans="1:39" ht="15.75">
      <c r="A722" s="1617" t="s">
        <v>2272</v>
      </c>
      <c r="B722" s="1618"/>
      <c r="C722" s="1618"/>
      <c r="D722" s="1618"/>
      <c r="E722" s="1618"/>
      <c r="F722" s="1618"/>
      <c r="G722" s="1618"/>
      <c r="H722" s="1618"/>
      <c r="I722" s="1618"/>
      <c r="J722" s="1618"/>
      <c r="K722" s="1618"/>
      <c r="L722" s="1618"/>
      <c r="M722" s="1618"/>
      <c r="N722" s="1618"/>
      <c r="O722" s="1618"/>
      <c r="P722" s="1618"/>
      <c r="Q722" s="1618"/>
      <c r="R722" s="1618"/>
      <c r="S722" s="1618"/>
      <c r="T722" s="1618"/>
      <c r="U722" s="1618"/>
      <c r="V722" s="1618"/>
      <c r="W722" s="1618"/>
      <c r="X722" s="1618"/>
      <c r="Y722" s="1618"/>
      <c r="Z722" s="1618"/>
      <c r="AA722" s="1618"/>
      <c r="AB722" s="1618"/>
      <c r="AC722" s="1618"/>
      <c r="AD722" s="1618"/>
      <c r="AE722" s="1619"/>
      <c r="AF722" s="1721">
        <f>SUM(AF708:AK720)-AF721</f>
        <v>109</v>
      </c>
      <c r="AG722" s="1722"/>
      <c r="AH722" s="1722"/>
      <c r="AI722" s="1722"/>
      <c r="AJ722" s="1722"/>
      <c r="AK722" s="1723"/>
      <c r="AL722" s="673"/>
      <c r="AM722" s="4"/>
    </row>
    <row r="723" spans="1:39" ht="12.6" customHeight="1">
      <c r="A723" s="1620"/>
      <c r="B723" s="1621"/>
      <c r="C723" s="1621"/>
      <c r="D723" s="1621"/>
      <c r="E723" s="1621"/>
      <c r="F723" s="1621"/>
      <c r="G723" s="1621"/>
      <c r="H723" s="1621"/>
      <c r="I723" s="1621"/>
      <c r="J723" s="1621"/>
      <c r="K723" s="1621"/>
      <c r="L723" s="1621"/>
      <c r="M723" s="1621"/>
      <c r="N723" s="1621"/>
      <c r="O723" s="1621"/>
      <c r="P723" s="1621"/>
      <c r="Q723" s="1621"/>
      <c r="R723" s="1621"/>
      <c r="S723" s="1621"/>
      <c r="T723" s="1621"/>
      <c r="U723" s="1621"/>
      <c r="V723" s="1621"/>
      <c r="W723" s="1621"/>
      <c r="X723" s="1621"/>
      <c r="Y723" s="1621"/>
      <c r="Z723" s="1621"/>
      <c r="AA723" s="1621"/>
      <c r="AB723" s="1621"/>
      <c r="AC723" s="1621"/>
      <c r="AD723" s="1621"/>
      <c r="AE723" s="1622"/>
      <c r="AF723" s="1724"/>
      <c r="AG723" s="1725"/>
      <c r="AH723" s="1725"/>
      <c r="AI723" s="1725"/>
      <c r="AJ723" s="1725"/>
      <c r="AK723" s="1726"/>
      <c r="AL723" s="673"/>
      <c r="AM723" s="4"/>
    </row>
    <row r="724" spans="1:39" ht="56.25" customHeight="1">
      <c r="A724" s="942" t="s">
        <v>2273</v>
      </c>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c r="AA724" s="942"/>
      <c r="AB724" s="942"/>
      <c r="AC724" s="942"/>
      <c r="AD724" s="942"/>
      <c r="AE724" s="942"/>
      <c r="AF724" s="942"/>
      <c r="AG724" s="942"/>
      <c r="AH724" s="942"/>
      <c r="AI724" s="942"/>
      <c r="AJ724" s="942"/>
      <c r="AK724" s="942"/>
      <c r="AL724" s="942"/>
      <c r="AM724" s="1607"/>
    </row>
    <row r="725" spans="1:39" ht="12.6"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c r="AA725" s="942"/>
      <c r="AB725" s="942"/>
      <c r="AC725" s="942"/>
      <c r="AD725" s="942"/>
      <c r="AE725" s="942"/>
      <c r="AF725" s="942"/>
      <c r="AG725" s="942"/>
      <c r="AH725" s="942"/>
      <c r="AI725" s="942"/>
      <c r="AJ725" s="942"/>
      <c r="AK725" s="942"/>
      <c r="AL725" s="942"/>
      <c r="AM725" s="1607"/>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6"/>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6"/>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6"/>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809" t="s">
        <v>2274</v>
      </c>
      <c r="B1" s="1809"/>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1809"/>
      <c r="AO1" s="1809"/>
      <c r="AP1" s="1809"/>
      <c r="AQ1" s="1809"/>
    </row>
    <row r="2" spans="1:57" ht="15" customHeight="1">
      <c r="A2" s="1809"/>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row>
    <row r="3" spans="1:57">
      <c r="A3" s="786"/>
      <c r="B3" s="786"/>
      <c r="I3" s="787"/>
      <c r="K3" s="788"/>
    </row>
    <row r="4" spans="1:57" ht="14.25" customHeight="1">
      <c r="A4" s="1808" t="s">
        <v>2275</v>
      </c>
      <c r="B4" s="1808"/>
      <c r="C4" s="1808"/>
      <c r="D4" s="1808"/>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8"/>
      <c r="AN4" s="1808"/>
      <c r="AO4" s="1808"/>
      <c r="AP4" s="1808"/>
      <c r="AQ4" s="1808"/>
    </row>
    <row r="5" spans="1:57">
      <c r="A5" s="786"/>
      <c r="B5" s="786"/>
      <c r="I5" s="787"/>
      <c r="K5" s="788"/>
    </row>
    <row r="6" spans="1:57">
      <c r="A6" s="786"/>
      <c r="B6" s="786"/>
      <c r="D6" s="784" t="s">
        <v>2276</v>
      </c>
      <c r="I6" s="787"/>
      <c r="K6" s="788"/>
      <c r="U6" s="1807"/>
      <c r="V6" s="1807"/>
      <c r="W6" s="1807"/>
      <c r="BC6" s="784" t="s">
        <v>2277</v>
      </c>
    </row>
    <row r="7" spans="1:57">
      <c r="A7" s="786"/>
      <c r="B7" s="786"/>
      <c r="D7" s="414" t="s">
        <v>2278</v>
      </c>
      <c r="I7" s="787"/>
      <c r="K7" s="788"/>
      <c r="BC7" s="784" t="s">
        <v>2279</v>
      </c>
    </row>
    <row r="8" spans="1:57">
      <c r="A8" s="786"/>
      <c r="B8" s="786"/>
      <c r="D8" s="414"/>
      <c r="E8" s="784" t="s">
        <v>2280</v>
      </c>
      <c r="BC8" s="784" t="s">
        <v>2281</v>
      </c>
    </row>
    <row r="9" spans="1:57">
      <c r="A9" s="786"/>
      <c r="B9" s="786"/>
      <c r="E9" s="784" t="s">
        <v>2282</v>
      </c>
      <c r="I9" s="787"/>
      <c r="K9" s="788"/>
      <c r="P9" s="1815"/>
      <c r="Q9" s="1815"/>
      <c r="R9" s="1815"/>
      <c r="S9" s="1815"/>
      <c r="T9" s="1815"/>
    </row>
    <row r="10" spans="1:57">
      <c r="A10" s="786"/>
      <c r="B10" s="786"/>
      <c r="I10" s="787"/>
      <c r="K10" s="788"/>
    </row>
    <row r="11" spans="1:57">
      <c r="A11" s="1808" t="s">
        <v>2283</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BC11" s="784" t="s">
        <v>765</v>
      </c>
    </row>
    <row r="12" spans="1:57">
      <c r="A12" s="786"/>
      <c r="B12" s="786"/>
      <c r="I12" s="787"/>
      <c r="K12" s="788"/>
      <c r="BC12" s="784" t="s">
        <v>708</v>
      </c>
    </row>
    <row r="13" spans="1:57">
      <c r="A13" s="786"/>
      <c r="B13" s="786"/>
      <c r="D13" s="784" t="s">
        <v>2284</v>
      </c>
      <c r="I13" s="787"/>
      <c r="K13" s="788"/>
      <c r="T13" s="1807"/>
      <c r="U13" s="1807"/>
      <c r="V13" s="1807"/>
    </row>
    <row r="14" spans="1:57">
      <c r="A14" s="786"/>
      <c r="B14" s="786"/>
      <c r="E14" s="784" t="s">
        <v>2285</v>
      </c>
      <c r="I14" s="787"/>
      <c r="K14" s="788"/>
      <c r="N14" s="1813"/>
      <c r="O14" s="1813"/>
      <c r="P14" s="1813"/>
      <c r="Q14" s="1813"/>
      <c r="R14" s="1813"/>
      <c r="S14" s="1813"/>
      <c r="T14" s="1813"/>
      <c r="U14" s="1813"/>
      <c r="V14" s="1813"/>
      <c r="W14" s="1813"/>
      <c r="X14" s="1813"/>
      <c r="Y14" s="1813"/>
      <c r="Z14" s="1813"/>
      <c r="AA14" s="1813"/>
      <c r="AB14" s="1813"/>
      <c r="AC14" s="1813"/>
      <c r="AD14" s="1813"/>
      <c r="AE14" s="1813"/>
    </row>
    <row r="15" spans="1:57">
      <c r="A15" s="786"/>
      <c r="B15" s="786"/>
      <c r="E15" s="784" t="s">
        <v>2286</v>
      </c>
      <c r="I15" s="787"/>
      <c r="K15" s="788"/>
      <c r="N15" s="805"/>
      <c r="O15" s="805"/>
      <c r="P15" s="805"/>
      <c r="Q15" s="805"/>
      <c r="R15" s="805"/>
      <c r="S15" s="805"/>
      <c r="T15" s="805"/>
      <c r="U15" s="805"/>
      <c r="V15" s="805"/>
      <c r="W15" s="805"/>
      <c r="X15" s="805"/>
      <c r="Y15" s="805"/>
      <c r="Z15" s="805"/>
      <c r="AA15" s="805"/>
      <c r="AB15" s="805"/>
      <c r="AC15" s="805"/>
      <c r="AD15" s="805"/>
      <c r="AE15" s="805"/>
      <c r="BC15" s="784" t="s">
        <v>2287</v>
      </c>
      <c r="BE15" s="784">
        <f>'Basis &amp; Credits'!AB55</f>
        <v>1696412</v>
      </c>
    </row>
    <row r="16" spans="1:57">
      <c r="A16" s="786"/>
      <c r="B16" s="786"/>
      <c r="BC16" s="784" t="s">
        <v>2288</v>
      </c>
      <c r="BE16" s="784">
        <f>'Basis &amp; Credits'!T11+'Basis &amp; Credits'!AD11</f>
        <v>19273054</v>
      </c>
    </row>
    <row r="17" spans="1:43">
      <c r="A17" s="786"/>
      <c r="B17" s="786"/>
      <c r="D17" s="784" t="s">
        <v>2289</v>
      </c>
      <c r="I17" s="787"/>
      <c r="K17" s="788"/>
      <c r="U17" s="1814" t="str">
        <f>IF(T13="yes",(BE15/BE16)," ")</f>
        <v xml:space="preserve"> </v>
      </c>
      <c r="V17" s="1814"/>
      <c r="W17" s="1814"/>
      <c r="X17" s="1814"/>
      <c r="Y17" s="1814"/>
    </row>
    <row r="18" spans="1:43">
      <c r="A18" s="786"/>
      <c r="B18" s="786"/>
      <c r="I18" s="787"/>
      <c r="K18" s="788"/>
    </row>
    <row r="19" spans="1:43">
      <c r="A19" s="1808" t="s">
        <v>2290</v>
      </c>
      <c r="B19" s="1808"/>
      <c r="C19" s="1808"/>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1808"/>
      <c r="AF19" s="1808"/>
      <c r="AG19" s="1808"/>
      <c r="AH19" s="1808"/>
      <c r="AI19" s="1808"/>
      <c r="AJ19" s="1808"/>
      <c r="AK19" s="1808"/>
      <c r="AL19" s="1808"/>
      <c r="AM19" s="1808"/>
      <c r="AN19" s="1808"/>
      <c r="AO19" s="1808"/>
      <c r="AP19" s="1808"/>
      <c r="AQ19" s="1808"/>
    </row>
    <row r="20" spans="1:43">
      <c r="C20" s="786"/>
      <c r="D20" s="786"/>
      <c r="K20" s="787"/>
      <c r="M20" s="788"/>
    </row>
    <row r="21" spans="1:43">
      <c r="C21" s="786"/>
      <c r="D21" s="786"/>
      <c r="K21" s="787"/>
      <c r="M21" s="788"/>
    </row>
    <row r="22" spans="1:43">
      <c r="C22" s="789" t="s">
        <v>2030</v>
      </c>
      <c r="D22" s="789"/>
      <c r="E22" s="784" t="s">
        <v>2291</v>
      </c>
      <c r="H22" s="790"/>
      <c r="K22" s="784"/>
      <c r="Q22" s="1816">
        <f>ROUND('Basis &amp; Credits'!AB55,0)</f>
        <v>1696412</v>
      </c>
      <c r="R22" s="1816"/>
      <c r="S22" s="1816"/>
      <c r="T22" s="1816"/>
      <c r="U22" s="1816"/>
      <c r="V22" s="1816"/>
      <c r="W22" s="1816"/>
      <c r="X22" s="1816"/>
      <c r="Y22" s="804"/>
    </row>
    <row r="23" spans="1:43">
      <c r="C23" s="786"/>
      <c r="D23" s="786"/>
      <c r="G23" s="791"/>
      <c r="H23" s="791"/>
      <c r="I23" s="792"/>
      <c r="J23" s="792"/>
      <c r="K23" s="791"/>
      <c r="M23" s="785"/>
    </row>
    <row r="24" spans="1:43">
      <c r="C24" s="793"/>
      <c r="D24" s="793"/>
      <c r="E24" s="794"/>
      <c r="J24" s="792"/>
      <c r="K24" s="784"/>
      <c r="L24" s="1819" t="s">
        <v>2292</v>
      </c>
      <c r="M24" s="1819"/>
      <c r="N24" s="1819"/>
      <c r="P24" s="1804" t="s">
        <v>2293</v>
      </c>
      <c r="Q24" s="1804"/>
      <c r="R24" s="1804"/>
      <c r="S24" s="1804"/>
      <c r="T24" s="1804"/>
      <c r="V24" s="1804" t="s">
        <v>2294</v>
      </c>
      <c r="W24" s="1804"/>
      <c r="X24" s="1804"/>
    </row>
    <row r="25" spans="1:43">
      <c r="C25" s="789" t="s">
        <v>2034</v>
      </c>
      <c r="D25" s="789"/>
      <c r="E25" s="784" t="s">
        <v>2295</v>
      </c>
      <c r="J25" s="792"/>
      <c r="L25" s="1805" t="s">
        <v>2296</v>
      </c>
      <c r="M25" s="1805"/>
      <c r="N25" s="1805"/>
      <c r="P25" s="1805" t="s">
        <v>2297</v>
      </c>
      <c r="Q25" s="1805"/>
      <c r="R25" s="1805"/>
      <c r="S25" s="1805"/>
      <c r="T25" s="1805"/>
      <c r="V25" s="1805" t="s">
        <v>2296</v>
      </c>
      <c r="W25" s="1805"/>
      <c r="X25" s="1805"/>
    </row>
    <row r="26" spans="1:43">
      <c r="C26" s="786"/>
      <c r="D26" s="786"/>
      <c r="E26" s="795" t="s">
        <v>2298</v>
      </c>
      <c r="F26" s="795"/>
      <c r="J26" s="796"/>
      <c r="L26" s="1817">
        <f>Application!BN634</f>
        <v>57</v>
      </c>
      <c r="M26" s="1817"/>
      <c r="N26" s="1817"/>
      <c r="P26" s="1806">
        <v>0.9</v>
      </c>
      <c r="Q26" s="1806"/>
      <c r="R26" s="1806"/>
      <c r="S26" s="1806"/>
      <c r="T26" s="1806"/>
      <c r="V26" s="1806">
        <f>L26*P26</f>
        <v>51.300000000000004</v>
      </c>
      <c r="W26" s="1806"/>
      <c r="X26" s="1806"/>
    </row>
    <row r="27" spans="1:43">
      <c r="C27" s="786"/>
      <c r="D27" s="786"/>
      <c r="E27" s="784" t="s">
        <v>2299</v>
      </c>
      <c r="J27" s="796"/>
      <c r="L27" s="1797">
        <f>Application!BS634</f>
        <v>0</v>
      </c>
      <c r="M27" s="1797">
        <f>Application!BS642+Application!BS651+Application!CX665</f>
        <v>0</v>
      </c>
      <c r="N27" s="1797"/>
      <c r="P27" s="1802">
        <v>1</v>
      </c>
      <c r="Q27" s="1802"/>
      <c r="R27" s="1802"/>
      <c r="S27" s="1802"/>
      <c r="T27" s="1802"/>
      <c r="V27" s="1802">
        <f>L27*P27</f>
        <v>0</v>
      </c>
      <c r="W27" s="1802"/>
      <c r="X27" s="1802"/>
    </row>
    <row r="28" spans="1:43">
      <c r="C28" s="786"/>
      <c r="D28" s="786"/>
      <c r="E28" s="784" t="s">
        <v>2300</v>
      </c>
      <c r="J28" s="796"/>
      <c r="L28" s="1797">
        <f>Application!BX634</f>
        <v>0</v>
      </c>
      <c r="M28" s="1797">
        <f>Application!BX642+Application!BX651+Application!DC665</f>
        <v>0</v>
      </c>
      <c r="N28" s="1797"/>
      <c r="P28" s="1802">
        <v>1.25</v>
      </c>
      <c r="Q28" s="1802"/>
      <c r="R28" s="1802"/>
      <c r="S28" s="1802"/>
      <c r="T28" s="1802"/>
      <c r="V28" s="1802">
        <f>L28*P28</f>
        <v>0</v>
      </c>
      <c r="W28" s="1802"/>
      <c r="X28" s="1802"/>
    </row>
    <row r="29" spans="1:43">
      <c r="C29" s="786"/>
      <c r="D29" s="786"/>
      <c r="E29" s="784" t="s">
        <v>2301</v>
      </c>
      <c r="J29" s="796"/>
      <c r="L29" s="1797">
        <f>Application!CC634</f>
        <v>0</v>
      </c>
      <c r="M29" s="1797">
        <f>Application!CC642+Application!CC651+Application!DH665</f>
        <v>0</v>
      </c>
      <c r="N29" s="1797"/>
      <c r="P29" s="1802">
        <v>1.5</v>
      </c>
      <c r="Q29" s="1802"/>
      <c r="R29" s="1802"/>
      <c r="S29" s="1802"/>
      <c r="T29" s="1802"/>
      <c r="V29" s="1802">
        <f>L29*P29</f>
        <v>0</v>
      </c>
      <c r="W29" s="1802"/>
      <c r="X29" s="1802"/>
    </row>
    <row r="30" spans="1:43">
      <c r="C30" s="786"/>
      <c r="D30" s="786"/>
      <c r="E30" s="784" t="s">
        <v>2302</v>
      </c>
      <c r="J30" s="796"/>
      <c r="L30" s="1798">
        <f>Application!CH634+Application!CM634</f>
        <v>0</v>
      </c>
      <c r="M30" s="1798"/>
      <c r="N30" s="1798"/>
      <c r="P30" s="1802">
        <v>1.75</v>
      </c>
      <c r="Q30" s="1802"/>
      <c r="R30" s="1802">
        <f>1.75+0.25*0</f>
        <v>1.75</v>
      </c>
      <c r="S30" s="1802"/>
      <c r="T30" s="1802"/>
      <c r="V30" s="1803">
        <f>L30*P30</f>
        <v>0</v>
      </c>
      <c r="W30" s="1803"/>
      <c r="X30" s="1803"/>
    </row>
    <row r="31" spans="1:43">
      <c r="C31" s="786"/>
      <c r="D31" s="786"/>
      <c r="L31" s="1817">
        <f>SUM(L26:N30)</f>
        <v>57</v>
      </c>
      <c r="M31" s="1818"/>
      <c r="N31" s="1818"/>
      <c r="V31" s="1806">
        <f>SUM(V26:X30)</f>
        <v>51.300000000000004</v>
      </c>
      <c r="W31" s="1806"/>
      <c r="X31" s="1806"/>
    </row>
    <row r="32" spans="1:43">
      <c r="C32" s="786"/>
      <c r="D32" s="786"/>
      <c r="K32" s="797"/>
    </row>
    <row r="33" spans="1:27">
      <c r="C33" s="789" t="s">
        <v>2037</v>
      </c>
      <c r="D33" s="789"/>
      <c r="E33" s="786" t="s">
        <v>2303</v>
      </c>
      <c r="H33" s="798"/>
      <c r="I33" s="799"/>
      <c r="J33" s="800"/>
      <c r="K33" s="797"/>
      <c r="M33" s="785"/>
      <c r="V33" s="1799">
        <f>IF(V31&gt;0,V31/Q22," ")</f>
        <v>3.0240295399938226E-5</v>
      </c>
      <c r="W33" s="1800"/>
      <c r="X33" s="1800"/>
      <c r="Y33" s="1800"/>
      <c r="Z33" s="1800"/>
      <c r="AA33" s="1801"/>
    </row>
    <row r="34" spans="1:27">
      <c r="K34" s="784"/>
      <c r="M34" s="785"/>
    </row>
    <row r="35" spans="1:27">
      <c r="E35" s="786" t="s">
        <v>2304</v>
      </c>
      <c r="F35" s="786"/>
      <c r="G35" s="786"/>
      <c r="H35" s="786"/>
      <c r="I35" s="786"/>
      <c r="J35" s="786"/>
      <c r="K35" s="786"/>
      <c r="L35" s="786"/>
      <c r="M35" s="806"/>
      <c r="N35" s="786"/>
      <c r="O35" s="786"/>
      <c r="P35" s="786"/>
      <c r="Q35" s="786"/>
      <c r="R35" s="786"/>
      <c r="V35" s="1810">
        <f>IF(V31&gt;0,1/V33," ")</f>
        <v>33068.460038986348</v>
      </c>
      <c r="W35" s="1811"/>
      <c r="X35" s="1811"/>
      <c r="Y35" s="1811"/>
      <c r="Z35" s="1811"/>
      <c r="AA35" s="1812"/>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C9298840F29C428B02A7681434D219" ma:contentTypeVersion="16" ma:contentTypeDescription="Create a new document." ma:contentTypeScope="" ma:versionID="e4f026343c8fb9a0596b2d7dfb2517d5">
  <xsd:schema xmlns:xsd="http://www.w3.org/2001/XMLSchema" xmlns:xs="http://www.w3.org/2001/XMLSchema" xmlns:p="http://schemas.microsoft.com/office/2006/metadata/properties" xmlns:ns1="http://schemas.microsoft.com/sharepoint/v3" xmlns:ns2="105873da-c5a1-42d2-9c91-295491cec618" xmlns:ns3="bf647800-76dc-49bb-acdf-f5e5f0b0146f" targetNamespace="http://schemas.microsoft.com/office/2006/metadata/properties" ma:root="true" ma:fieldsID="2966e1a0f00c8fb3459249981968fbf0" ns1:_="" ns2:_="" ns3:_="">
    <xsd:import namespace="http://schemas.microsoft.com/sharepoint/v3"/>
    <xsd:import namespace="105873da-c5a1-42d2-9c91-295491cec618"/>
    <xsd:import namespace="bf647800-76dc-49bb-acdf-f5e5f0b014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5873da-c5a1-42d2-9c91-295491cec6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e3e2d63-39f6-47d4-80a9-221c4d753a9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f647800-76dc-49bb-acdf-f5e5f0b014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f394cf9-d7e5-400a-a8b0-4a5d766a2699}" ma:internalName="TaxCatchAll" ma:showField="CatchAllData" ma:web="bf647800-76dc-49bb-acdf-f5e5f0b014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f647800-76dc-49bb-acdf-f5e5f0b0146f" xsi:nil="true"/>
    <lcf76f155ced4ddcb4097134ff3c332f xmlns="105873da-c5a1-42d2-9c91-295491cec618">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1B3B06-F88E-46D0-AC87-ECB33BC15441}"/>
</file>

<file path=customXml/itemProps2.xml><?xml version="1.0" encoding="utf-8"?>
<ds:datastoreItem xmlns:ds="http://schemas.openxmlformats.org/officeDocument/2006/customXml" ds:itemID="{5DEB4021-2E0B-4904-B0F3-44BBF285E31A}"/>
</file>

<file path=customXml/itemProps3.xml><?xml version="1.0" encoding="utf-8"?>
<ds:datastoreItem xmlns:ds="http://schemas.openxmlformats.org/officeDocument/2006/customXml" ds:itemID="{EF547E92-2F40-40B8-B702-83AA1D7F6BEA}"/>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Ruchi Bindal</cp:lastModifiedBy>
  <cp:revision/>
  <dcterms:created xsi:type="dcterms:W3CDTF">2007-12-27T18:26:28Z</dcterms:created>
  <dcterms:modified xsi:type="dcterms:W3CDTF">2026-04-07T16:41:03Z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0x01010034C9298840F29C428B02A7681434D219</vt:lpwstr>
  </property>
  <property fmtid="{D5CDD505-2E9C-101B-9397-08002B2CF9AE}" pid="3" name="MediaServiceImageTags">
    <vt:lpwstr/>
  </property>
</Properties>
</file>