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4.7 - CA 9% 1st Round 2026/Santa Cruz Pacific/"/>
    </mc:Choice>
  </mc:AlternateContent>
  <xr:revisionPtr revIDLastSave="450" documentId="8_{BCA66A3A-8829-4A1B-AAA3-1D094D85F560}" xr6:coauthVersionLast="47" xr6:coauthVersionMax="47" xr10:uidLastSave="{151453CD-3D87-4A87-B06E-CBB29545276B}"/>
  <bookViews>
    <workbookView xWindow="-120" yWindow="-120" windowWidth="51840" windowHeight="21120" firstSheet="6" activeTab="6" xr2:uid="{00000000-000D-0000-FFFF-FFFF00000000}"/>
  </bookViews>
  <sheets>
    <sheet name="Instructions-App Completion" sheetId="1" r:id="rId1"/>
    <sheet name="Instructions-Electronic Submit" sheetId="2" r:id="rId2"/>
    <sheet name="Checklist Items" sheetId="3" r:id="rId3"/>
    <sheet name="Application" sheetId="4" r:id="rId4"/>
    <sheet name="Sources and Uses Budget" sheetId="5" r:id="rId5"/>
    <sheet name="Basis &amp; Credits" sheetId="6" r:id="rId6"/>
    <sheet name="Sources and Basis Breakdown" sheetId="7" r:id="rId7"/>
    <sheet name="Points System" sheetId="8" r:id="rId8"/>
    <sheet name="Disaster Credit Tie Breaker" sheetId="9" state="hidden" r:id="rId9"/>
    <sheet name="Tie Breaker" sheetId="10" r:id="rId10"/>
    <sheet name="Subsidy Contract Calculation" sheetId="11" r:id="rId11"/>
    <sheet name="15 Year Pro Forma" sheetId="12" r:id="rId12"/>
    <sheet name="Applicant Notes" sheetId="13" r:id="rId13"/>
    <sheet name="Post-award Instructions" sheetId="14" r:id="rId14"/>
    <sheet name="SCE Basis and Credits" sheetId="15" r:id="rId15"/>
    <sheet name="FCE Basis and Credits" sheetId="16" r:id="rId16"/>
    <sheet name="Post-award Project Cost Changes" sheetId="17" r:id="rId17"/>
  </sheets>
  <definedNames>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5" i="17" l="1"/>
  <c r="C105" i="17"/>
  <c r="E105" i="17" s="1"/>
  <c r="B105" i="17"/>
  <c r="D104" i="17"/>
  <c r="C104" i="17"/>
  <c r="E104" i="17" s="1"/>
  <c r="B104" i="17"/>
  <c r="D103" i="17"/>
  <c r="C103" i="17"/>
  <c r="E103" i="17" s="1"/>
  <c r="B103" i="17"/>
  <c r="D102" i="17"/>
  <c r="C102" i="17"/>
  <c r="E102" i="17" s="1"/>
  <c r="B102" i="17"/>
  <c r="D101" i="17"/>
  <c r="C101" i="17"/>
  <c r="E101" i="17" s="1"/>
  <c r="B101" i="17"/>
  <c r="D100" i="17"/>
  <c r="C100" i="17"/>
  <c r="E100" i="17" s="1"/>
  <c r="B100" i="17"/>
  <c r="D99" i="17"/>
  <c r="C99" i="17"/>
  <c r="E99" i="17" s="1"/>
  <c r="B99" i="17"/>
  <c r="D97" i="17"/>
  <c r="C97" i="17"/>
  <c r="E97" i="17" s="1"/>
  <c r="B97" i="17"/>
  <c r="D96" i="17"/>
  <c r="C96" i="17"/>
  <c r="E96" i="17" s="1"/>
  <c r="B96" i="17"/>
  <c r="D95" i="17"/>
  <c r="C95" i="17"/>
  <c r="E95" i="17" s="1"/>
  <c r="B95" i="17"/>
  <c r="D94" i="17"/>
  <c r="C94" i="17"/>
  <c r="E94" i="17" s="1"/>
  <c r="B94" i="17"/>
  <c r="D93" i="17"/>
  <c r="C93" i="17"/>
  <c r="E93" i="17" s="1"/>
  <c r="B93" i="17"/>
  <c r="D92" i="17"/>
  <c r="C92" i="17"/>
  <c r="E92" i="17" s="1"/>
  <c r="B92" i="17"/>
  <c r="D91" i="17"/>
  <c r="C91" i="17"/>
  <c r="E91" i="17" s="1"/>
  <c r="B91" i="17"/>
  <c r="D90" i="17"/>
  <c r="C90" i="17"/>
  <c r="E90" i="17" s="1"/>
  <c r="B90" i="17"/>
  <c r="D89" i="17"/>
  <c r="C89" i="17"/>
  <c r="E89" i="17" s="1"/>
  <c r="B89" i="17"/>
  <c r="D88" i="17"/>
  <c r="C88" i="17"/>
  <c r="E88" i="17" s="1"/>
  <c r="B88" i="17"/>
  <c r="D87" i="17"/>
  <c r="C87" i="17"/>
  <c r="E87" i="17" s="1"/>
  <c r="B87" i="17"/>
  <c r="D86" i="17"/>
  <c r="C86" i="17"/>
  <c r="E86" i="17" s="1"/>
  <c r="B86" i="17"/>
  <c r="D85" i="17"/>
  <c r="C85" i="17"/>
  <c r="E85" i="17" s="1"/>
  <c r="B85" i="17"/>
  <c r="D84" i="17"/>
  <c r="C84" i="17"/>
  <c r="E84" i="17" s="1"/>
  <c r="B84" i="17"/>
  <c r="D83" i="17"/>
  <c r="C83" i="17"/>
  <c r="E83" i="17" s="1"/>
  <c r="B83" i="17"/>
  <c r="D81" i="17"/>
  <c r="C81" i="17"/>
  <c r="E81" i="17" s="1"/>
  <c r="B81" i="17"/>
  <c r="D80" i="17"/>
  <c r="C80" i="17"/>
  <c r="E80" i="17" s="1"/>
  <c r="B80" i="17"/>
  <c r="D79" i="17"/>
  <c r="C79" i="17"/>
  <c r="E79" i="17" s="1"/>
  <c r="B79" i="17"/>
  <c r="D77" i="17"/>
  <c r="C77" i="17"/>
  <c r="E77" i="17" s="1"/>
  <c r="B77" i="17"/>
  <c r="D76" i="17"/>
  <c r="C76" i="17"/>
  <c r="E76" i="17" s="1"/>
  <c r="B76" i="17"/>
  <c r="D75" i="17"/>
  <c r="C75" i="17"/>
  <c r="E75" i="17" s="1"/>
  <c r="B75" i="17"/>
  <c r="D74" i="17"/>
  <c r="C74" i="17"/>
  <c r="E74" i="17" s="1"/>
  <c r="B74" i="17"/>
  <c r="D73" i="17"/>
  <c r="C73" i="17"/>
  <c r="E73" i="17" s="1"/>
  <c r="B73" i="17"/>
  <c r="D72" i="17"/>
  <c r="C72" i="17"/>
  <c r="E72" i="17" s="1"/>
  <c r="B72" i="17"/>
  <c r="D70" i="17"/>
  <c r="C70" i="17"/>
  <c r="E70" i="17" s="1"/>
  <c r="B70" i="17"/>
  <c r="D69" i="17"/>
  <c r="C69" i="17"/>
  <c r="E69" i="17" s="1"/>
  <c r="B69" i="17"/>
  <c r="D68" i="17"/>
  <c r="C68" i="17"/>
  <c r="E68" i="17" s="1"/>
  <c r="B68" i="17"/>
  <c r="D67" i="17"/>
  <c r="C67" i="17"/>
  <c r="E67" i="17" s="1"/>
  <c r="B67" i="17"/>
  <c r="D66" i="17"/>
  <c r="C66" i="17"/>
  <c r="E66" i="17" s="1"/>
  <c r="B66" i="17"/>
  <c r="D65" i="17"/>
  <c r="C65" i="17"/>
  <c r="E65" i="17" s="1"/>
  <c r="B65" i="17"/>
  <c r="D63" i="17"/>
  <c r="C63" i="17"/>
  <c r="E63" i="17" s="1"/>
  <c r="B63" i="17"/>
  <c r="D62" i="17"/>
  <c r="C62" i="17"/>
  <c r="E62" i="17" s="1"/>
  <c r="B62" i="17"/>
  <c r="D61" i="17"/>
  <c r="C61" i="17"/>
  <c r="E61" i="17" s="1"/>
  <c r="B61" i="17"/>
  <c r="D60" i="17"/>
  <c r="C60" i="17"/>
  <c r="E60" i="17" s="1"/>
  <c r="B60" i="17"/>
  <c r="D59" i="17"/>
  <c r="C59" i="17"/>
  <c r="E59" i="17" s="1"/>
  <c r="B59" i="17"/>
  <c r="D58" i="17"/>
  <c r="C58" i="17"/>
  <c r="E58" i="17" s="1"/>
  <c r="B58" i="17"/>
  <c r="D57" i="17"/>
  <c r="C57" i="17"/>
  <c r="E57" i="17" s="1"/>
  <c r="B57" i="17"/>
  <c r="D56" i="17"/>
  <c r="C56" i="17"/>
  <c r="E56" i="17" s="1"/>
  <c r="B56" i="17"/>
  <c r="D54" i="17"/>
  <c r="C54" i="17"/>
  <c r="E54" i="17" s="1"/>
  <c r="B54" i="17"/>
  <c r="D53" i="17"/>
  <c r="C53" i="17"/>
  <c r="E53" i="17" s="1"/>
  <c r="B53" i="17"/>
  <c r="D52" i="17"/>
  <c r="C52" i="17"/>
  <c r="E52" i="17" s="1"/>
  <c r="B52" i="17"/>
  <c r="D51" i="17"/>
  <c r="C51" i="17"/>
  <c r="E51" i="17" s="1"/>
  <c r="B51" i="17"/>
  <c r="D50" i="17"/>
  <c r="C50" i="17"/>
  <c r="E50" i="17" s="1"/>
  <c r="B50" i="17"/>
  <c r="D49" i="17"/>
  <c r="C49" i="17"/>
  <c r="E49" i="17" s="1"/>
  <c r="B49" i="17"/>
  <c r="D48" i="17"/>
  <c r="C48" i="17"/>
  <c r="E48" i="17" s="1"/>
  <c r="B48" i="17"/>
  <c r="D47" i="17"/>
  <c r="C47" i="17"/>
  <c r="E47" i="17" s="1"/>
  <c r="B47" i="17"/>
  <c r="D46" i="17"/>
  <c r="C46" i="17"/>
  <c r="E46" i="17" s="1"/>
  <c r="B46" i="17"/>
  <c r="D44" i="17"/>
  <c r="C44" i="17"/>
  <c r="E44" i="17" s="1"/>
  <c r="B44" i="17"/>
  <c r="D43" i="17"/>
  <c r="C43" i="17"/>
  <c r="E43" i="17" s="1"/>
  <c r="B43" i="17"/>
  <c r="D42" i="17"/>
  <c r="C42" i="17"/>
  <c r="E42" i="17" s="1"/>
  <c r="B42" i="17"/>
  <c r="D41" i="17"/>
  <c r="C41" i="17"/>
  <c r="E41" i="17" s="1"/>
  <c r="B41" i="17"/>
  <c r="D39" i="17"/>
  <c r="C39" i="17"/>
  <c r="E39" i="17" s="1"/>
  <c r="B39" i="17"/>
  <c r="D38" i="17"/>
  <c r="C38" i="17"/>
  <c r="E38" i="17" s="1"/>
  <c r="B38" i="17"/>
  <c r="D37" i="17"/>
  <c r="C37" i="17"/>
  <c r="E37" i="17" s="1"/>
  <c r="B37" i="17"/>
  <c r="D36" i="17"/>
  <c r="C36" i="17"/>
  <c r="E36" i="17" s="1"/>
  <c r="B36" i="17"/>
  <c r="D35" i="17"/>
  <c r="C35" i="17"/>
  <c r="E35" i="17" s="1"/>
  <c r="B35" i="17"/>
  <c r="D34" i="17"/>
  <c r="C34" i="17"/>
  <c r="E34" i="17" s="1"/>
  <c r="B34" i="17"/>
  <c r="D33" i="17"/>
  <c r="C33" i="17"/>
  <c r="E33" i="17" s="1"/>
  <c r="B33" i="17"/>
  <c r="D32" i="17"/>
  <c r="C32" i="17"/>
  <c r="E32" i="17" s="1"/>
  <c r="B32" i="17"/>
  <c r="D31" i="17"/>
  <c r="C31" i="17"/>
  <c r="E31" i="17" s="1"/>
  <c r="B31" i="17"/>
  <c r="D30" i="17"/>
  <c r="C30" i="17"/>
  <c r="E30" i="17" s="1"/>
  <c r="B30" i="17"/>
  <c r="D28" i="17"/>
  <c r="C28" i="17"/>
  <c r="E28" i="17" s="1"/>
  <c r="B28" i="17"/>
  <c r="D27" i="17"/>
  <c r="C27" i="17"/>
  <c r="E27" i="17" s="1"/>
  <c r="B27" i="17"/>
  <c r="D26" i="17"/>
  <c r="C26" i="17"/>
  <c r="E26" i="17" s="1"/>
  <c r="B26" i="17"/>
  <c r="D25" i="17"/>
  <c r="C25" i="17"/>
  <c r="E25" i="17" s="1"/>
  <c r="B25" i="17"/>
  <c r="D24" i="17"/>
  <c r="C24" i="17"/>
  <c r="E24" i="17" s="1"/>
  <c r="B24" i="17"/>
  <c r="D23" i="17"/>
  <c r="C23" i="17"/>
  <c r="E23" i="17" s="1"/>
  <c r="B23" i="17"/>
  <c r="D22" i="17"/>
  <c r="C22" i="17"/>
  <c r="E22" i="17" s="1"/>
  <c r="B22" i="17"/>
  <c r="D21" i="17"/>
  <c r="C21" i="17"/>
  <c r="E21" i="17" s="1"/>
  <c r="B21" i="17"/>
  <c r="D20" i="17"/>
  <c r="C20" i="17"/>
  <c r="E20" i="17" s="1"/>
  <c r="B20" i="17"/>
  <c r="D19" i="17"/>
  <c r="C19" i="17"/>
  <c r="E19" i="17" s="1"/>
  <c r="B19" i="17"/>
  <c r="D18" i="17"/>
  <c r="C18" i="17"/>
  <c r="E18" i="17" s="1"/>
  <c r="B18" i="17"/>
  <c r="D16" i="17"/>
  <c r="C16" i="17"/>
  <c r="E16" i="17" s="1"/>
  <c r="B16" i="17"/>
  <c r="D15" i="17"/>
  <c r="C15" i="17"/>
  <c r="E15" i="17" s="1"/>
  <c r="B15" i="17"/>
  <c r="D14" i="17"/>
  <c r="C14" i="17"/>
  <c r="E14" i="17" s="1"/>
  <c r="B14" i="17"/>
  <c r="D12" i="17"/>
  <c r="C12" i="17"/>
  <c r="E12" i="17" s="1"/>
  <c r="B12" i="17"/>
  <c r="D11" i="17"/>
  <c r="C11" i="17"/>
  <c r="E11" i="17" s="1"/>
  <c r="B11" i="17"/>
  <c r="D10" i="17"/>
  <c r="C10" i="17"/>
  <c r="E10" i="17" s="1"/>
  <c r="B10" i="17"/>
  <c r="C9" i="17"/>
  <c r="C13" i="17" s="1"/>
  <c r="E13" i="17" s="1"/>
  <c r="D8" i="17"/>
  <c r="C8" i="17"/>
  <c r="E8" i="17" s="1"/>
  <c r="B8" i="17"/>
  <c r="D7" i="17"/>
  <c r="C7" i="17"/>
  <c r="E7" i="17" s="1"/>
  <c r="B7" i="17"/>
  <c r="D6" i="17"/>
  <c r="D9" i="17" s="1"/>
  <c r="D13" i="17" s="1"/>
  <c r="C6" i="17"/>
  <c r="E6" i="17" s="1"/>
  <c r="B6" i="17"/>
  <c r="B9" i="17" s="1"/>
  <c r="B13" i="17" s="1"/>
  <c r="D5" i="17"/>
  <c r="C5" i="17"/>
  <c r="E5" i="17" s="1"/>
  <c r="B5" i="17"/>
  <c r="AD67" i="16"/>
  <c r="AB47" i="16"/>
  <c r="AB46" i="16"/>
  <c r="AB48" i="16" s="1"/>
  <c r="AD39" i="16"/>
  <c r="AI27" i="16"/>
  <c r="AD27" i="16"/>
  <c r="Y27" i="16"/>
  <c r="T27" i="16"/>
  <c r="T24" i="16"/>
  <c r="AI21" i="16"/>
  <c r="AD21" i="16"/>
  <c r="Y21" i="16"/>
  <c r="T21" i="16"/>
  <c r="AI19" i="16"/>
  <c r="AD19" i="16"/>
  <c r="Y19" i="16"/>
  <c r="T19" i="16"/>
  <c r="C19" i="16"/>
  <c r="AI18" i="16"/>
  <c r="AD18" i="16"/>
  <c r="Y18" i="16"/>
  <c r="T18" i="16"/>
  <c r="AI17" i="16"/>
  <c r="AD17" i="16"/>
  <c r="Y17" i="16"/>
  <c r="T17" i="16"/>
  <c r="AI16" i="16"/>
  <c r="AD16" i="16"/>
  <c r="Y16" i="16"/>
  <c r="T16" i="16"/>
  <c r="AI15" i="16"/>
  <c r="AD15" i="16"/>
  <c r="Y15" i="16"/>
  <c r="T15" i="16"/>
  <c r="AI14" i="16"/>
  <c r="AD14" i="16"/>
  <c r="Y14" i="16"/>
  <c r="T14" i="16"/>
  <c r="AI13" i="16"/>
  <c r="AI20" i="16" s="1"/>
  <c r="AI22" i="16" s="1"/>
  <c r="AD13" i="16"/>
  <c r="AD20" i="16" s="1"/>
  <c r="AD22" i="16" s="1"/>
  <c r="Y13" i="16"/>
  <c r="Y20" i="16" s="1"/>
  <c r="Y22" i="16" s="1"/>
  <c r="Y23" i="16" s="1"/>
  <c r="Y26" i="16" s="1"/>
  <c r="Y28" i="16" s="1"/>
  <c r="Y63" i="16" s="1"/>
  <c r="Y67" i="16" s="1"/>
  <c r="T13" i="16"/>
  <c r="T20" i="16" s="1"/>
  <c r="T22" i="16" s="1"/>
  <c r="T23" i="16" s="1"/>
  <c r="AI11" i="16"/>
  <c r="AI23" i="16" s="1"/>
  <c r="AI26" i="16" s="1"/>
  <c r="AI28" i="16" s="1"/>
  <c r="AD63" i="16" s="1"/>
  <c r="AD11" i="16"/>
  <c r="AD23" i="16" s="1"/>
  <c r="AD26" i="16" s="1"/>
  <c r="AD28" i="16" s="1"/>
  <c r="Y11" i="16"/>
  <c r="T11" i="16"/>
  <c r="AD67" i="15"/>
  <c r="AB48" i="15"/>
  <c r="AB47" i="15"/>
  <c r="AB46" i="15"/>
  <c r="AI27" i="15"/>
  <c r="AD27" i="15"/>
  <c r="Y27" i="15"/>
  <c r="T27" i="15"/>
  <c r="T24" i="15"/>
  <c r="AI21" i="15"/>
  <c r="AD21" i="15"/>
  <c r="Y21" i="15"/>
  <c r="T21" i="15"/>
  <c r="AI19" i="15"/>
  <c r="AD19" i="15"/>
  <c r="Y19" i="15"/>
  <c r="T19" i="15"/>
  <c r="C19" i="15"/>
  <c r="AI18" i="15"/>
  <c r="AD18" i="15"/>
  <c r="Y18" i="15"/>
  <c r="T18" i="15"/>
  <c r="AI17" i="15"/>
  <c r="AD17" i="15"/>
  <c r="Y17" i="15"/>
  <c r="T17" i="15"/>
  <c r="AI16" i="15"/>
  <c r="AD16" i="15"/>
  <c r="Y16" i="15"/>
  <c r="T16" i="15"/>
  <c r="AI15" i="15"/>
  <c r="AD15" i="15"/>
  <c r="Y15" i="15"/>
  <c r="T15" i="15"/>
  <c r="AI14" i="15"/>
  <c r="AD14" i="15"/>
  <c r="Y14" i="15"/>
  <c r="T14" i="15"/>
  <c r="AI13" i="15"/>
  <c r="AI20" i="15" s="1"/>
  <c r="AI22" i="15" s="1"/>
  <c r="AD13" i="15"/>
  <c r="AD20" i="15" s="1"/>
  <c r="AD22" i="15" s="1"/>
  <c r="Y13" i="15"/>
  <c r="Y20" i="15" s="1"/>
  <c r="Y22" i="15" s="1"/>
  <c r="T13" i="15"/>
  <c r="T20" i="15" s="1"/>
  <c r="T22" i="15" s="1"/>
  <c r="T23" i="15" s="1"/>
  <c r="AI11" i="15"/>
  <c r="AI23" i="15" s="1"/>
  <c r="AI26" i="15" s="1"/>
  <c r="AI28" i="15" s="1"/>
  <c r="AD63" i="15" s="1"/>
  <c r="AD11" i="15"/>
  <c r="AD23" i="15" s="1"/>
  <c r="AD26" i="15" s="1"/>
  <c r="AD28" i="15" s="1"/>
  <c r="Y11" i="15"/>
  <c r="Y23" i="15" s="1"/>
  <c r="Y26" i="15" s="1"/>
  <c r="Y28" i="15" s="1"/>
  <c r="Y63" i="15" s="1"/>
  <c r="Y67" i="15" s="1"/>
  <c r="T11" i="15"/>
  <c r="E58" i="12"/>
  <c r="K57" i="12"/>
  <c r="M57" i="12" s="1"/>
  <c r="O57" i="12" s="1"/>
  <c r="Q57" i="12" s="1"/>
  <c r="S57" i="12" s="1"/>
  <c r="U57" i="12" s="1"/>
  <c r="W57" i="12" s="1"/>
  <c r="Y57" i="12" s="1"/>
  <c r="AA57" i="12" s="1"/>
  <c r="AC57" i="12" s="1"/>
  <c r="AE57" i="12" s="1"/>
  <c r="AG57" i="12" s="1"/>
  <c r="I57" i="12"/>
  <c r="G57" i="12"/>
  <c r="I56" i="12"/>
  <c r="K56" i="12" s="1"/>
  <c r="M56" i="12" s="1"/>
  <c r="O56" i="12" s="1"/>
  <c r="Q56" i="12" s="1"/>
  <c r="S56" i="12" s="1"/>
  <c r="U56" i="12" s="1"/>
  <c r="W56" i="12" s="1"/>
  <c r="Y56" i="12" s="1"/>
  <c r="AA56" i="12" s="1"/>
  <c r="AC56" i="12" s="1"/>
  <c r="AE56" i="12" s="1"/>
  <c r="AG56" i="12" s="1"/>
  <c r="G56" i="12"/>
  <c r="S55" i="12"/>
  <c r="U55" i="12" s="1"/>
  <c r="W55" i="12" s="1"/>
  <c r="Y55" i="12" s="1"/>
  <c r="AA55" i="12" s="1"/>
  <c r="AC55" i="12" s="1"/>
  <c r="AE55" i="12" s="1"/>
  <c r="AG55" i="12" s="1"/>
  <c r="G55" i="12"/>
  <c r="I55" i="12" s="1"/>
  <c r="K55" i="12" s="1"/>
  <c r="M55" i="12" s="1"/>
  <c r="O55" i="12" s="1"/>
  <c r="Q55" i="12" s="1"/>
  <c r="K54" i="12"/>
  <c r="M54" i="12" s="1"/>
  <c r="O54" i="12" s="1"/>
  <c r="Q54" i="12" s="1"/>
  <c r="S54" i="12" s="1"/>
  <c r="U54" i="12" s="1"/>
  <c r="W54" i="12" s="1"/>
  <c r="Y54" i="12" s="1"/>
  <c r="AA54" i="12" s="1"/>
  <c r="AC54" i="12" s="1"/>
  <c r="AE54" i="12" s="1"/>
  <c r="AG54" i="12" s="1"/>
  <c r="I54" i="12"/>
  <c r="G54" i="12"/>
  <c r="G53" i="12"/>
  <c r="I53" i="12" s="1"/>
  <c r="K53" i="12" s="1"/>
  <c r="AG43" i="12"/>
  <c r="AE43" i="12"/>
  <c r="I43" i="12"/>
  <c r="G43" i="12"/>
  <c r="E43" i="12"/>
  <c r="AG42" i="12"/>
  <c r="AE42" i="12"/>
  <c r="AC42" i="12"/>
  <c r="AA42" i="12"/>
  <c r="Y42" i="12"/>
  <c r="W42" i="12"/>
  <c r="U42" i="12"/>
  <c r="S42" i="12"/>
  <c r="Q42" i="12"/>
  <c r="O42" i="12"/>
  <c r="M42" i="12"/>
  <c r="K42" i="12"/>
  <c r="I42" i="12"/>
  <c r="G42" i="12"/>
  <c r="AG41" i="12"/>
  <c r="AE41" i="12"/>
  <c r="AC41" i="12"/>
  <c r="AA41" i="12"/>
  <c r="Y41" i="12"/>
  <c r="W41" i="12"/>
  <c r="U41" i="12"/>
  <c r="S41" i="12"/>
  <c r="S43" i="12" s="1"/>
  <c r="Q41" i="12"/>
  <c r="O41" i="12"/>
  <c r="M41" i="12"/>
  <c r="K41" i="12"/>
  <c r="I41" i="12"/>
  <c r="G41" i="12"/>
  <c r="AG40" i="12"/>
  <c r="AE40" i="12"/>
  <c r="AA40" i="12"/>
  <c r="AA43" i="12" s="1"/>
  <c r="Y40" i="12"/>
  <c r="Y43" i="12" s="1"/>
  <c r="W40" i="12"/>
  <c r="W43" i="12" s="1"/>
  <c r="U40" i="12"/>
  <c r="S40" i="12"/>
  <c r="O40" i="12"/>
  <c r="O43" i="12" s="1"/>
  <c r="I40" i="12"/>
  <c r="G40" i="12"/>
  <c r="E40" i="12"/>
  <c r="Q40" i="12" s="1"/>
  <c r="Q43" i="12" s="1"/>
  <c r="A40" i="12"/>
  <c r="E33" i="12"/>
  <c r="G33" i="12" s="1"/>
  <c r="I33" i="12" s="1"/>
  <c r="K33" i="12" s="1"/>
  <c r="M33" i="12" s="1"/>
  <c r="O33" i="12" s="1"/>
  <c r="Q33" i="12" s="1"/>
  <c r="S33" i="12" s="1"/>
  <c r="U33" i="12" s="1"/>
  <c r="W33" i="12" s="1"/>
  <c r="Y33" i="12" s="1"/>
  <c r="AA33" i="12" s="1"/>
  <c r="AC33" i="12" s="1"/>
  <c r="AE33" i="12" s="1"/>
  <c r="AG33" i="12" s="1"/>
  <c r="A33" i="12"/>
  <c r="E32" i="12"/>
  <c r="G32" i="12" s="1"/>
  <c r="I32" i="12" s="1"/>
  <c r="K32" i="12" s="1"/>
  <c r="M32" i="12" s="1"/>
  <c r="O32" i="12" s="1"/>
  <c r="Q32" i="12" s="1"/>
  <c r="S32" i="12" s="1"/>
  <c r="U32" i="12" s="1"/>
  <c r="W32" i="12" s="1"/>
  <c r="Y32" i="12" s="1"/>
  <c r="AA32" i="12" s="1"/>
  <c r="AC32" i="12" s="1"/>
  <c r="AE32" i="12" s="1"/>
  <c r="AG32" i="12" s="1"/>
  <c r="A32" i="12"/>
  <c r="I31" i="12"/>
  <c r="K31" i="12" s="1"/>
  <c r="M31" i="12" s="1"/>
  <c r="O31" i="12" s="1"/>
  <c r="Q31" i="12" s="1"/>
  <c r="S31" i="12" s="1"/>
  <c r="U31" i="12" s="1"/>
  <c r="W31" i="12" s="1"/>
  <c r="Y31" i="12" s="1"/>
  <c r="AA31" i="12" s="1"/>
  <c r="AC31" i="12" s="1"/>
  <c r="AE31" i="12" s="1"/>
  <c r="AG31" i="12" s="1"/>
  <c r="G31" i="12"/>
  <c r="E31" i="12"/>
  <c r="E30" i="12"/>
  <c r="G30" i="12" s="1"/>
  <c r="I30" i="12" s="1"/>
  <c r="K30" i="12" s="1"/>
  <c r="M30" i="12" s="1"/>
  <c r="O30" i="12" s="1"/>
  <c r="Q30" i="12" s="1"/>
  <c r="S30" i="12" s="1"/>
  <c r="U30" i="12" s="1"/>
  <c r="W30" i="12" s="1"/>
  <c r="Y30" i="12" s="1"/>
  <c r="AA30" i="12" s="1"/>
  <c r="AC30" i="12" s="1"/>
  <c r="AE30" i="12" s="1"/>
  <c r="AG30" i="12" s="1"/>
  <c r="AG29" i="12"/>
  <c r="AE29" i="12"/>
  <c r="AA29" i="12"/>
  <c r="Y29" i="12"/>
  <c r="W29" i="12"/>
  <c r="U29" i="12"/>
  <c r="S29" i="12"/>
  <c r="O29" i="12"/>
  <c r="I29" i="12"/>
  <c r="G29" i="12"/>
  <c r="E29" i="12"/>
  <c r="Q29" i="12" s="1"/>
  <c r="AE28" i="12"/>
  <c r="AC28" i="12"/>
  <c r="E28" i="12"/>
  <c r="I27" i="12"/>
  <c r="K27" i="12" s="1"/>
  <c r="M27" i="12" s="1"/>
  <c r="O27" i="12" s="1"/>
  <c r="Q27" i="12" s="1"/>
  <c r="S27" i="12" s="1"/>
  <c r="U27" i="12" s="1"/>
  <c r="W27" i="12" s="1"/>
  <c r="Y27" i="12" s="1"/>
  <c r="AA27" i="12" s="1"/>
  <c r="AC27" i="12" s="1"/>
  <c r="AE27" i="12" s="1"/>
  <c r="AG27" i="12" s="1"/>
  <c r="G27" i="12"/>
  <c r="E27" i="12"/>
  <c r="E26" i="12"/>
  <c r="G26" i="12" s="1"/>
  <c r="I26" i="12" s="1"/>
  <c r="K26" i="12" s="1"/>
  <c r="M26" i="12" s="1"/>
  <c r="O26" i="12" s="1"/>
  <c r="Q26" i="12" s="1"/>
  <c r="S26" i="12" s="1"/>
  <c r="U26" i="12" s="1"/>
  <c r="W26" i="12" s="1"/>
  <c r="Y26" i="12" s="1"/>
  <c r="AA26" i="12" s="1"/>
  <c r="AC26" i="12" s="1"/>
  <c r="AE26" i="12" s="1"/>
  <c r="AG26" i="12" s="1"/>
  <c r="U24" i="12"/>
  <c r="W24" i="12" s="1"/>
  <c r="Y24" i="12" s="1"/>
  <c r="AA24" i="12" s="1"/>
  <c r="AC24" i="12" s="1"/>
  <c r="AE24" i="12" s="1"/>
  <c r="AG24" i="12" s="1"/>
  <c r="I24" i="12"/>
  <c r="K24" i="12" s="1"/>
  <c r="M24" i="12" s="1"/>
  <c r="O24" i="12" s="1"/>
  <c r="Q24" i="12" s="1"/>
  <c r="S24" i="12" s="1"/>
  <c r="G24" i="12"/>
  <c r="E22" i="12"/>
  <c r="E35" i="12" s="1"/>
  <c r="G21" i="12"/>
  <c r="I21" i="12" s="1"/>
  <c r="K21" i="12" s="1"/>
  <c r="M21" i="12" s="1"/>
  <c r="O21" i="12" s="1"/>
  <c r="Q21" i="12" s="1"/>
  <c r="S21" i="12" s="1"/>
  <c r="U21" i="12" s="1"/>
  <c r="W21" i="12" s="1"/>
  <c r="Y21" i="12" s="1"/>
  <c r="AA21" i="12" s="1"/>
  <c r="AC21" i="12" s="1"/>
  <c r="AE21" i="12" s="1"/>
  <c r="AG21" i="12" s="1"/>
  <c r="E21" i="12"/>
  <c r="G20" i="12"/>
  <c r="I20" i="12" s="1"/>
  <c r="K20" i="12" s="1"/>
  <c r="M20" i="12" s="1"/>
  <c r="O20" i="12" s="1"/>
  <c r="Q20" i="12" s="1"/>
  <c r="S20" i="12" s="1"/>
  <c r="U20" i="12" s="1"/>
  <c r="W20" i="12" s="1"/>
  <c r="Y20" i="12" s="1"/>
  <c r="AA20" i="12" s="1"/>
  <c r="AC20" i="12" s="1"/>
  <c r="AE20" i="12" s="1"/>
  <c r="AG20" i="12" s="1"/>
  <c r="E20" i="12"/>
  <c r="G19" i="12"/>
  <c r="I19" i="12" s="1"/>
  <c r="K19" i="12" s="1"/>
  <c r="M19" i="12" s="1"/>
  <c r="O19" i="12" s="1"/>
  <c r="Q19" i="12" s="1"/>
  <c r="S19" i="12" s="1"/>
  <c r="U19" i="12" s="1"/>
  <c r="W19" i="12" s="1"/>
  <c r="Y19" i="12" s="1"/>
  <c r="AA19" i="12" s="1"/>
  <c r="AC19" i="12" s="1"/>
  <c r="AE19" i="12" s="1"/>
  <c r="AG19" i="12" s="1"/>
  <c r="E19" i="12"/>
  <c r="E18" i="12"/>
  <c r="G18" i="12" s="1"/>
  <c r="I18" i="12" s="1"/>
  <c r="K18" i="12" s="1"/>
  <c r="M18" i="12" s="1"/>
  <c r="O18" i="12" s="1"/>
  <c r="Q18" i="12" s="1"/>
  <c r="S18" i="12" s="1"/>
  <c r="U18" i="12" s="1"/>
  <c r="W18" i="12" s="1"/>
  <c r="Y18" i="12" s="1"/>
  <c r="AA18" i="12" s="1"/>
  <c r="AC18" i="12" s="1"/>
  <c r="AE18" i="12" s="1"/>
  <c r="AG18" i="12" s="1"/>
  <c r="G17" i="12"/>
  <c r="I17" i="12" s="1"/>
  <c r="K17" i="12" s="1"/>
  <c r="M17" i="12" s="1"/>
  <c r="O17" i="12" s="1"/>
  <c r="Q17" i="12" s="1"/>
  <c r="S17" i="12" s="1"/>
  <c r="U17" i="12" s="1"/>
  <c r="W17" i="12" s="1"/>
  <c r="Y17" i="12" s="1"/>
  <c r="AA17" i="12" s="1"/>
  <c r="AC17" i="12" s="1"/>
  <c r="AE17" i="12" s="1"/>
  <c r="AG17" i="12" s="1"/>
  <c r="E17" i="12"/>
  <c r="G16" i="12"/>
  <c r="I16" i="12" s="1"/>
  <c r="K16" i="12" s="1"/>
  <c r="M16" i="12" s="1"/>
  <c r="O16" i="12" s="1"/>
  <c r="Q16" i="12" s="1"/>
  <c r="S16" i="12" s="1"/>
  <c r="U16" i="12" s="1"/>
  <c r="W16" i="12" s="1"/>
  <c r="Y16" i="12" s="1"/>
  <c r="AA16" i="12" s="1"/>
  <c r="AC16" i="12" s="1"/>
  <c r="AE16" i="12" s="1"/>
  <c r="AG16" i="12" s="1"/>
  <c r="E16" i="12"/>
  <c r="G15" i="12"/>
  <c r="I15" i="12" s="1"/>
  <c r="E15" i="12"/>
  <c r="G9" i="12"/>
  <c r="E9" i="12"/>
  <c r="C9" i="12"/>
  <c r="E8" i="12"/>
  <c r="G8" i="12" s="1"/>
  <c r="I8" i="12" s="1"/>
  <c r="C7" i="12"/>
  <c r="E6" i="12"/>
  <c r="E5" i="12"/>
  <c r="C5" i="12"/>
  <c r="G4" i="12"/>
  <c r="E4" i="12"/>
  <c r="C40" i="11"/>
  <c r="I38" i="11"/>
  <c r="H38" i="11"/>
  <c r="F38" i="11"/>
  <c r="C38" i="11"/>
  <c r="B38" i="11"/>
  <c r="A38" i="11"/>
  <c r="H37" i="11"/>
  <c r="I37" i="11" s="1"/>
  <c r="F37" i="11"/>
  <c r="C37" i="11"/>
  <c r="B37" i="11"/>
  <c r="A37" i="11"/>
  <c r="I36" i="11"/>
  <c r="H36" i="11"/>
  <c r="F36" i="11"/>
  <c r="C36" i="11"/>
  <c r="B36" i="11"/>
  <c r="A36" i="11"/>
  <c r="H35" i="11"/>
  <c r="I35" i="11" s="1"/>
  <c r="F35" i="11"/>
  <c r="C35" i="11"/>
  <c r="B35" i="11"/>
  <c r="A35" i="11"/>
  <c r="I34" i="11"/>
  <c r="H34" i="11"/>
  <c r="F34" i="11"/>
  <c r="C34" i="11"/>
  <c r="B34" i="11"/>
  <c r="A34" i="11"/>
  <c r="H33" i="11"/>
  <c r="I33" i="11" s="1"/>
  <c r="F33" i="11"/>
  <c r="C33" i="11"/>
  <c r="B33" i="11"/>
  <c r="A33" i="11"/>
  <c r="I32" i="11"/>
  <c r="H32" i="11"/>
  <c r="F32" i="11"/>
  <c r="C32" i="11"/>
  <c r="B32" i="11"/>
  <c r="A32" i="11"/>
  <c r="H31" i="11"/>
  <c r="I31" i="11" s="1"/>
  <c r="F31" i="11"/>
  <c r="C31" i="11"/>
  <c r="B31" i="11"/>
  <c r="A31" i="11"/>
  <c r="I30" i="11"/>
  <c r="H30" i="11"/>
  <c r="F30" i="11"/>
  <c r="C30" i="11"/>
  <c r="B30" i="11"/>
  <c r="A30" i="11"/>
  <c r="H29" i="11"/>
  <c r="I29" i="11" s="1"/>
  <c r="F29" i="11"/>
  <c r="C29" i="11"/>
  <c r="B29" i="11"/>
  <c r="A29" i="11"/>
  <c r="I28" i="11"/>
  <c r="H28" i="11"/>
  <c r="F28" i="11"/>
  <c r="C28" i="11"/>
  <c r="B28" i="11"/>
  <c r="A28" i="11"/>
  <c r="H27" i="11"/>
  <c r="I27" i="11" s="1"/>
  <c r="F27" i="11"/>
  <c r="C27" i="11"/>
  <c r="B27" i="11"/>
  <c r="A27" i="11"/>
  <c r="I26" i="11"/>
  <c r="H26" i="11"/>
  <c r="F26" i="11"/>
  <c r="C26" i="11"/>
  <c r="B26" i="11"/>
  <c r="A26" i="11"/>
  <c r="H25" i="11"/>
  <c r="I25" i="11" s="1"/>
  <c r="F25" i="11"/>
  <c r="C25" i="11"/>
  <c r="B25" i="11"/>
  <c r="A25" i="11"/>
  <c r="I24" i="11"/>
  <c r="H24" i="11"/>
  <c r="F24" i="11"/>
  <c r="C24" i="11"/>
  <c r="B24" i="11"/>
  <c r="A24" i="11"/>
  <c r="H23" i="11"/>
  <c r="I23" i="11" s="1"/>
  <c r="F23" i="11"/>
  <c r="C23" i="11"/>
  <c r="B23" i="11"/>
  <c r="A23" i="11"/>
  <c r="I22" i="11"/>
  <c r="H22" i="11"/>
  <c r="F22" i="11"/>
  <c r="C22" i="11"/>
  <c r="B22" i="11"/>
  <c r="A22" i="11"/>
  <c r="H21" i="11"/>
  <c r="I21" i="11" s="1"/>
  <c r="F21" i="11"/>
  <c r="C21" i="11"/>
  <c r="B21" i="11"/>
  <c r="A21" i="11"/>
  <c r="I20" i="11"/>
  <c r="H20" i="11"/>
  <c r="F20" i="11"/>
  <c r="C20" i="11"/>
  <c r="B20" i="11"/>
  <c r="A20" i="11"/>
  <c r="H19" i="11"/>
  <c r="I19" i="11" s="1"/>
  <c r="F19" i="11"/>
  <c r="C19" i="11"/>
  <c r="B19" i="11"/>
  <c r="A19" i="11"/>
  <c r="I18" i="11"/>
  <c r="H18" i="11"/>
  <c r="F18" i="11"/>
  <c r="C18" i="11"/>
  <c r="B18" i="11"/>
  <c r="A18" i="11"/>
  <c r="H17" i="11"/>
  <c r="I17" i="11" s="1"/>
  <c r="F17" i="11"/>
  <c r="C17" i="11"/>
  <c r="B17" i="11"/>
  <c r="A17" i="11"/>
  <c r="I16" i="11"/>
  <c r="H16" i="11"/>
  <c r="F16" i="11"/>
  <c r="C16" i="11"/>
  <c r="B16" i="11"/>
  <c r="A16" i="11"/>
  <c r="H15" i="11"/>
  <c r="I15" i="11" s="1"/>
  <c r="F15" i="11"/>
  <c r="C15" i="11"/>
  <c r="B15" i="11"/>
  <c r="A15" i="11"/>
  <c r="I14" i="11"/>
  <c r="H14" i="11"/>
  <c r="F14" i="11"/>
  <c r="C14" i="11"/>
  <c r="B14" i="11"/>
  <c r="A14" i="11"/>
  <c r="H13" i="11"/>
  <c r="I13" i="11" s="1"/>
  <c r="F13" i="11"/>
  <c r="C13" i="11"/>
  <c r="B13" i="11"/>
  <c r="A13" i="11"/>
  <c r="I12" i="11"/>
  <c r="H12" i="11"/>
  <c r="F12" i="11"/>
  <c r="C12" i="11"/>
  <c r="B12" i="11"/>
  <c r="A12" i="11"/>
  <c r="H11" i="11"/>
  <c r="I11" i="11" s="1"/>
  <c r="F11" i="11"/>
  <c r="C11" i="11"/>
  <c r="B11" i="11"/>
  <c r="A11" i="11"/>
  <c r="I10" i="11"/>
  <c r="H10" i="11"/>
  <c r="F10" i="11"/>
  <c r="C10" i="11"/>
  <c r="B10" i="11"/>
  <c r="A10" i="11"/>
  <c r="H9" i="11"/>
  <c r="I9" i="11" s="1"/>
  <c r="F9" i="11"/>
  <c r="C9" i="11"/>
  <c r="B9" i="11"/>
  <c r="A9" i="11"/>
  <c r="I8" i="11"/>
  <c r="H8" i="11"/>
  <c r="F8" i="11"/>
  <c r="C8" i="11"/>
  <c r="B8" i="11"/>
  <c r="A8" i="11"/>
  <c r="H7" i="11"/>
  <c r="I7" i="11" s="1"/>
  <c r="F7" i="11"/>
  <c r="C7" i="11"/>
  <c r="B7" i="11"/>
  <c r="A7" i="11"/>
  <c r="I6" i="11"/>
  <c r="H6" i="11"/>
  <c r="F6" i="11"/>
  <c r="C6" i="11"/>
  <c r="B6" i="11"/>
  <c r="A6" i="11"/>
  <c r="H5" i="11"/>
  <c r="I5" i="11" s="1"/>
  <c r="F5" i="11"/>
  <c r="C5" i="11"/>
  <c r="B5" i="11"/>
  <c r="A5" i="11"/>
  <c r="I4" i="11"/>
  <c r="H4" i="11"/>
  <c r="F4" i="11"/>
  <c r="F40" i="11" s="1"/>
  <c r="C4" i="11"/>
  <c r="B4" i="11"/>
  <c r="A4" i="11"/>
  <c r="G97" i="10"/>
  <c r="G96" i="10"/>
  <c r="G95" i="10"/>
  <c r="G94" i="10"/>
  <c r="Q93" i="10"/>
  <c r="G93" i="10"/>
  <c r="G92" i="10"/>
  <c r="G98" i="10" s="1"/>
  <c r="D100" i="10" s="1"/>
  <c r="D102" i="10" s="1"/>
  <c r="D104" i="10" s="1"/>
  <c r="D110" i="10" s="1"/>
  <c r="G38" i="10" s="1"/>
  <c r="G53" i="10" s="1"/>
  <c r="G71" i="10" s="1"/>
  <c r="G72" i="10" s="1"/>
  <c r="B75" i="10" s="1"/>
  <c r="Q91" i="10"/>
  <c r="G91" i="10"/>
  <c r="G90" i="10"/>
  <c r="Q71" i="10"/>
  <c r="O75" i="10" s="1"/>
  <c r="U69" i="10"/>
  <c r="U68" i="10"/>
  <c r="U67" i="10"/>
  <c r="U66" i="10"/>
  <c r="C66" i="10"/>
  <c r="G67" i="10" s="1"/>
  <c r="U65" i="10"/>
  <c r="C65" i="10"/>
  <c r="C67" i="10" s="1"/>
  <c r="U64" i="10"/>
  <c r="B61" i="10" a="1"/>
  <c r="B61" i="10" s="1"/>
  <c r="J58" i="10"/>
  <c r="E50" i="10"/>
  <c r="G52" i="10" s="1"/>
  <c r="Q48" i="10"/>
  <c r="L30" i="9"/>
  <c r="V30" i="9" s="1"/>
  <c r="V29" i="9"/>
  <c r="L29" i="9"/>
  <c r="L28" i="9"/>
  <c r="V28" i="9" s="1"/>
  <c r="V27" i="9"/>
  <c r="L27" i="9"/>
  <c r="L31" i="9" s="1"/>
  <c r="V26" i="9"/>
  <c r="V31" i="9" s="1"/>
  <c r="L26" i="9"/>
  <c r="Q22" i="9"/>
  <c r="U17" i="9"/>
  <c r="BE16" i="9"/>
  <c r="BE15" i="9"/>
  <c r="AF721" i="8"/>
  <c r="AO664" i="8"/>
  <c r="AO663" i="8"/>
  <c r="AO662" i="8"/>
  <c r="AO661" i="8"/>
  <c r="AO660" i="8"/>
  <c r="AO659" i="8"/>
  <c r="AO658" i="8"/>
  <c r="AO665" i="8" s="1"/>
  <c r="AK698" i="8" s="1"/>
  <c r="T720" i="8" s="1"/>
  <c r="AF720" i="8" s="1"/>
  <c r="AK655" i="8"/>
  <c r="T719" i="8" s="1"/>
  <c r="AF719" i="8" s="1"/>
  <c r="AO623" i="8"/>
  <c r="T623" i="8"/>
  <c r="Y623" i="8" s="1"/>
  <c r="O623" i="8"/>
  <c r="AO622" i="8"/>
  <c r="Y622" i="8"/>
  <c r="BE585" i="8" s="1"/>
  <c r="AP595" i="8" s="1"/>
  <c r="T622" i="8"/>
  <c r="AZ585" i="8" s="1"/>
  <c r="O622" i="8"/>
  <c r="AU585" i="8" s="1"/>
  <c r="AO621" i="8"/>
  <c r="T621" i="8"/>
  <c r="AP545" i="8" s="1"/>
  <c r="O621" i="8"/>
  <c r="T620" i="8"/>
  <c r="O620" i="8"/>
  <c r="AU583" i="8" s="1"/>
  <c r="T619" i="8"/>
  <c r="T624" i="8" s="1"/>
  <c r="O619" i="8"/>
  <c r="AO619" i="8" s="1"/>
  <c r="Y618" i="8"/>
  <c r="T618" i="8"/>
  <c r="O618" i="8"/>
  <c r="AU581" i="8" s="1"/>
  <c r="F604" i="8"/>
  <c r="E602" i="8"/>
  <c r="AZ598" i="8"/>
  <c r="K598" i="8"/>
  <c r="K597" i="8"/>
  <c r="K596" i="8"/>
  <c r="Q595" i="8"/>
  <c r="W595" i="8" s="1"/>
  <c r="AC595" i="8" s="1"/>
  <c r="AP591" i="8"/>
  <c r="AP587" i="8"/>
  <c r="W587" i="8"/>
  <c r="AZ586" i="8"/>
  <c r="AU586" i="8"/>
  <c r="AP586" i="8"/>
  <c r="AP585" i="8"/>
  <c r="AZ584" i="8"/>
  <c r="AU584" i="8"/>
  <c r="AP584" i="8"/>
  <c r="AP583" i="8"/>
  <c r="AU582" i="8"/>
  <c r="AP582" i="8"/>
  <c r="BJ581" i="8"/>
  <c r="BJ587" i="8" s="1"/>
  <c r="BE581" i="8"/>
  <c r="AZ581" i="8"/>
  <c r="AP581" i="8"/>
  <c r="BY560" i="8"/>
  <c r="BM547" i="8"/>
  <c r="BU541" i="8"/>
  <c r="CC540" i="8"/>
  <c r="CC541" i="8" s="1"/>
  <c r="BU538" i="8"/>
  <c r="BJ538" i="8"/>
  <c r="Q599" i="8" s="1"/>
  <c r="W599" i="8" s="1"/>
  <c r="AG538" i="8"/>
  <c r="BJ537" i="8"/>
  <c r="BD535" i="8"/>
  <c r="AG534" i="8"/>
  <c r="AG530" i="8"/>
  <c r="AG527" i="8"/>
  <c r="AG523" i="8"/>
  <c r="AG518" i="8"/>
  <c r="AK550" i="8" s="1"/>
  <c r="AG513" i="8"/>
  <c r="AG511" i="8"/>
  <c r="AG507" i="8"/>
  <c r="AG502" i="8"/>
  <c r="AG500" i="8"/>
  <c r="AG495" i="8"/>
  <c r="AP388" i="8"/>
  <c r="AP387" i="8"/>
  <c r="AP386" i="8"/>
  <c r="AP383" i="8"/>
  <c r="AP381" i="8"/>
  <c r="U381" i="8"/>
  <c r="U380" i="8"/>
  <c r="AP379" i="8"/>
  <c r="AP391" i="8" s="1"/>
  <c r="AQ391" i="8" s="1"/>
  <c r="AP376" i="8"/>
  <c r="AP375" i="8"/>
  <c r="AP374" i="8"/>
  <c r="AP372" i="8"/>
  <c r="AP371" i="8"/>
  <c r="AP369" i="8"/>
  <c r="AP368" i="8"/>
  <c r="AP366" i="8"/>
  <c r="AP364" i="8"/>
  <c r="AP378" i="8" s="1"/>
  <c r="AQ378" i="8" s="1"/>
  <c r="AJ291" i="8"/>
  <c r="AJ281" i="8"/>
  <c r="AJ271" i="8"/>
  <c r="AJ256" i="8"/>
  <c r="AJ244" i="8"/>
  <c r="AJ230" i="8"/>
  <c r="AJ218" i="8"/>
  <c r="AJ206" i="8"/>
  <c r="AZ201" i="8"/>
  <c r="AZ199" i="8"/>
  <c r="AZ202" i="8" s="1"/>
  <c r="AZ198" i="8"/>
  <c r="AZ197" i="8"/>
  <c r="AZ196" i="8"/>
  <c r="AJ184" i="8"/>
  <c r="AJ151" i="8"/>
  <c r="AJ139" i="8"/>
  <c r="AO128" i="8"/>
  <c r="AP100" i="8"/>
  <c r="AP97" i="8"/>
  <c r="AJ124" i="8" s="1"/>
  <c r="AK293" i="8" s="1"/>
  <c r="T713" i="8" s="1"/>
  <c r="AO704" i="8" s="1"/>
  <c r="AP94" i="8" a="1"/>
  <c r="AP94" i="8" s="1"/>
  <c r="Y112" i="8" s="1"/>
  <c r="AP93" i="8"/>
  <c r="AK68" i="8"/>
  <c r="T711" i="8" s="1"/>
  <c r="AF711" i="8" s="1"/>
  <c r="AJ47" i="8"/>
  <c r="T710" i="8" s="1"/>
  <c r="B35" i="8"/>
  <c r="AJ31" i="8"/>
  <c r="AK61" i="8" s="1"/>
  <c r="AQ6" i="8"/>
  <c r="H105" i="7"/>
  <c r="E105" i="7"/>
  <c r="H104" i="7"/>
  <c r="E104" i="7"/>
  <c r="H103" i="7"/>
  <c r="E103" i="7"/>
  <c r="B103" i="7"/>
  <c r="J102" i="7"/>
  <c r="I102" i="7"/>
  <c r="H102" i="7"/>
  <c r="G102" i="7"/>
  <c r="F102" i="7"/>
  <c r="E102" i="7"/>
  <c r="D102" i="7"/>
  <c r="C102" i="7"/>
  <c r="B102" i="7"/>
  <c r="H101" i="7"/>
  <c r="E101" i="7"/>
  <c r="B101" i="7"/>
  <c r="A101" i="7"/>
  <c r="H100" i="7"/>
  <c r="E100" i="7"/>
  <c r="B100" i="7"/>
  <c r="H99" i="7"/>
  <c r="E99" i="7"/>
  <c r="B99" i="7"/>
  <c r="H98" i="7"/>
  <c r="E98" i="7"/>
  <c r="B98" i="7"/>
  <c r="H97" i="7"/>
  <c r="E97" i="7"/>
  <c r="B97" i="7"/>
  <c r="H95" i="7"/>
  <c r="E95" i="7"/>
  <c r="B95" i="7"/>
  <c r="J94" i="7"/>
  <c r="I94" i="7"/>
  <c r="H94" i="7"/>
  <c r="G94" i="7"/>
  <c r="E94" i="7"/>
  <c r="D94" i="7"/>
  <c r="B94" i="7"/>
  <c r="H93" i="7"/>
  <c r="E93" i="7"/>
  <c r="B93" i="7"/>
  <c r="A93" i="7"/>
  <c r="H92" i="7"/>
  <c r="E92" i="7"/>
  <c r="B92" i="7"/>
  <c r="A92" i="7"/>
  <c r="H91" i="7"/>
  <c r="E91" i="7"/>
  <c r="B91" i="7"/>
  <c r="A91" i="7"/>
  <c r="H90" i="7"/>
  <c r="E90" i="7"/>
  <c r="B90" i="7"/>
  <c r="H89" i="7"/>
  <c r="E89" i="7"/>
  <c r="B89" i="7"/>
  <c r="H88" i="7"/>
  <c r="E88" i="7"/>
  <c r="B88" i="7"/>
  <c r="H87" i="7"/>
  <c r="E87" i="7"/>
  <c r="B87" i="7"/>
  <c r="B86" i="7"/>
  <c r="H85" i="7"/>
  <c r="E85" i="7"/>
  <c r="B85" i="7"/>
  <c r="H84" i="7"/>
  <c r="F84" i="7"/>
  <c r="E84" i="7"/>
  <c r="B84" i="7"/>
  <c r="C84" i="7" s="1"/>
  <c r="C94" i="7" s="1"/>
  <c r="H83" i="7"/>
  <c r="E83" i="7"/>
  <c r="F83" i="7" s="1"/>
  <c r="F94" i="7" s="1"/>
  <c r="C83" i="7"/>
  <c r="B83" i="7"/>
  <c r="H82" i="7"/>
  <c r="E82" i="7"/>
  <c r="B82" i="7"/>
  <c r="B81" i="7"/>
  <c r="J79" i="7"/>
  <c r="I79" i="7"/>
  <c r="H79" i="7"/>
  <c r="G79" i="7"/>
  <c r="F79" i="7"/>
  <c r="E79" i="7"/>
  <c r="D79" i="7"/>
  <c r="C79" i="7"/>
  <c r="B79" i="7"/>
  <c r="H78" i="7"/>
  <c r="E78" i="7"/>
  <c r="B78" i="7"/>
  <c r="H77" i="7"/>
  <c r="E77" i="7"/>
  <c r="B77" i="7"/>
  <c r="D75" i="7"/>
  <c r="C75" i="7"/>
  <c r="B75" i="7"/>
  <c r="B74" i="7"/>
  <c r="A74" i="7"/>
  <c r="B73" i="7"/>
  <c r="B72" i="7"/>
  <c r="B71" i="7"/>
  <c r="B70" i="7"/>
  <c r="J68" i="7"/>
  <c r="I68" i="7"/>
  <c r="H68" i="7"/>
  <c r="G68" i="7"/>
  <c r="F68" i="7"/>
  <c r="E68" i="7"/>
  <c r="D68" i="7"/>
  <c r="C68" i="7"/>
  <c r="B68" i="7"/>
  <c r="H67" i="7"/>
  <c r="E67" i="7"/>
  <c r="B67" i="7"/>
  <c r="A67" i="7"/>
  <c r="H66" i="7"/>
  <c r="E66" i="7"/>
  <c r="B66" i="7"/>
  <c r="H65" i="7"/>
  <c r="E65" i="7"/>
  <c r="B65" i="7"/>
  <c r="H64" i="7"/>
  <c r="E64" i="7"/>
  <c r="B64" i="7"/>
  <c r="H63" i="7"/>
  <c r="E63" i="7"/>
  <c r="B63" i="7"/>
  <c r="H61" i="7"/>
  <c r="G61" i="7"/>
  <c r="G95" i="7" s="1"/>
  <c r="G103" i="7" s="1"/>
  <c r="G105" i="7" s="1"/>
  <c r="F61" i="7"/>
  <c r="E61" i="7"/>
  <c r="B61" i="7"/>
  <c r="D60" i="7"/>
  <c r="C60" i="7"/>
  <c r="B60" i="7"/>
  <c r="B59" i="7"/>
  <c r="A59" i="7"/>
  <c r="B58" i="7"/>
  <c r="B57" i="7"/>
  <c r="B56" i="7"/>
  <c r="B55" i="7"/>
  <c r="B54" i="7"/>
  <c r="J52" i="7"/>
  <c r="I52" i="7"/>
  <c r="H52" i="7"/>
  <c r="G52" i="7"/>
  <c r="F52" i="7"/>
  <c r="E52" i="7"/>
  <c r="D52" i="7"/>
  <c r="C52" i="7"/>
  <c r="B52" i="7"/>
  <c r="H51" i="7"/>
  <c r="E51" i="7"/>
  <c r="B51" i="7"/>
  <c r="A51" i="7"/>
  <c r="H50" i="7"/>
  <c r="E50" i="7"/>
  <c r="B50" i="7"/>
  <c r="H49" i="7"/>
  <c r="E49" i="7"/>
  <c r="B49" i="7"/>
  <c r="H48" i="7"/>
  <c r="E48" i="7"/>
  <c r="B48" i="7"/>
  <c r="H47" i="7"/>
  <c r="E47" i="7"/>
  <c r="B47" i="7"/>
  <c r="H46" i="7"/>
  <c r="E46" i="7"/>
  <c r="B46" i="7"/>
  <c r="H45" i="7"/>
  <c r="E45" i="7"/>
  <c r="B45" i="7"/>
  <c r="H44" i="7"/>
  <c r="E44" i="7"/>
  <c r="B44" i="7"/>
  <c r="H42" i="7"/>
  <c r="E42" i="7"/>
  <c r="B42" i="7"/>
  <c r="J41" i="7"/>
  <c r="I41" i="7"/>
  <c r="H41" i="7"/>
  <c r="G41" i="7"/>
  <c r="F41" i="7"/>
  <c r="E41" i="7"/>
  <c r="D41" i="7"/>
  <c r="C41" i="7"/>
  <c r="B41" i="7"/>
  <c r="H40" i="7"/>
  <c r="E40" i="7"/>
  <c r="B40" i="7"/>
  <c r="H39" i="7"/>
  <c r="E39" i="7"/>
  <c r="B39" i="7"/>
  <c r="J37" i="7"/>
  <c r="I37" i="7"/>
  <c r="H37" i="7"/>
  <c r="G37" i="7"/>
  <c r="F37" i="7"/>
  <c r="E37" i="7"/>
  <c r="D37" i="7"/>
  <c r="C37" i="7"/>
  <c r="B37" i="7"/>
  <c r="H36" i="7"/>
  <c r="E36" i="7"/>
  <c r="B36" i="7"/>
  <c r="A36" i="7"/>
  <c r="H35" i="7"/>
  <c r="E35" i="7"/>
  <c r="B35" i="7"/>
  <c r="A35" i="7"/>
  <c r="H34" i="7"/>
  <c r="E34" i="7"/>
  <c r="B34" i="7"/>
  <c r="H33" i="7"/>
  <c r="E33" i="7"/>
  <c r="B33" i="7"/>
  <c r="H32" i="7"/>
  <c r="E32" i="7"/>
  <c r="B32" i="7"/>
  <c r="H31" i="7"/>
  <c r="E31" i="7"/>
  <c r="B31" i="7"/>
  <c r="H30" i="7"/>
  <c r="E30" i="7"/>
  <c r="B30" i="7"/>
  <c r="H29" i="7"/>
  <c r="E29" i="7"/>
  <c r="B29" i="7"/>
  <c r="H28" i="7"/>
  <c r="E28" i="7"/>
  <c r="B28" i="7"/>
  <c r="H26" i="7"/>
  <c r="E26" i="7"/>
  <c r="B26" i="7"/>
  <c r="J25" i="7"/>
  <c r="I25" i="7"/>
  <c r="H25" i="7"/>
  <c r="G25" i="7"/>
  <c r="F25" i="7"/>
  <c r="E25" i="7"/>
  <c r="D25" i="7"/>
  <c r="C25" i="7"/>
  <c r="B25" i="7"/>
  <c r="H24" i="7"/>
  <c r="E24" i="7"/>
  <c r="B24" i="7"/>
  <c r="A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B13" i="7"/>
  <c r="B12" i="7"/>
  <c r="J11" i="7"/>
  <c r="J61" i="7" s="1"/>
  <c r="J95" i="7" s="1"/>
  <c r="J103" i="7" s="1"/>
  <c r="J105" i="7" s="1"/>
  <c r="I11" i="7"/>
  <c r="I61" i="7" s="1"/>
  <c r="I95" i="7" s="1"/>
  <c r="I103" i="7" s="1"/>
  <c r="I105" i="7" s="1"/>
  <c r="AD11" i="6" s="1"/>
  <c r="AD23" i="6" s="1"/>
  <c r="AD26" i="6" s="1"/>
  <c r="AD28" i="6" s="1"/>
  <c r="H11" i="7"/>
  <c r="D11" i="7"/>
  <c r="C11" i="7"/>
  <c r="B11" i="7"/>
  <c r="H10" i="7"/>
  <c r="E10" i="7"/>
  <c r="B10" i="7"/>
  <c r="H9" i="7"/>
  <c r="B9" i="7"/>
  <c r="D8" i="7"/>
  <c r="D61" i="7" s="1"/>
  <c r="D95" i="7" s="1"/>
  <c r="D103" i="7" s="1"/>
  <c r="C8" i="7"/>
  <c r="C61" i="7" s="1"/>
  <c r="C95" i="7" s="1"/>
  <c r="C103" i="7" s="1"/>
  <c r="B8" i="7"/>
  <c r="B7" i="7"/>
  <c r="B6" i="7"/>
  <c r="B5" i="7"/>
  <c r="B4" i="7"/>
  <c r="Y67" i="6"/>
  <c r="AD66" i="6"/>
  <c r="Y66" i="6"/>
  <c r="AD63" i="6"/>
  <c r="AB47" i="6"/>
  <c r="AB46" i="6"/>
  <c r="AB48" i="6" s="1"/>
  <c r="AI27" i="6"/>
  <c r="AD27" i="6"/>
  <c r="Y27" i="6"/>
  <c r="T27" i="6"/>
  <c r="T25" i="6"/>
  <c r="Y7" i="6" s="1"/>
  <c r="T24" i="6"/>
  <c r="AI22" i="6"/>
  <c r="AD22" i="6"/>
  <c r="AI20" i="6"/>
  <c r="AD20" i="6"/>
  <c r="Y20" i="6"/>
  <c r="Y22" i="6" s="1"/>
  <c r="T20" i="6"/>
  <c r="T22" i="6" s="1"/>
  <c r="AI7" i="6"/>
  <c r="AD7" i="6"/>
  <c r="B131" i="5"/>
  <c r="Q107" i="5"/>
  <c r="P107" i="5"/>
  <c r="O107" i="5"/>
  <c r="N107" i="5"/>
  <c r="M107" i="5"/>
  <c r="L107" i="5"/>
  <c r="K107" i="5"/>
  <c r="J107" i="5"/>
  <c r="I107" i="5"/>
  <c r="H107" i="5"/>
  <c r="G107" i="5"/>
  <c r="F107" i="5"/>
  <c r="E107" i="5"/>
  <c r="T103" i="5"/>
  <c r="S103" i="5"/>
  <c r="Q103" i="5"/>
  <c r="P103" i="5"/>
  <c r="O103" i="5"/>
  <c r="N103" i="5"/>
  <c r="M103" i="5"/>
  <c r="L103" i="5"/>
  <c r="K103" i="5"/>
  <c r="J103" i="5"/>
  <c r="I103" i="5"/>
  <c r="H103" i="5"/>
  <c r="G103" i="5"/>
  <c r="F103" i="5"/>
  <c r="D103" i="5"/>
  <c r="C103" i="5"/>
  <c r="E102" i="5"/>
  <c r="R102" i="5" s="1"/>
  <c r="B102" i="5"/>
  <c r="R101" i="5"/>
  <c r="E101" i="5"/>
  <c r="B101" i="5"/>
  <c r="E100" i="5"/>
  <c r="R100" i="5" s="1"/>
  <c r="B100" i="5"/>
  <c r="E99" i="5"/>
  <c r="E103" i="5" s="1"/>
  <c r="B99" i="5"/>
  <c r="R98" i="5"/>
  <c r="B98" i="5"/>
  <c r="T95" i="5"/>
  <c r="S95" i="5"/>
  <c r="Q95" i="5"/>
  <c r="P95" i="5"/>
  <c r="O95" i="5"/>
  <c r="N95" i="5"/>
  <c r="M95" i="5"/>
  <c r="L95" i="5"/>
  <c r="K95" i="5"/>
  <c r="J95" i="5"/>
  <c r="I95" i="5"/>
  <c r="H95" i="5"/>
  <c r="G95" i="5"/>
  <c r="F95" i="5"/>
  <c r="D95" i="5"/>
  <c r="C95" i="5"/>
  <c r="B95" i="5"/>
  <c r="R94" i="5"/>
  <c r="E94" i="5"/>
  <c r="B94" i="5"/>
  <c r="E93" i="5"/>
  <c r="R93" i="5" s="1"/>
  <c r="B93" i="5"/>
  <c r="R92" i="5"/>
  <c r="E92" i="5"/>
  <c r="B92" i="5"/>
  <c r="E91" i="5"/>
  <c r="R91" i="5" s="1"/>
  <c r="B91" i="5"/>
  <c r="R90" i="5"/>
  <c r="E90" i="5"/>
  <c r="B90" i="5"/>
  <c r="E89" i="5"/>
  <c r="R89" i="5" s="1"/>
  <c r="B89" i="5"/>
  <c r="R88" i="5"/>
  <c r="E88" i="5"/>
  <c r="B88" i="5"/>
  <c r="E87" i="5"/>
  <c r="R87" i="5" s="1"/>
  <c r="B87" i="5"/>
  <c r="R86" i="5"/>
  <c r="E86" i="5"/>
  <c r="B86" i="5"/>
  <c r="E85" i="5"/>
  <c r="R85" i="5" s="1"/>
  <c r="B85" i="5"/>
  <c r="R84" i="5"/>
  <c r="E84" i="5"/>
  <c r="B84" i="5"/>
  <c r="E83" i="5"/>
  <c r="R83" i="5" s="1"/>
  <c r="B83" i="5"/>
  <c r="R82" i="5"/>
  <c r="E82" i="5"/>
  <c r="E95" i="5" s="1"/>
  <c r="B82" i="5"/>
  <c r="E81" i="5"/>
  <c r="T80" i="5"/>
  <c r="S80" i="5"/>
  <c r="Q80" i="5"/>
  <c r="P80" i="5"/>
  <c r="O80" i="5"/>
  <c r="N80" i="5"/>
  <c r="M80" i="5"/>
  <c r="L80" i="5"/>
  <c r="K80" i="5"/>
  <c r="J80" i="5"/>
  <c r="I80" i="5"/>
  <c r="H80" i="5"/>
  <c r="G80" i="5"/>
  <c r="F80" i="5"/>
  <c r="D80" i="5"/>
  <c r="C80" i="5"/>
  <c r="E80" i="5" s="1"/>
  <c r="B80" i="5"/>
  <c r="R79" i="5"/>
  <c r="E79" i="5"/>
  <c r="B79" i="5"/>
  <c r="E78" i="5"/>
  <c r="R78" i="5" s="1"/>
  <c r="R80" i="5" s="1"/>
  <c r="B78" i="5"/>
  <c r="Q76" i="5"/>
  <c r="P76" i="5"/>
  <c r="O76" i="5"/>
  <c r="N76" i="5"/>
  <c r="M76" i="5"/>
  <c r="L76" i="5"/>
  <c r="K76" i="5"/>
  <c r="J76" i="5"/>
  <c r="I76" i="5"/>
  <c r="H76" i="5"/>
  <c r="G76" i="5"/>
  <c r="F76" i="5"/>
  <c r="D76" i="5"/>
  <c r="C76" i="5"/>
  <c r="B76" i="5"/>
  <c r="E75" i="5"/>
  <c r="R75" i="5" s="1"/>
  <c r="B75" i="5"/>
  <c r="R74" i="5"/>
  <c r="E74" i="5"/>
  <c r="B74" i="5"/>
  <c r="E73" i="5"/>
  <c r="R73" i="5" s="1"/>
  <c r="B73" i="5"/>
  <c r="R72" i="5"/>
  <c r="E72" i="5"/>
  <c r="B72" i="5"/>
  <c r="E71" i="5"/>
  <c r="E76" i="5" s="1"/>
  <c r="B71" i="5"/>
  <c r="T69" i="5"/>
  <c r="S69" i="5"/>
  <c r="Q69" i="5"/>
  <c r="P69" i="5"/>
  <c r="O69" i="5"/>
  <c r="N69" i="5"/>
  <c r="M69" i="5"/>
  <c r="L69" i="5"/>
  <c r="K69" i="5"/>
  <c r="J69" i="5"/>
  <c r="I69" i="5"/>
  <c r="H69" i="5"/>
  <c r="G69" i="5"/>
  <c r="F69" i="5"/>
  <c r="D69" i="5"/>
  <c r="C69" i="5"/>
  <c r="E68" i="5"/>
  <c r="R68" i="5" s="1"/>
  <c r="B68" i="5"/>
  <c r="R67" i="5"/>
  <c r="E67" i="5"/>
  <c r="B67" i="5"/>
  <c r="E66" i="5"/>
  <c r="R66" i="5" s="1"/>
  <c r="B66" i="5"/>
  <c r="E65" i="5"/>
  <c r="R65" i="5" s="1"/>
  <c r="B65" i="5"/>
  <c r="E64" i="5"/>
  <c r="E69" i="5" s="1"/>
  <c r="B64" i="5"/>
  <c r="T62" i="5"/>
  <c r="J62" i="5"/>
  <c r="J96" i="5" s="1"/>
  <c r="J104" i="5" s="1"/>
  <c r="I62" i="5"/>
  <c r="I96" i="5" s="1"/>
  <c r="I104" i="5" s="1"/>
  <c r="H62" i="5"/>
  <c r="H96" i="5" s="1"/>
  <c r="H104" i="5" s="1"/>
  <c r="Q61" i="5"/>
  <c r="P61" i="5"/>
  <c r="O61" i="5"/>
  <c r="N61" i="5"/>
  <c r="M61" i="5"/>
  <c r="L61" i="5"/>
  <c r="K61" i="5"/>
  <c r="J61" i="5"/>
  <c r="I61" i="5"/>
  <c r="H61" i="5"/>
  <c r="G61" i="5"/>
  <c r="F61" i="5"/>
  <c r="D61" i="5"/>
  <c r="C61" i="5"/>
  <c r="B61" i="5"/>
  <c r="R60" i="5"/>
  <c r="E60" i="5"/>
  <c r="B60" i="5"/>
  <c r="E59" i="5"/>
  <c r="R59" i="5" s="1"/>
  <c r="B59" i="5"/>
  <c r="E58" i="5"/>
  <c r="R58" i="5" s="1"/>
  <c r="B58" i="5"/>
  <c r="E57" i="5"/>
  <c r="R57" i="5" s="1"/>
  <c r="B57" i="5"/>
  <c r="R56" i="5"/>
  <c r="E56" i="5"/>
  <c r="E61" i="5" s="1"/>
  <c r="B56" i="5"/>
  <c r="E55" i="5"/>
  <c r="R55" i="5" s="1"/>
  <c r="B55" i="5"/>
  <c r="T53" i="5"/>
  <c r="S53" i="5"/>
  <c r="Q53" i="5"/>
  <c r="P53" i="5"/>
  <c r="O53" i="5"/>
  <c r="N53" i="5"/>
  <c r="M53" i="5"/>
  <c r="L53" i="5"/>
  <c r="K53" i="5"/>
  <c r="J53" i="5"/>
  <c r="I53" i="5"/>
  <c r="H53" i="5"/>
  <c r="G53" i="5"/>
  <c r="G62" i="5" s="1"/>
  <c r="G96" i="5" s="1"/>
  <c r="G104" i="5" s="1"/>
  <c r="F53" i="5"/>
  <c r="D53" i="5"/>
  <c r="C53" i="5"/>
  <c r="B53" i="5"/>
  <c r="R52" i="5"/>
  <c r="E52" i="5"/>
  <c r="B52" i="5"/>
  <c r="E51" i="5"/>
  <c r="R51" i="5" s="1"/>
  <c r="B51" i="5"/>
  <c r="R50" i="5"/>
  <c r="E50" i="5"/>
  <c r="B50" i="5"/>
  <c r="E49" i="5"/>
  <c r="R49" i="5" s="1"/>
  <c r="B49" i="5"/>
  <c r="R48" i="5"/>
  <c r="E48" i="5"/>
  <c r="B48" i="5"/>
  <c r="E47" i="5"/>
  <c r="R47" i="5" s="1"/>
  <c r="B47" i="5"/>
  <c r="R46" i="5"/>
  <c r="E46" i="5"/>
  <c r="B46" i="5"/>
  <c r="E45" i="5"/>
  <c r="E53" i="5" s="1"/>
  <c r="B45" i="5"/>
  <c r="R43" i="5"/>
  <c r="E43" i="5"/>
  <c r="B43" i="5"/>
  <c r="T42" i="5"/>
  <c r="S42" i="5"/>
  <c r="Q42" i="5"/>
  <c r="P42" i="5"/>
  <c r="O42" i="5"/>
  <c r="N42" i="5"/>
  <c r="M42" i="5"/>
  <c r="L42" i="5"/>
  <c r="K42" i="5"/>
  <c r="J42" i="5"/>
  <c r="I42" i="5"/>
  <c r="H42" i="5"/>
  <c r="G42" i="5"/>
  <c r="F42" i="5"/>
  <c r="D42" i="5"/>
  <c r="C42" i="5"/>
  <c r="B42" i="5"/>
  <c r="E41" i="5"/>
  <c r="E42" i="5" s="1"/>
  <c r="B41" i="5"/>
  <c r="R40" i="5"/>
  <c r="E40" i="5"/>
  <c r="B40" i="5"/>
  <c r="T38" i="5"/>
  <c r="S38" i="5"/>
  <c r="Q38" i="5"/>
  <c r="P38" i="5"/>
  <c r="O38" i="5"/>
  <c r="N38" i="5"/>
  <c r="M38" i="5"/>
  <c r="L38" i="5"/>
  <c r="K38" i="5"/>
  <c r="J38" i="5"/>
  <c r="I38" i="5"/>
  <c r="H38" i="5"/>
  <c r="G38" i="5"/>
  <c r="F38" i="5"/>
  <c r="F62" i="5" s="1"/>
  <c r="F96" i="5" s="1"/>
  <c r="F104" i="5" s="1"/>
  <c r="D38" i="5"/>
  <c r="C38" i="5"/>
  <c r="B38" i="5"/>
  <c r="R37" i="5"/>
  <c r="E37" i="5"/>
  <c r="B37" i="5"/>
  <c r="E36" i="5"/>
  <c r="R36" i="5" s="1"/>
  <c r="B36" i="5"/>
  <c r="E35" i="5"/>
  <c r="R35" i="5" s="1"/>
  <c r="B35" i="5"/>
  <c r="E34" i="5"/>
  <c r="R34" i="5" s="1"/>
  <c r="B34" i="5"/>
  <c r="R33" i="5"/>
  <c r="E33" i="5"/>
  <c r="B33" i="5"/>
  <c r="E32" i="5"/>
  <c r="R32" i="5" s="1"/>
  <c r="B32" i="5"/>
  <c r="E31" i="5"/>
  <c r="R31" i="5" s="1"/>
  <c r="B31" i="5"/>
  <c r="R30" i="5"/>
  <c r="B30" i="5"/>
  <c r="E29" i="5"/>
  <c r="R29" i="5" s="1"/>
  <c r="B29" i="5"/>
  <c r="R27" i="5"/>
  <c r="B27" i="5"/>
  <c r="T26" i="5"/>
  <c r="S26" i="5"/>
  <c r="Q26" i="5"/>
  <c r="P26" i="5"/>
  <c r="O26" i="5"/>
  <c r="N26" i="5"/>
  <c r="M26" i="5"/>
  <c r="L26" i="5"/>
  <c r="K26" i="5"/>
  <c r="J26" i="5"/>
  <c r="I26" i="5"/>
  <c r="H26" i="5"/>
  <c r="G26" i="5"/>
  <c r="F26" i="5"/>
  <c r="D26" i="5"/>
  <c r="C26" i="5"/>
  <c r="B26" i="5"/>
  <c r="E25" i="5"/>
  <c r="R25" i="5" s="1"/>
  <c r="B25" i="5"/>
  <c r="R24" i="5"/>
  <c r="E24" i="5"/>
  <c r="B24" i="5"/>
  <c r="E23" i="5"/>
  <c r="R23" i="5" s="1"/>
  <c r="B23" i="5"/>
  <c r="E22" i="5"/>
  <c r="R22" i="5" s="1"/>
  <c r="B22" i="5"/>
  <c r="E21" i="5"/>
  <c r="R21" i="5" s="1"/>
  <c r="B21" i="5"/>
  <c r="R20" i="5"/>
  <c r="E20" i="5"/>
  <c r="B20" i="5"/>
  <c r="E19" i="5"/>
  <c r="R19" i="5" s="1"/>
  <c r="B19" i="5"/>
  <c r="E18" i="5"/>
  <c r="R18" i="5" s="1"/>
  <c r="B18" i="5"/>
  <c r="E17" i="5"/>
  <c r="E26" i="5" s="1"/>
  <c r="B17" i="5"/>
  <c r="R15" i="5"/>
  <c r="E15" i="5"/>
  <c r="B15" i="5"/>
  <c r="E14" i="5"/>
  <c r="R14" i="5" s="1"/>
  <c r="B14" i="5"/>
  <c r="E13" i="5"/>
  <c r="R13" i="5" s="1"/>
  <c r="B13" i="5"/>
  <c r="Q12" i="5"/>
  <c r="O12" i="5"/>
  <c r="J12" i="5"/>
  <c r="H12" i="5"/>
  <c r="G12" i="5"/>
  <c r="F12" i="5"/>
  <c r="C12" i="5"/>
  <c r="T11" i="5"/>
  <c r="Q11" i="5"/>
  <c r="P11" i="5"/>
  <c r="O11" i="5"/>
  <c r="N11" i="5"/>
  <c r="M11" i="5"/>
  <c r="L11" i="5"/>
  <c r="K11" i="5"/>
  <c r="J11" i="5"/>
  <c r="I11" i="5"/>
  <c r="H11" i="5"/>
  <c r="G11" i="5"/>
  <c r="F11" i="5"/>
  <c r="D11" i="5"/>
  <c r="B11" i="5" s="1"/>
  <c r="C11" i="5"/>
  <c r="S10" i="5"/>
  <c r="S62" i="5" s="1"/>
  <c r="E10" i="5"/>
  <c r="R10" i="5" s="1"/>
  <c r="B10" i="5"/>
  <c r="R9" i="5"/>
  <c r="R11" i="5" s="1"/>
  <c r="E9" i="5"/>
  <c r="B9" i="5"/>
  <c r="Q8" i="5"/>
  <c r="Q62" i="5" s="1"/>
  <c r="Q96" i="5" s="1"/>
  <c r="Q104" i="5" s="1"/>
  <c r="P8" i="5"/>
  <c r="P62" i="5" s="1"/>
  <c r="P96" i="5" s="1"/>
  <c r="P104" i="5" s="1"/>
  <c r="O8" i="5"/>
  <c r="O62" i="5" s="1"/>
  <c r="O96" i="5" s="1"/>
  <c r="O104" i="5" s="1"/>
  <c r="N8" i="5"/>
  <c r="N12" i="5" s="1"/>
  <c r="M8" i="5"/>
  <c r="M12" i="5" s="1"/>
  <c r="L8" i="5"/>
  <c r="L12" i="5" s="1"/>
  <c r="K8" i="5"/>
  <c r="K12" i="5" s="1"/>
  <c r="J8" i="5"/>
  <c r="I8" i="5"/>
  <c r="I12" i="5" s="1"/>
  <c r="H8" i="5"/>
  <c r="G8" i="5"/>
  <c r="F8" i="5"/>
  <c r="D8" i="5"/>
  <c r="D62" i="5" s="1"/>
  <c r="D96" i="5" s="1"/>
  <c r="D104" i="5" s="1"/>
  <c r="C8" i="5"/>
  <c r="C62" i="5" s="1"/>
  <c r="E7" i="5"/>
  <c r="R7" i="5" s="1"/>
  <c r="B7" i="5"/>
  <c r="R6" i="5"/>
  <c r="E6" i="5"/>
  <c r="B6" i="5"/>
  <c r="E5" i="5"/>
  <c r="R5" i="5" s="1"/>
  <c r="B5" i="5"/>
  <c r="R4" i="5"/>
  <c r="R8" i="5" s="1"/>
  <c r="E4" i="5"/>
  <c r="E8" i="5" s="1"/>
  <c r="B4" i="5"/>
  <c r="Q2" i="5"/>
  <c r="P2" i="5"/>
  <c r="O2" i="5"/>
  <c r="N2" i="5"/>
  <c r="M2" i="5"/>
  <c r="L2" i="5"/>
  <c r="K2" i="5"/>
  <c r="J2" i="5"/>
  <c r="I2" i="5"/>
  <c r="H2" i="5"/>
  <c r="G2" i="5"/>
  <c r="F2" i="5"/>
  <c r="AJ1020" i="4"/>
  <c r="AJ1016" i="4"/>
  <c r="AJ1013" i="4"/>
  <c r="AF1010" i="4"/>
  <c r="AJ1009" i="4"/>
  <c r="AF1005" i="4"/>
  <c r="AJ1004" i="4"/>
  <c r="AW1003" i="4"/>
  <c r="AW1001" i="4"/>
  <c r="AF1001" i="4" s="1"/>
  <c r="AW1000" i="4"/>
  <c r="AW999" i="4"/>
  <c r="AW998" i="4"/>
  <c r="AW997" i="4"/>
  <c r="AJ997" i="4"/>
  <c r="AW996" i="4"/>
  <c r="AW995" i="4"/>
  <c r="AJ995" i="4"/>
  <c r="AW994" i="4"/>
  <c r="AW993" i="4"/>
  <c r="AW992" i="4"/>
  <c r="AW991" i="4"/>
  <c r="AJ991" i="4"/>
  <c r="AW990" i="4"/>
  <c r="AJ985" i="4"/>
  <c r="AJ978" i="4"/>
  <c r="R974" i="4"/>
  <c r="R972" i="4"/>
  <c r="R971" i="4"/>
  <c r="R970" i="4"/>
  <c r="Z889" i="4"/>
  <c r="W867" i="4"/>
  <c r="W860" i="4"/>
  <c r="W849" i="4"/>
  <c r="W842" i="4"/>
  <c r="W834" i="4"/>
  <c r="AC871" i="4" s="1"/>
  <c r="BO833" i="4"/>
  <c r="R973" i="4" s="1"/>
  <c r="AG819" i="4"/>
  <c r="AC819" i="4"/>
  <c r="Y819" i="4"/>
  <c r="U819" i="4"/>
  <c r="Q819" i="4"/>
  <c r="M819" i="4"/>
  <c r="Z804" i="4"/>
  <c r="AC784" i="4"/>
  <c r="O784" i="4"/>
  <c r="AC872" i="4" s="1"/>
  <c r="AC783" i="4"/>
  <c r="AC782" i="4"/>
  <c r="AC781" i="4"/>
  <c r="AC780" i="4"/>
  <c r="AC779" i="4"/>
  <c r="AC778" i="4"/>
  <c r="AC777" i="4"/>
  <c r="AC776" i="4"/>
  <c r="AC775" i="4"/>
  <c r="AC774" i="4"/>
  <c r="AC764" i="4"/>
  <c r="O764" i="4"/>
  <c r="AC763" i="4"/>
  <c r="AC762" i="4"/>
  <c r="AC761" i="4"/>
  <c r="AC760" i="4"/>
  <c r="C742" i="4"/>
  <c r="G738" i="4"/>
  <c r="BG737" i="4"/>
  <c r="BF737" i="4"/>
  <c r="BE737" i="4"/>
  <c r="AY737" i="4"/>
  <c r="AV737" i="4"/>
  <c r="AM737" i="4"/>
  <c r="AC737" i="4"/>
  <c r="T737" i="4"/>
  <c r="BE736" i="4"/>
  <c r="BF736" i="4" s="1"/>
  <c r="BG736" i="4" s="1"/>
  <c r="AY736" i="4"/>
  <c r="AV736" i="4"/>
  <c r="AM736" i="4"/>
  <c r="AC736" i="4"/>
  <c r="T736" i="4"/>
  <c r="BG735" i="4"/>
  <c r="BF735" i="4"/>
  <c r="BE735" i="4"/>
  <c r="AY735" i="4"/>
  <c r="AV735" i="4"/>
  <c r="AM735" i="4"/>
  <c r="AC735" i="4"/>
  <c r="T735" i="4"/>
  <c r="BF734" i="4"/>
  <c r="BG734" i="4" s="1"/>
  <c r="BE734" i="4"/>
  <c r="AY734" i="4"/>
  <c r="AV734" i="4"/>
  <c r="AM734" i="4"/>
  <c r="AC734" i="4"/>
  <c r="T734" i="4"/>
  <c r="BE733" i="4"/>
  <c r="BF733" i="4" s="1"/>
  <c r="BG733" i="4" s="1"/>
  <c r="AY733" i="4"/>
  <c r="AV733" i="4"/>
  <c r="AM733" i="4"/>
  <c r="AC733" i="4"/>
  <c r="T733" i="4"/>
  <c r="BE732" i="4"/>
  <c r="BF732" i="4" s="1"/>
  <c r="BG732" i="4" s="1"/>
  <c r="AY732" i="4"/>
  <c r="AV732" i="4"/>
  <c r="AM732" i="4"/>
  <c r="AC732" i="4"/>
  <c r="T732" i="4"/>
  <c r="BG731" i="4"/>
  <c r="BF731" i="4"/>
  <c r="BE731" i="4"/>
  <c r="AY731" i="4"/>
  <c r="AV731" i="4"/>
  <c r="AM731" i="4"/>
  <c r="AC731" i="4"/>
  <c r="T731" i="4"/>
  <c r="BE730" i="4"/>
  <c r="BF730" i="4" s="1"/>
  <c r="BG730" i="4" s="1"/>
  <c r="AY730" i="4"/>
  <c r="AV730" i="4"/>
  <c r="AM730" i="4"/>
  <c r="AC730" i="4"/>
  <c r="T730" i="4"/>
  <c r="BG729" i="4"/>
  <c r="BF729" i="4"/>
  <c r="BE729" i="4"/>
  <c r="AY729" i="4"/>
  <c r="AV729" i="4"/>
  <c r="AM729" i="4"/>
  <c r="AC729" i="4"/>
  <c r="T729" i="4"/>
  <c r="BF728" i="4"/>
  <c r="BG728" i="4" s="1"/>
  <c r="BE728" i="4"/>
  <c r="AY728" i="4"/>
  <c r="AV728" i="4"/>
  <c r="AM728" i="4"/>
  <c r="AC728" i="4"/>
  <c r="T728" i="4"/>
  <c r="BE727" i="4"/>
  <c r="BF727" i="4" s="1"/>
  <c r="BG727" i="4" s="1"/>
  <c r="AY727" i="4"/>
  <c r="AV727" i="4"/>
  <c r="AM727" i="4"/>
  <c r="AC727" i="4"/>
  <c r="T727" i="4"/>
  <c r="BE726" i="4"/>
  <c r="BF726" i="4" s="1"/>
  <c r="BG726" i="4" s="1"/>
  <c r="AY726" i="4"/>
  <c r="AV726" i="4"/>
  <c r="AM726" i="4"/>
  <c r="AC726" i="4"/>
  <c r="T726" i="4"/>
  <c r="BG725" i="4"/>
  <c r="BF725" i="4"/>
  <c r="BE725" i="4"/>
  <c r="AY725" i="4"/>
  <c r="AV725" i="4"/>
  <c r="AM725" i="4"/>
  <c r="AC725" i="4"/>
  <c r="T725" i="4"/>
  <c r="BE724" i="4"/>
  <c r="BF724" i="4" s="1"/>
  <c r="BG724" i="4" s="1"/>
  <c r="AY724" i="4"/>
  <c r="AV724" i="4"/>
  <c r="AM724" i="4"/>
  <c r="AC724" i="4"/>
  <c r="T724" i="4"/>
  <c r="BG723" i="4"/>
  <c r="BF723" i="4"/>
  <c r="BE723" i="4"/>
  <c r="AY723" i="4"/>
  <c r="AV723" i="4"/>
  <c r="AM723" i="4"/>
  <c r="AC723" i="4"/>
  <c r="T723" i="4"/>
  <c r="BF722" i="4"/>
  <c r="BG722" i="4" s="1"/>
  <c r="BE722" i="4"/>
  <c r="AY722" i="4"/>
  <c r="AV722" i="4"/>
  <c r="AM722" i="4"/>
  <c r="AC722" i="4"/>
  <c r="T722" i="4"/>
  <c r="BE721" i="4"/>
  <c r="BF721" i="4" s="1"/>
  <c r="BG721" i="4" s="1"/>
  <c r="AY721" i="4"/>
  <c r="AV721" i="4"/>
  <c r="AM721" i="4"/>
  <c r="AC721" i="4"/>
  <c r="T721" i="4"/>
  <c r="BE720" i="4"/>
  <c r="BF720" i="4" s="1"/>
  <c r="BG720" i="4" s="1"/>
  <c r="AY720" i="4"/>
  <c r="AV720" i="4"/>
  <c r="AM720" i="4"/>
  <c r="AC720" i="4"/>
  <c r="T720" i="4"/>
  <c r="BG719" i="4"/>
  <c r="BF719" i="4"/>
  <c r="BE719" i="4"/>
  <c r="AY719" i="4"/>
  <c r="AV719" i="4"/>
  <c r="AM719" i="4"/>
  <c r="AC719" i="4"/>
  <c r="T719" i="4"/>
  <c r="BE718" i="4"/>
  <c r="BF718" i="4" s="1"/>
  <c r="BG718" i="4" s="1"/>
  <c r="AY718" i="4"/>
  <c r="AV718" i="4"/>
  <c r="AM718" i="4"/>
  <c r="AC718" i="4"/>
  <c r="T718" i="4"/>
  <c r="BG717" i="4"/>
  <c r="BF717" i="4"/>
  <c r="BE717" i="4"/>
  <c r="AY717" i="4"/>
  <c r="AV717" i="4"/>
  <c r="AM717" i="4"/>
  <c r="AC717" i="4"/>
  <c r="T717" i="4"/>
  <c r="BF716" i="4"/>
  <c r="BG716" i="4" s="1"/>
  <c r="BE716" i="4"/>
  <c r="AY716" i="4"/>
  <c r="AV716" i="4"/>
  <c r="AM716" i="4"/>
  <c r="AC716" i="4"/>
  <c r="T716" i="4"/>
  <c r="BE715" i="4"/>
  <c r="BF715" i="4" s="1"/>
  <c r="BG715" i="4" s="1"/>
  <c r="AY715" i="4"/>
  <c r="AV715" i="4"/>
  <c r="AM715" i="4"/>
  <c r="AC715" i="4"/>
  <c r="T715" i="4"/>
  <c r="BE714" i="4"/>
  <c r="BF714" i="4" s="1"/>
  <c r="BG714" i="4" s="1"/>
  <c r="AY714" i="4"/>
  <c r="AV714" i="4"/>
  <c r="AM714" i="4"/>
  <c r="AC714" i="4"/>
  <c r="T714" i="4"/>
  <c r="BG713" i="4"/>
  <c r="BF713" i="4"/>
  <c r="BE713" i="4"/>
  <c r="AY713" i="4"/>
  <c r="AV713" i="4"/>
  <c r="AM713" i="4"/>
  <c r="AC713" i="4"/>
  <c r="T713" i="4"/>
  <c r="BE712" i="4"/>
  <c r="BF712" i="4" s="1"/>
  <c r="BG712" i="4" s="1"/>
  <c r="AY712" i="4"/>
  <c r="AV712" i="4"/>
  <c r="AM712" i="4"/>
  <c r="AC712" i="4"/>
  <c r="T712" i="4"/>
  <c r="BG711" i="4"/>
  <c r="BF711" i="4"/>
  <c r="BE711" i="4"/>
  <c r="AY711" i="4"/>
  <c r="AV711" i="4"/>
  <c r="AM711" i="4"/>
  <c r="AC711" i="4"/>
  <c r="T711" i="4"/>
  <c r="BF710" i="4"/>
  <c r="BG710" i="4" s="1"/>
  <c r="BE710" i="4"/>
  <c r="AY710" i="4"/>
  <c r="AV710" i="4"/>
  <c r="AM710" i="4"/>
  <c r="AC710" i="4"/>
  <c r="T710" i="4"/>
  <c r="BE709" i="4"/>
  <c r="BF709" i="4" s="1"/>
  <c r="BG709" i="4" s="1"/>
  <c r="AY709" i="4"/>
  <c r="AV709" i="4"/>
  <c r="AM709" i="4"/>
  <c r="AC709" i="4"/>
  <c r="T709" i="4"/>
  <c r="BE708" i="4"/>
  <c r="BF708" i="4" s="1"/>
  <c r="BG708" i="4" s="1"/>
  <c r="AY708" i="4"/>
  <c r="AY738" i="4" s="1"/>
  <c r="AV708" i="4"/>
  <c r="AM708" i="4"/>
  <c r="AC708" i="4"/>
  <c r="T708" i="4"/>
  <c r="BG707" i="4"/>
  <c r="BF707" i="4"/>
  <c r="BE707" i="4"/>
  <c r="AY707" i="4"/>
  <c r="AV707" i="4"/>
  <c r="AM707" i="4"/>
  <c r="AC707" i="4"/>
  <c r="T707" i="4"/>
  <c r="BE706" i="4"/>
  <c r="BF706" i="4" s="1"/>
  <c r="BG706" i="4" s="1"/>
  <c r="AY706" i="4"/>
  <c r="AV706" i="4"/>
  <c r="AC706" i="4"/>
  <c r="AM706" i="4" s="1"/>
  <c r="T706" i="4"/>
  <c r="O706" i="4"/>
  <c r="BE705" i="4"/>
  <c r="BF705" i="4" s="1"/>
  <c r="AY705" i="4"/>
  <c r="AV705" i="4"/>
  <c r="O705" i="4"/>
  <c r="BE704" i="4"/>
  <c r="AY704" i="4"/>
  <c r="AV704" i="4"/>
  <c r="O704" i="4"/>
  <c r="BE703" i="4"/>
  <c r="BE738" i="4" s="1"/>
  <c r="AY703" i="4"/>
  <c r="AV703" i="4"/>
  <c r="O703" i="4"/>
  <c r="AC703" i="4" s="1"/>
  <c r="AM703" i="4" s="1"/>
  <c r="Z685" i="4"/>
  <c r="G685" i="4"/>
  <c r="Z677" i="4"/>
  <c r="G677" i="4"/>
  <c r="Z669" i="4"/>
  <c r="G669" i="4"/>
  <c r="Z661" i="4"/>
  <c r="G661" i="4"/>
  <c r="CC653" i="4"/>
  <c r="CG654" i="4" s="1"/>
  <c r="BX653" i="4"/>
  <c r="CB654" i="4" s="1"/>
  <c r="Z653" i="4"/>
  <c r="G653" i="4"/>
  <c r="CM652" i="4"/>
  <c r="CH652" i="4"/>
  <c r="CC652" i="4"/>
  <c r="BX652" i="4"/>
  <c r="BS652" i="4"/>
  <c r="BN652" i="4"/>
  <c r="CM651" i="4"/>
  <c r="CH651" i="4"/>
  <c r="CC651" i="4"/>
  <c r="BX651" i="4"/>
  <c r="BS651" i="4"/>
  <c r="BN651" i="4"/>
  <c r="CM650" i="4"/>
  <c r="CH650" i="4"/>
  <c r="CC650" i="4"/>
  <c r="BX650" i="4"/>
  <c r="BS650" i="4"/>
  <c r="BN650" i="4"/>
  <c r="CM649" i="4"/>
  <c r="CH649" i="4"/>
  <c r="CC649" i="4"/>
  <c r="BX649" i="4"/>
  <c r="BS649" i="4"/>
  <c r="BN649" i="4"/>
  <c r="CM648" i="4"/>
  <c r="CH648" i="4"/>
  <c r="CC648" i="4"/>
  <c r="BX648" i="4"/>
  <c r="BS648" i="4"/>
  <c r="BN648" i="4"/>
  <c r="CM647" i="4"/>
  <c r="CH647" i="4"/>
  <c r="CC647" i="4"/>
  <c r="BX647" i="4"/>
  <c r="BS647" i="4"/>
  <c r="BN647" i="4"/>
  <c r="CM646" i="4"/>
  <c r="CH646" i="4"/>
  <c r="CC646" i="4"/>
  <c r="BX646" i="4"/>
  <c r="BS646" i="4"/>
  <c r="BN646" i="4"/>
  <c r="CM645" i="4"/>
  <c r="CH645" i="4"/>
  <c r="CH653" i="4" s="1"/>
  <c r="CL654" i="4" s="1"/>
  <c r="CC645" i="4"/>
  <c r="BX645" i="4"/>
  <c r="BS645" i="4"/>
  <c r="BN645" i="4"/>
  <c r="Z645" i="4"/>
  <c r="G645" i="4"/>
  <c r="CM644" i="4"/>
  <c r="CH644" i="4"/>
  <c r="CC644" i="4"/>
  <c r="BX644" i="4"/>
  <c r="BS644" i="4"/>
  <c r="BN644" i="4"/>
  <c r="BN653" i="4" s="1"/>
  <c r="CM643" i="4"/>
  <c r="CM653" i="4" s="1"/>
  <c r="CH643" i="4"/>
  <c r="CC643" i="4"/>
  <c r="BX643" i="4"/>
  <c r="BS643" i="4"/>
  <c r="BS653" i="4" s="1"/>
  <c r="BW654" i="4" s="1"/>
  <c r="BN643" i="4"/>
  <c r="AO643" i="4"/>
  <c r="CC641" i="4"/>
  <c r="BX641" i="4"/>
  <c r="AO641" i="4"/>
  <c r="CM640" i="4"/>
  <c r="CH640" i="4"/>
  <c r="CC640" i="4"/>
  <c r="BX640" i="4"/>
  <c r="BS640" i="4"/>
  <c r="BN640" i="4"/>
  <c r="AT640" i="4"/>
  <c r="CM639" i="4"/>
  <c r="CH639" i="4"/>
  <c r="CH641" i="4" s="1"/>
  <c r="CC639" i="4"/>
  <c r="BX639" i="4"/>
  <c r="BS639" i="4"/>
  <c r="BN639" i="4"/>
  <c r="AT639" i="4"/>
  <c r="CM638" i="4"/>
  <c r="CH638" i="4"/>
  <c r="CC638" i="4"/>
  <c r="BX638" i="4"/>
  <c r="BS638" i="4"/>
  <c r="BN638" i="4"/>
  <c r="BN641" i="4" s="1"/>
  <c r="AT638" i="4"/>
  <c r="CM637" i="4"/>
  <c r="CM641" i="4" s="1"/>
  <c r="CH637" i="4"/>
  <c r="CC637" i="4"/>
  <c r="BX637" i="4"/>
  <c r="BS637" i="4"/>
  <c r="BS641" i="4" s="1"/>
  <c r="BN637" i="4"/>
  <c r="AT637" i="4"/>
  <c r="AT636" i="4"/>
  <c r="DH635" i="4"/>
  <c r="AT635" i="4"/>
  <c r="DR634" i="4"/>
  <c r="DM634" i="4"/>
  <c r="DH634" i="4"/>
  <c r="DC634" i="4"/>
  <c r="CX634" i="4"/>
  <c r="CS634" i="4"/>
  <c r="BK634" i="4"/>
  <c r="BI634" i="4"/>
  <c r="BE634" i="4"/>
  <c r="BG634" i="4" s="1"/>
  <c r="AT634" i="4"/>
  <c r="DR633" i="4"/>
  <c r="DM633" i="4"/>
  <c r="DH633" i="4"/>
  <c r="DC633" i="4"/>
  <c r="CX633" i="4"/>
  <c r="CS633" i="4"/>
  <c r="CM633" i="4"/>
  <c r="CH633" i="4"/>
  <c r="CC633" i="4"/>
  <c r="BX633" i="4"/>
  <c r="BS633" i="4"/>
  <c r="BN633" i="4"/>
  <c r="BK633" i="4"/>
  <c r="BI633" i="4"/>
  <c r="BE633" i="4"/>
  <c r="BG633" i="4" s="1"/>
  <c r="AT633" i="4"/>
  <c r="DR632" i="4"/>
  <c r="DM632" i="4"/>
  <c r="DH632" i="4"/>
  <c r="DC632" i="4"/>
  <c r="CX632" i="4"/>
  <c r="CS632" i="4"/>
  <c r="CM632" i="4"/>
  <c r="CH632" i="4"/>
  <c r="CC632" i="4"/>
  <c r="BX632" i="4"/>
  <c r="BS632" i="4"/>
  <c r="BN632" i="4"/>
  <c r="BI632" i="4"/>
  <c r="BK632" i="4" s="1"/>
  <c r="BG632" i="4"/>
  <c r="BE632" i="4"/>
  <c r="AT632" i="4"/>
  <c r="DR631" i="4"/>
  <c r="DM631" i="4"/>
  <c r="DH631" i="4"/>
  <c r="DC631" i="4"/>
  <c r="CX631" i="4"/>
  <c r="CS631" i="4"/>
  <c r="CM631" i="4"/>
  <c r="CH631" i="4"/>
  <c r="CC631" i="4"/>
  <c r="BX631" i="4"/>
  <c r="BS631" i="4"/>
  <c r="BN631" i="4"/>
  <c r="BI631" i="4"/>
  <c r="BK631" i="4" s="1"/>
  <c r="BG631" i="4"/>
  <c r="BE631" i="4"/>
  <c r="AT631" i="4"/>
  <c r="DR630" i="4"/>
  <c r="DM630" i="4"/>
  <c r="DH630" i="4"/>
  <c r="DC630" i="4"/>
  <c r="CX630" i="4"/>
  <c r="CS630" i="4"/>
  <c r="CM630" i="4"/>
  <c r="CH630" i="4"/>
  <c r="CC630" i="4"/>
  <c r="BX630" i="4"/>
  <c r="BS630" i="4"/>
  <c r="BN630" i="4"/>
  <c r="BI630" i="4"/>
  <c r="BK630" i="4" s="1"/>
  <c r="BE630" i="4"/>
  <c r="BG630" i="4" s="1"/>
  <c r="AT630" i="4"/>
  <c r="DR629" i="4"/>
  <c r="DM629" i="4"/>
  <c r="DH629" i="4"/>
  <c r="DC629" i="4"/>
  <c r="CX629" i="4"/>
  <c r="CS629" i="4"/>
  <c r="CM629" i="4"/>
  <c r="CH629" i="4"/>
  <c r="CC629" i="4"/>
  <c r="BX629" i="4"/>
  <c r="BS629" i="4"/>
  <c r="BN629" i="4"/>
  <c r="BK629" i="4"/>
  <c r="BI629" i="4"/>
  <c r="BE629" i="4"/>
  <c r="BG629" i="4" s="1"/>
  <c r="AT629" i="4"/>
  <c r="DR628" i="4"/>
  <c r="DM628" i="4"/>
  <c r="DH628" i="4"/>
  <c r="DC628" i="4"/>
  <c r="CX628" i="4"/>
  <c r="CS628" i="4"/>
  <c r="CM628" i="4"/>
  <c r="CH628" i="4"/>
  <c r="CC628" i="4"/>
  <c r="BX628" i="4"/>
  <c r="BS628" i="4"/>
  <c r="BN628" i="4"/>
  <c r="BK628" i="4"/>
  <c r="BI628" i="4"/>
  <c r="BE628" i="4"/>
  <c r="BG628" i="4" s="1"/>
  <c r="DR627" i="4"/>
  <c r="DM627" i="4"/>
  <c r="DH627" i="4"/>
  <c r="DC627" i="4"/>
  <c r="CX627" i="4"/>
  <c r="CS627" i="4"/>
  <c r="CM627" i="4"/>
  <c r="CH627" i="4"/>
  <c r="CC627" i="4"/>
  <c r="BX627" i="4"/>
  <c r="BS627" i="4"/>
  <c r="BN627" i="4"/>
  <c r="BI627" i="4"/>
  <c r="BK627" i="4" s="1"/>
  <c r="BG627" i="4"/>
  <c r="BE627" i="4"/>
  <c r="DR626" i="4"/>
  <c r="DM626" i="4"/>
  <c r="DH626" i="4"/>
  <c r="DC626" i="4"/>
  <c r="CX626" i="4"/>
  <c r="CS626" i="4"/>
  <c r="CM626" i="4"/>
  <c r="CH626" i="4"/>
  <c r="CC626" i="4"/>
  <c r="BX626" i="4"/>
  <c r="BS626" i="4"/>
  <c r="BN626" i="4"/>
  <c r="BI626" i="4"/>
  <c r="BK626" i="4" s="1"/>
  <c r="BG626" i="4"/>
  <c r="BE626" i="4"/>
  <c r="DR625" i="4"/>
  <c r="DM625" i="4"/>
  <c r="DH625" i="4"/>
  <c r="DC625" i="4"/>
  <c r="CX625" i="4"/>
  <c r="CS625" i="4"/>
  <c r="CM625" i="4"/>
  <c r="CH625" i="4"/>
  <c r="CC625" i="4"/>
  <c r="BX625" i="4"/>
  <c r="BS625" i="4"/>
  <c r="BN625" i="4"/>
  <c r="BK625" i="4"/>
  <c r="BI625" i="4"/>
  <c r="BE625" i="4"/>
  <c r="BG625" i="4" s="1"/>
  <c r="DR624" i="4"/>
  <c r="DM624" i="4"/>
  <c r="DH624" i="4"/>
  <c r="DC624" i="4"/>
  <c r="CX624" i="4"/>
  <c r="CS624" i="4"/>
  <c r="CM624" i="4"/>
  <c r="CH624" i="4"/>
  <c r="CC624" i="4"/>
  <c r="BX624" i="4"/>
  <c r="BS624" i="4"/>
  <c r="BN624" i="4"/>
  <c r="BI624" i="4"/>
  <c r="BK624" i="4" s="1"/>
  <c r="BG624" i="4"/>
  <c r="BE624" i="4"/>
  <c r="DR623" i="4"/>
  <c r="DM623" i="4"/>
  <c r="DH623" i="4"/>
  <c r="DC623" i="4"/>
  <c r="CX623" i="4"/>
  <c r="CS623" i="4"/>
  <c r="CM623" i="4"/>
  <c r="CH623" i="4"/>
  <c r="CC623" i="4"/>
  <c r="BX623" i="4"/>
  <c r="BS623" i="4"/>
  <c r="BN623" i="4"/>
  <c r="BI623" i="4"/>
  <c r="BK623" i="4" s="1"/>
  <c r="BG623" i="4"/>
  <c r="BE623" i="4"/>
  <c r="DR622" i="4"/>
  <c r="DM622" i="4"/>
  <c r="DH622" i="4"/>
  <c r="DC622" i="4"/>
  <c r="CX622" i="4"/>
  <c r="CS622" i="4"/>
  <c r="CM622" i="4"/>
  <c r="CH622" i="4"/>
  <c r="CC622" i="4"/>
  <c r="BX622" i="4"/>
  <c r="BS622" i="4"/>
  <c r="BN622" i="4"/>
  <c r="BK622" i="4"/>
  <c r="BI622" i="4"/>
  <c r="BE622" i="4"/>
  <c r="BG622" i="4" s="1"/>
  <c r="DR621" i="4"/>
  <c r="DM621" i="4"/>
  <c r="DH621" i="4"/>
  <c r="DC621" i="4"/>
  <c r="CX621" i="4"/>
  <c r="CS621" i="4"/>
  <c r="CM621" i="4"/>
  <c r="CH621" i="4"/>
  <c r="CC621" i="4"/>
  <c r="BX621" i="4"/>
  <c r="BS621" i="4"/>
  <c r="BN621" i="4"/>
  <c r="BI621" i="4"/>
  <c r="BK621" i="4" s="1"/>
  <c r="BG621" i="4"/>
  <c r="BE621" i="4"/>
  <c r="DR620" i="4"/>
  <c r="DM620" i="4"/>
  <c r="DH620" i="4"/>
  <c r="DC620" i="4"/>
  <c r="CX620" i="4"/>
  <c r="CS620" i="4"/>
  <c r="CM620" i="4"/>
  <c r="CH620" i="4"/>
  <c r="CC620" i="4"/>
  <c r="BX620" i="4"/>
  <c r="BS620" i="4"/>
  <c r="BN620" i="4"/>
  <c r="BI620" i="4"/>
  <c r="BK620" i="4" s="1"/>
  <c r="BG620" i="4"/>
  <c r="BE620" i="4"/>
  <c r="DR619" i="4"/>
  <c r="DM619" i="4"/>
  <c r="DH619" i="4"/>
  <c r="DC619" i="4"/>
  <c r="CX619" i="4"/>
  <c r="CS619" i="4"/>
  <c r="CM619" i="4"/>
  <c r="CH619" i="4"/>
  <c r="CC619" i="4"/>
  <c r="BX619" i="4"/>
  <c r="BS619" i="4"/>
  <c r="BN619" i="4"/>
  <c r="BK619" i="4"/>
  <c r="BI619" i="4"/>
  <c r="BE619" i="4"/>
  <c r="BG619" i="4" s="1"/>
  <c r="DR618" i="4"/>
  <c r="DM618" i="4"/>
  <c r="DH618" i="4"/>
  <c r="DC618" i="4"/>
  <c r="CX618" i="4"/>
  <c r="CS618" i="4"/>
  <c r="CM618" i="4"/>
  <c r="CH618" i="4"/>
  <c r="CC618" i="4"/>
  <c r="BX618" i="4"/>
  <c r="BS618" i="4"/>
  <c r="BN618" i="4"/>
  <c r="BI618" i="4"/>
  <c r="BK618" i="4" s="1"/>
  <c r="BG618" i="4"/>
  <c r="BE618" i="4"/>
  <c r="DR617" i="4"/>
  <c r="DM617" i="4"/>
  <c r="DH617" i="4"/>
  <c r="DC617" i="4"/>
  <c r="CX617" i="4"/>
  <c r="CS617" i="4"/>
  <c r="CM617" i="4"/>
  <c r="CH617" i="4"/>
  <c r="CC617" i="4"/>
  <c r="BX617" i="4"/>
  <c r="BS617" i="4"/>
  <c r="BN617" i="4"/>
  <c r="BI617" i="4"/>
  <c r="BK617" i="4" s="1"/>
  <c r="BG617" i="4"/>
  <c r="BE617" i="4"/>
  <c r="DR616" i="4"/>
  <c r="DM616" i="4"/>
  <c r="DH616" i="4"/>
  <c r="DC616" i="4"/>
  <c r="CX616" i="4"/>
  <c r="CS616" i="4"/>
  <c r="CM616" i="4"/>
  <c r="CH616" i="4"/>
  <c r="CC616" i="4"/>
  <c r="BX616" i="4"/>
  <c r="BS616" i="4"/>
  <c r="BN616" i="4"/>
  <c r="BK616" i="4"/>
  <c r="BI616" i="4"/>
  <c r="BE616" i="4"/>
  <c r="BG616" i="4" s="1"/>
  <c r="DR615" i="4"/>
  <c r="DM615" i="4"/>
  <c r="DH615" i="4"/>
  <c r="DC615" i="4"/>
  <c r="CX615" i="4"/>
  <c r="CS615" i="4"/>
  <c r="CM615" i="4"/>
  <c r="CH615" i="4"/>
  <c r="CC615" i="4"/>
  <c r="BX615" i="4"/>
  <c r="BS615" i="4"/>
  <c r="BN615" i="4"/>
  <c r="BI615" i="4"/>
  <c r="BK615" i="4" s="1"/>
  <c r="BG615" i="4"/>
  <c r="BE615" i="4"/>
  <c r="DR614" i="4"/>
  <c r="DM614" i="4"/>
  <c r="DH614" i="4"/>
  <c r="DC614" i="4"/>
  <c r="CX614" i="4"/>
  <c r="CS614" i="4"/>
  <c r="CM614" i="4"/>
  <c r="CH614" i="4"/>
  <c r="CC614" i="4"/>
  <c r="BX614" i="4"/>
  <c r="BS614" i="4"/>
  <c r="BN614" i="4"/>
  <c r="BI614" i="4"/>
  <c r="BK614" i="4" s="1"/>
  <c r="BG614" i="4"/>
  <c r="BE614" i="4"/>
  <c r="DR613" i="4"/>
  <c r="DM613" i="4"/>
  <c r="DH613" i="4"/>
  <c r="DC613" i="4"/>
  <c r="CX613" i="4"/>
  <c r="CS613" i="4"/>
  <c r="CM613" i="4"/>
  <c r="CH613" i="4"/>
  <c r="CC613" i="4"/>
  <c r="BX613" i="4"/>
  <c r="BS613" i="4"/>
  <c r="BN613" i="4"/>
  <c r="BK613" i="4"/>
  <c r="BI613" i="4"/>
  <c r="BE613" i="4"/>
  <c r="BG613" i="4" s="1"/>
  <c r="DR612" i="4"/>
  <c r="DM612" i="4"/>
  <c r="DH612" i="4"/>
  <c r="DC612" i="4"/>
  <c r="CX612" i="4"/>
  <c r="CS612" i="4"/>
  <c r="CM612" i="4"/>
  <c r="CH612" i="4"/>
  <c r="CC612" i="4"/>
  <c r="BX612" i="4"/>
  <c r="BS612" i="4"/>
  <c r="BN612" i="4"/>
  <c r="BI612" i="4"/>
  <c r="BK612" i="4" s="1"/>
  <c r="BG612" i="4"/>
  <c r="BE612" i="4"/>
  <c r="DR611" i="4"/>
  <c r="DM611" i="4"/>
  <c r="DH611" i="4"/>
  <c r="DC611" i="4"/>
  <c r="CX611" i="4"/>
  <c r="CS611" i="4"/>
  <c r="CM611" i="4"/>
  <c r="CH611" i="4"/>
  <c r="CC611" i="4"/>
  <c r="BX611" i="4"/>
  <c r="BS611" i="4"/>
  <c r="BN611" i="4"/>
  <c r="BI611" i="4"/>
  <c r="BK611" i="4" s="1"/>
  <c r="BG611" i="4"/>
  <c r="BE611" i="4"/>
  <c r="Z611" i="4"/>
  <c r="G611" i="4"/>
  <c r="DR610" i="4"/>
  <c r="DM610" i="4"/>
  <c r="DH610" i="4"/>
  <c r="DC610" i="4"/>
  <c r="CX610" i="4"/>
  <c r="CS610" i="4"/>
  <c r="CM610" i="4"/>
  <c r="CH610" i="4"/>
  <c r="CC610" i="4"/>
  <c r="BX610" i="4"/>
  <c r="BS610" i="4"/>
  <c r="BN610" i="4"/>
  <c r="BI610" i="4"/>
  <c r="BK610" i="4" s="1"/>
  <c r="BE610" i="4"/>
  <c r="BG610" i="4" s="1"/>
  <c r="DR609" i="4"/>
  <c r="DM609" i="4"/>
  <c r="DH609" i="4"/>
  <c r="DC609" i="4"/>
  <c r="CX609" i="4"/>
  <c r="CS609" i="4"/>
  <c r="CM609" i="4"/>
  <c r="CH609" i="4"/>
  <c r="CC609" i="4"/>
  <c r="BX609" i="4"/>
  <c r="BS609" i="4"/>
  <c r="BN609" i="4"/>
  <c r="BK609" i="4"/>
  <c r="BI609" i="4"/>
  <c r="BE609" i="4"/>
  <c r="BG609" i="4" s="1"/>
  <c r="DR608" i="4"/>
  <c r="DM608" i="4"/>
  <c r="DH608" i="4"/>
  <c r="DC608" i="4"/>
  <c r="CX608" i="4"/>
  <c r="CS608" i="4"/>
  <c r="CM608" i="4"/>
  <c r="CH608" i="4"/>
  <c r="CC608" i="4"/>
  <c r="BX608" i="4"/>
  <c r="BS608" i="4"/>
  <c r="BN608" i="4"/>
  <c r="BK608" i="4"/>
  <c r="BI608" i="4"/>
  <c r="BG608" i="4"/>
  <c r="BE608" i="4"/>
  <c r="DR607" i="4"/>
  <c r="DM607" i="4"/>
  <c r="DH607" i="4"/>
  <c r="DC607" i="4"/>
  <c r="CX607" i="4"/>
  <c r="CS607" i="4"/>
  <c r="CM607" i="4"/>
  <c r="CH607" i="4"/>
  <c r="CC607" i="4"/>
  <c r="BX607" i="4"/>
  <c r="BS607" i="4"/>
  <c r="BN607" i="4"/>
  <c r="BI607" i="4"/>
  <c r="BK607" i="4" s="1"/>
  <c r="BE607" i="4"/>
  <c r="BG607" i="4" s="1"/>
  <c r="DR606" i="4"/>
  <c r="DM606" i="4"/>
  <c r="DH606" i="4"/>
  <c r="DC606" i="4"/>
  <c r="CX606" i="4"/>
  <c r="CS606" i="4"/>
  <c r="CM606" i="4"/>
  <c r="CH606" i="4"/>
  <c r="CC606" i="4"/>
  <c r="BX606" i="4"/>
  <c r="BS606" i="4"/>
  <c r="BN606" i="4"/>
  <c r="BK606" i="4"/>
  <c r="BI606" i="4"/>
  <c r="BE606" i="4"/>
  <c r="BG606" i="4" s="1"/>
  <c r="DR605" i="4"/>
  <c r="DM605" i="4"/>
  <c r="DH605" i="4"/>
  <c r="DC605" i="4"/>
  <c r="CX605" i="4"/>
  <c r="CS605" i="4"/>
  <c r="CM605" i="4"/>
  <c r="CH605" i="4"/>
  <c r="CC605" i="4"/>
  <c r="BX605" i="4"/>
  <c r="BS605" i="4"/>
  <c r="BN605" i="4"/>
  <c r="BK605" i="4"/>
  <c r="BI605" i="4"/>
  <c r="BG605" i="4"/>
  <c r="BE605" i="4"/>
  <c r="DR604" i="4"/>
  <c r="DM604" i="4"/>
  <c r="DH604" i="4"/>
  <c r="DC604" i="4"/>
  <c r="CX604" i="4"/>
  <c r="CS604" i="4"/>
  <c r="CM604" i="4"/>
  <c r="CH604" i="4"/>
  <c r="CC604" i="4"/>
  <c r="BX604" i="4"/>
  <c r="BS604" i="4"/>
  <c r="BN604" i="4"/>
  <c r="BI604" i="4"/>
  <c r="BK604" i="4" s="1"/>
  <c r="BE604" i="4"/>
  <c r="BG604" i="4" s="1"/>
  <c r="DR603" i="4"/>
  <c r="DM603" i="4"/>
  <c r="DH603" i="4"/>
  <c r="DC603" i="4"/>
  <c r="CX603" i="4"/>
  <c r="CS603" i="4"/>
  <c r="CM603" i="4"/>
  <c r="CH603" i="4"/>
  <c r="CC603" i="4"/>
  <c r="BX603" i="4"/>
  <c r="BS603" i="4"/>
  <c r="BN603" i="4"/>
  <c r="BK603" i="4"/>
  <c r="BI603" i="4"/>
  <c r="BE603" i="4"/>
  <c r="BG603" i="4" s="1"/>
  <c r="Z603" i="4"/>
  <c r="G603" i="4"/>
  <c r="DR602" i="4"/>
  <c r="DM602" i="4"/>
  <c r="DH602" i="4"/>
  <c r="DC602" i="4"/>
  <c r="DC635" i="4" s="1"/>
  <c r="CX602" i="4"/>
  <c r="CS602" i="4"/>
  <c r="CM602" i="4"/>
  <c r="CH602" i="4"/>
  <c r="CC602" i="4"/>
  <c r="BX602" i="4"/>
  <c r="BS602" i="4"/>
  <c r="BN602" i="4"/>
  <c r="BK602" i="4"/>
  <c r="BI602" i="4"/>
  <c r="BE602" i="4"/>
  <c r="BG602" i="4" s="1"/>
  <c r="DR601" i="4"/>
  <c r="DR635" i="4" s="1"/>
  <c r="DM601" i="4"/>
  <c r="DM635" i="4" s="1"/>
  <c r="DH601" i="4"/>
  <c r="DC601" i="4"/>
  <c r="CX601" i="4"/>
  <c r="CS601" i="4"/>
  <c r="CM601" i="4"/>
  <c r="CH601" i="4"/>
  <c r="CC601" i="4"/>
  <c r="BX601" i="4"/>
  <c r="BS601" i="4"/>
  <c r="BN601" i="4"/>
  <c r="BI601" i="4"/>
  <c r="BK601" i="4" s="1"/>
  <c r="BG601" i="4"/>
  <c r="BE601" i="4"/>
  <c r="DR600" i="4"/>
  <c r="DM600" i="4"/>
  <c r="DH600" i="4"/>
  <c r="DC600" i="4"/>
  <c r="CX600" i="4"/>
  <c r="CX635" i="4" s="1"/>
  <c r="CS600" i="4"/>
  <c r="CS635" i="4" s="1"/>
  <c r="CM600" i="4"/>
  <c r="CH600" i="4"/>
  <c r="CC600" i="4"/>
  <c r="BX600" i="4"/>
  <c r="BS600" i="4"/>
  <c r="BN600" i="4"/>
  <c r="BI600" i="4"/>
  <c r="BK600" i="4" s="1"/>
  <c r="BG600" i="4"/>
  <c r="BE600" i="4"/>
  <c r="CM599" i="4"/>
  <c r="CM634" i="4" s="1"/>
  <c r="CH599" i="4"/>
  <c r="CH634" i="4" s="1"/>
  <c r="CC599" i="4"/>
  <c r="CC634" i="4" s="1"/>
  <c r="BX599" i="4"/>
  <c r="BX634" i="4" s="1"/>
  <c r="BS599" i="4"/>
  <c r="BS634" i="4" s="1"/>
  <c r="BN599" i="4"/>
  <c r="BN634" i="4" s="1"/>
  <c r="Z595" i="4"/>
  <c r="G595" i="4"/>
  <c r="Z587" i="4"/>
  <c r="G587" i="4"/>
  <c r="Z579" i="4"/>
  <c r="G579" i="4"/>
  <c r="Z571" i="4"/>
  <c r="G571" i="4"/>
  <c r="AT568" i="4"/>
  <c r="AT567" i="4"/>
  <c r="AT566" i="4"/>
  <c r="AT565" i="4"/>
  <c r="AT564" i="4"/>
  <c r="AT563" i="4"/>
  <c r="AT562" i="4"/>
  <c r="AT561" i="4"/>
  <c r="AT560" i="4"/>
  <c r="AT559" i="4"/>
  <c r="AT558" i="4"/>
  <c r="AM558" i="4"/>
  <c r="AM569" i="4" s="1"/>
  <c r="AG451" i="4"/>
  <c r="AG445" i="4"/>
  <c r="AG442" i="4"/>
  <c r="AG446" i="4" s="1"/>
  <c r="AF419" i="4" a="1"/>
  <c r="AF419" i="4" s="1"/>
  <c r="W419" i="4"/>
  <c r="AF242" i="4"/>
  <c r="BG241" i="4"/>
  <c r="BG240" i="4"/>
  <c r="BG239" i="4"/>
  <c r="BG238" i="4"/>
  <c r="BG237" i="4"/>
  <c r="BG236" i="4"/>
  <c r="M235" i="4"/>
  <c r="BG234" i="4"/>
  <c r="BG233" i="4"/>
  <c r="BG232" i="4"/>
  <c r="BG230" i="4"/>
  <c r="AZ260" i="4" s="1"/>
  <c r="BO245" i="4" s="1"/>
  <c r="T269" i="4" s="1"/>
  <c r="BG229" i="4"/>
  <c r="BG228" i="4"/>
  <c r="BG227" i="4"/>
  <c r="BG226" i="4"/>
  <c r="V215" i="4"/>
  <c r="AF998" i="4" s="1"/>
  <c r="I184" i="4"/>
  <c r="E9" i="17" l="1"/>
  <c r="T26" i="16"/>
  <c r="T28" i="16" s="1"/>
  <c r="T29" i="16" s="1"/>
  <c r="AD38" i="16"/>
  <c r="AD40" i="16" s="1"/>
  <c r="Y38" i="16"/>
  <c r="Y40" i="16" s="1"/>
  <c r="Y41" i="16" s="1"/>
  <c r="AB53" i="16"/>
  <c r="AB54" i="16" s="1"/>
  <c r="Y38" i="15"/>
  <c r="Y40" i="15" s="1"/>
  <c r="T26" i="15"/>
  <c r="T28" i="15" s="1"/>
  <c r="T29" i="15" s="1"/>
  <c r="AD38" i="15"/>
  <c r="AD40" i="15" s="1"/>
  <c r="AB53" i="15"/>
  <c r="AB54" i="15" s="1"/>
  <c r="K8" i="12"/>
  <c r="I9" i="12"/>
  <c r="E7" i="12"/>
  <c r="E11" i="12" s="1"/>
  <c r="E37" i="12" s="1"/>
  <c r="G22" i="12"/>
  <c r="G6" i="12"/>
  <c r="K15" i="12"/>
  <c r="I22" i="12"/>
  <c r="I35" i="12" s="1"/>
  <c r="U43" i="12"/>
  <c r="Y28" i="12"/>
  <c r="W28" i="12"/>
  <c r="U28" i="12"/>
  <c r="S28" i="12"/>
  <c r="Q28" i="12"/>
  <c r="M28" i="12"/>
  <c r="K28" i="12"/>
  <c r="AG28" i="12"/>
  <c r="M53" i="12"/>
  <c r="K58" i="12"/>
  <c r="G58" i="12"/>
  <c r="G28" i="12"/>
  <c r="G5" i="12"/>
  <c r="I4" i="12"/>
  <c r="I58" i="12"/>
  <c r="I28" i="12"/>
  <c r="O28" i="12"/>
  <c r="AA28" i="12"/>
  <c r="AC29" i="12"/>
  <c r="AC40" i="12"/>
  <c r="AC43" i="12" s="1"/>
  <c r="K29" i="12"/>
  <c r="K40" i="12"/>
  <c r="K43" i="12" s="1"/>
  <c r="M29" i="12"/>
  <c r="M40" i="12"/>
  <c r="M43" i="12" s="1"/>
  <c r="I40" i="11"/>
  <c r="B76" i="10"/>
  <c r="O76" i="10" s="1"/>
  <c r="V33" i="9"/>
  <c r="V35" i="9" s="1"/>
  <c r="BE586" i="8"/>
  <c r="AP596" i="8" s="1"/>
  <c r="CE540" i="8"/>
  <c r="CE541" i="8" s="1"/>
  <c r="CH560" i="8"/>
  <c r="BL594" i="8"/>
  <c r="CC542" i="8"/>
  <c r="BP595" i="8"/>
  <c r="BF595" i="8"/>
  <c r="BF598" i="8" s="1"/>
  <c r="AS367" i="8"/>
  <c r="AS365" i="8"/>
  <c r="BA203" i="8"/>
  <c r="AZ203" i="8"/>
  <c r="AO197" i="8" s="1"/>
  <c r="AP543" i="8"/>
  <c r="AP558" i="8"/>
  <c r="AU559" i="8" s="1"/>
  <c r="Q591" i="8"/>
  <c r="W591" i="8" s="1"/>
  <c r="AC591" i="8" s="1"/>
  <c r="BP594" i="8"/>
  <c r="AY551" i="8"/>
  <c r="AS552" i="8" s="1"/>
  <c r="Y620" i="8"/>
  <c r="AR622" i="8"/>
  <c r="AZ582" i="8"/>
  <c r="Q592" i="8"/>
  <c r="W592" i="8" s="1"/>
  <c r="AC592" i="8" s="1"/>
  <c r="Q597" i="8"/>
  <c r="W597" i="8" s="1"/>
  <c r="AC597" i="8" s="1"/>
  <c r="AO620" i="8"/>
  <c r="BY539" i="8"/>
  <c r="BY541" i="8" s="1"/>
  <c r="BY542" i="8" s="1"/>
  <c r="CH559" i="8"/>
  <c r="Q594" i="8"/>
  <c r="W594" i="8" s="1"/>
  <c r="AC594" i="8" s="1"/>
  <c r="Q600" i="8"/>
  <c r="W600" i="8" s="1"/>
  <c r="AR620" i="8"/>
  <c r="BD534" i="8"/>
  <c r="CA539" i="8"/>
  <c r="CA541" i="8" s="1"/>
  <c r="AP544" i="8"/>
  <c r="BB594" i="8" s="1"/>
  <c r="BB598" i="8" s="1"/>
  <c r="AP547" i="8"/>
  <c r="BN597" i="8" s="1"/>
  <c r="BN598" i="8" s="1"/>
  <c r="BF575" i="8"/>
  <c r="BK578" i="8" s="1"/>
  <c r="AU556" i="8" s="1"/>
  <c r="BL595" i="8"/>
  <c r="AO618" i="8"/>
  <c r="T709" i="8"/>
  <c r="T708" i="8" s="1"/>
  <c r="AF708" i="8" s="1"/>
  <c r="BK575" i="8"/>
  <c r="BM536" i="8"/>
  <c r="BM541" i="8" s="1"/>
  <c r="Q593" i="8"/>
  <c r="W593" i="8" s="1"/>
  <c r="AC593" i="8" s="1"/>
  <c r="Q601" i="8"/>
  <c r="W601" i="8" s="1"/>
  <c r="Y621" i="8"/>
  <c r="AZ583" i="8"/>
  <c r="Q596" i="8"/>
  <c r="W596" i="8" s="1"/>
  <c r="AC596" i="8" s="1"/>
  <c r="Q598" i="8"/>
  <c r="W598" i="8" s="1"/>
  <c r="AC598" i="8" s="1"/>
  <c r="O624" i="8"/>
  <c r="AR616" i="8" s="1"/>
  <c r="AP546" i="8"/>
  <c r="BH594" i="8"/>
  <c r="Y619" i="8"/>
  <c r="AU547" i="8" s="1"/>
  <c r="AR621" i="8"/>
  <c r="BQ537" i="8"/>
  <c r="BQ541" i="8" s="1"/>
  <c r="F95" i="7"/>
  <c r="F103" i="7" s="1"/>
  <c r="F105" i="7" s="1"/>
  <c r="T11" i="6" s="1"/>
  <c r="T23" i="6" s="1"/>
  <c r="T26" i="6" s="1"/>
  <c r="T28" i="6" s="1"/>
  <c r="C12" i="7"/>
  <c r="D12" i="7"/>
  <c r="Y11" i="6"/>
  <c r="Y23" i="6" s="1"/>
  <c r="Y26" i="6" s="1"/>
  <c r="Y28" i="6" s="1"/>
  <c r="Y63" i="6" s="1"/>
  <c r="AI11" i="6"/>
  <c r="AI23" i="6" s="1"/>
  <c r="AI26" i="6" s="1"/>
  <c r="AI28" i="6" s="1"/>
  <c r="T29" i="6"/>
  <c r="AB53" i="6"/>
  <c r="AB54" i="6" s="1"/>
  <c r="AD67" i="6"/>
  <c r="Y38" i="6"/>
  <c r="Y40" i="6" s="1"/>
  <c r="T7" i="6"/>
  <c r="S96" i="5"/>
  <c r="R61" i="5"/>
  <c r="R12" i="5"/>
  <c r="R95" i="5"/>
  <c r="C96" i="5"/>
  <c r="B62" i="5"/>
  <c r="R38" i="5"/>
  <c r="E62" i="5"/>
  <c r="E96" i="5" s="1"/>
  <c r="E104" i="5" s="1"/>
  <c r="E12" i="5"/>
  <c r="R71" i="5"/>
  <c r="R76" i="5" s="1"/>
  <c r="D12" i="5"/>
  <c r="P12" i="5"/>
  <c r="R45" i="5"/>
  <c r="R53" i="5" s="1"/>
  <c r="B8" i="5"/>
  <c r="B12" i="5" s="1"/>
  <c r="K62" i="5"/>
  <c r="K96" i="5" s="1"/>
  <c r="K104" i="5" s="1"/>
  <c r="R64" i="5"/>
  <c r="R69" i="5" s="1"/>
  <c r="E38" i="5"/>
  <c r="L62" i="5"/>
  <c r="L96" i="5" s="1"/>
  <c r="L104" i="5" s="1"/>
  <c r="B69" i="5"/>
  <c r="B103" i="5"/>
  <c r="T96" i="5"/>
  <c r="E11" i="5"/>
  <c r="N62" i="5"/>
  <c r="N96" i="5" s="1"/>
  <c r="N104" i="5" s="1"/>
  <c r="R99" i="5"/>
  <c r="R103" i="5" s="1"/>
  <c r="R17" i="5"/>
  <c r="R26" i="5" s="1"/>
  <c r="R62" i="5" s="1"/>
  <c r="R96" i="5" s="1"/>
  <c r="R104" i="5" s="1"/>
  <c r="R41" i="5"/>
  <c r="R42" i="5" s="1"/>
  <c r="M62" i="5"/>
  <c r="M96" i="5" s="1"/>
  <c r="M104" i="5" s="1"/>
  <c r="BW635" i="4"/>
  <c r="BS659" i="4"/>
  <c r="AB971" i="4" s="1"/>
  <c r="AC873" i="4"/>
  <c r="CG635" i="4"/>
  <c r="CC659" i="4"/>
  <c r="AB973" i="4" s="1"/>
  <c r="CB635" i="4"/>
  <c r="BX659" i="4"/>
  <c r="AB972" i="4" s="1"/>
  <c r="AJ972" i="4" s="1"/>
  <c r="BG705" i="4"/>
  <c r="BK635" i="4"/>
  <c r="AJ971" i="4"/>
  <c r="CL635" i="4"/>
  <c r="CH659" i="4"/>
  <c r="CQ635" i="4"/>
  <c r="CQ654" i="4"/>
  <c r="CM659" i="4"/>
  <c r="AB974" i="4" s="1"/>
  <c r="AJ974" i="4" s="1"/>
  <c r="BF703" i="4"/>
  <c r="BF704" i="4"/>
  <c r="BG704" i="4" s="1"/>
  <c r="CQ655" i="4"/>
  <c r="BR654" i="4"/>
  <c r="CS641" i="4"/>
  <c r="BN659" i="4"/>
  <c r="AB970" i="4" s="1"/>
  <c r="AJ970" i="4" s="1"/>
  <c r="AJ976" i="4" s="1"/>
  <c r="BR635" i="4"/>
  <c r="BG635" i="4"/>
  <c r="AZ733" i="4"/>
  <c r="BA733" i="4" s="1"/>
  <c r="AZ727" i="4"/>
  <c r="BA727" i="4" s="1"/>
  <c r="AZ721" i="4"/>
  <c r="BA721" i="4" s="1"/>
  <c r="AZ715" i="4"/>
  <c r="BA715" i="4" s="1"/>
  <c r="AZ709" i="4"/>
  <c r="BA709" i="4" s="1"/>
  <c r="AZ704" i="4"/>
  <c r="BA704" i="4" s="1"/>
  <c r="AZ734" i="4"/>
  <c r="BA734" i="4" s="1"/>
  <c r="AZ728" i="4"/>
  <c r="BA728" i="4" s="1"/>
  <c r="AZ722" i="4"/>
  <c r="BA722" i="4" s="1"/>
  <c r="AZ716" i="4"/>
  <c r="BA716" i="4" s="1"/>
  <c r="AZ710" i="4"/>
  <c r="BA710" i="4" s="1"/>
  <c r="AZ735" i="4"/>
  <c r="BA735" i="4" s="1"/>
  <c r="AZ729" i="4"/>
  <c r="BA729" i="4" s="1"/>
  <c r="AZ723" i="4"/>
  <c r="BA723" i="4" s="1"/>
  <c r="AZ703" i="4"/>
  <c r="AZ717" i="4"/>
  <c r="BA717" i="4" s="1"/>
  <c r="AZ711" i="4"/>
  <c r="BA711" i="4" s="1"/>
  <c r="AZ705" i="4"/>
  <c r="BA705" i="4" s="1"/>
  <c r="AZ714" i="4"/>
  <c r="BA714" i="4" s="1"/>
  <c r="AZ736" i="4"/>
  <c r="BA736" i="4" s="1"/>
  <c r="AZ730" i="4"/>
  <c r="BA730" i="4" s="1"/>
  <c r="AZ724" i="4"/>
  <c r="BA724" i="4" s="1"/>
  <c r="AZ718" i="4"/>
  <c r="BA718" i="4" s="1"/>
  <c r="AZ712" i="4"/>
  <c r="BA712" i="4" s="1"/>
  <c r="AZ706" i="4"/>
  <c r="BA706" i="4" s="1"/>
  <c r="AZ720" i="4"/>
  <c r="BA720" i="4" s="1"/>
  <c r="AZ708" i="4"/>
  <c r="BA708" i="4" s="1"/>
  <c r="AZ732" i="4"/>
  <c r="BA732" i="4" s="1"/>
  <c r="AZ726" i="4"/>
  <c r="BA726" i="4" s="1"/>
  <c r="AZ737" i="4"/>
  <c r="BA737" i="4" s="1"/>
  <c r="AZ731" i="4"/>
  <c r="BA731" i="4" s="1"/>
  <c r="AZ725" i="4"/>
  <c r="BA725" i="4" s="1"/>
  <c r="AZ719" i="4"/>
  <c r="BA719" i="4" s="1"/>
  <c r="AZ713" i="4"/>
  <c r="BA713" i="4" s="1"/>
  <c r="AZ707" i="4"/>
  <c r="BA707" i="4" s="1"/>
  <c r="AJ973" i="4"/>
  <c r="C785" i="4"/>
  <c r="T703" i="4"/>
  <c r="AC704" i="4"/>
  <c r="AM704" i="4" s="1"/>
  <c r="T704" i="4"/>
  <c r="T705" i="4"/>
  <c r="AC705" i="4"/>
  <c r="AM705" i="4" s="1"/>
  <c r="Z796" i="4"/>
  <c r="AB55" i="16" l="1"/>
  <c r="AB56" i="16" s="1"/>
  <c r="Y41" i="15"/>
  <c r="AB55" i="15" s="1"/>
  <c r="AB56" i="15" s="1"/>
  <c r="I5" i="12"/>
  <c r="K4" i="12"/>
  <c r="M15" i="12"/>
  <c r="K22" i="12"/>
  <c r="K35" i="12" s="1"/>
  <c r="G7" i="12"/>
  <c r="G11" i="12" s="1"/>
  <c r="G37" i="12" s="1"/>
  <c r="I6" i="12"/>
  <c r="G35" i="12"/>
  <c r="O53" i="12"/>
  <c r="M58" i="12"/>
  <c r="E49" i="12"/>
  <c r="E45" i="12"/>
  <c r="M8" i="12"/>
  <c r="K9" i="12"/>
  <c r="R75" i="10"/>
  <c r="AC602" i="8"/>
  <c r="CH557" i="8"/>
  <c r="BE583" i="8"/>
  <c r="AP593" i="8" s="1"/>
  <c r="AU544" i="8"/>
  <c r="BS537" i="8"/>
  <c r="BS541" i="8" s="1"/>
  <c r="BQ542" i="8" s="1"/>
  <c r="CC543" i="8"/>
  <c r="Y624" i="8"/>
  <c r="AR615" i="8" s="1"/>
  <c r="AJ627" i="8" s="1"/>
  <c r="T718" i="8" s="1"/>
  <c r="BY543" i="8"/>
  <c r="BD593" i="8"/>
  <c r="BD598" i="8" s="1"/>
  <c r="BH593" i="8"/>
  <c r="BH598" i="8" s="1"/>
  <c r="BF599" i="8" s="1"/>
  <c r="BL593" i="8"/>
  <c r="BL598" i="8" s="1"/>
  <c r="AX593" i="8"/>
  <c r="AX598" i="8" s="1"/>
  <c r="AX599" i="8" s="1"/>
  <c r="AR618" i="8"/>
  <c r="AR619" i="8"/>
  <c r="AX556" i="8"/>
  <c r="BP593" i="8"/>
  <c r="AP192" i="8"/>
  <c r="AP193" i="8"/>
  <c r="BB599" i="8"/>
  <c r="AU543" i="8"/>
  <c r="CH556" i="8"/>
  <c r="BO536" i="8"/>
  <c r="BO541" i="8" s="1"/>
  <c r="BM542" i="8" s="1"/>
  <c r="BE582" i="8"/>
  <c r="BJ596" i="8"/>
  <c r="BJ598" i="8" s="1"/>
  <c r="BJ599" i="8" s="1"/>
  <c r="BP596" i="8"/>
  <c r="BE584" i="8"/>
  <c r="AP594" i="8" s="1"/>
  <c r="BW538" i="8"/>
  <c r="BW541" i="8" s="1"/>
  <c r="BU542" i="8" s="1"/>
  <c r="CH558" i="8"/>
  <c r="AU545" i="8"/>
  <c r="AR623" i="8"/>
  <c r="AU546" i="8"/>
  <c r="AK484" i="8"/>
  <c r="T714" i="8" s="1"/>
  <c r="AO705" i="8" s="1"/>
  <c r="AO703" i="8" s="1"/>
  <c r="T712" i="8" s="1"/>
  <c r="AF712" i="8" s="1"/>
  <c r="AD38" i="6"/>
  <c r="AD40" i="6" s="1"/>
  <c r="AR43" i="6"/>
  <c r="AR42" i="6"/>
  <c r="Y41" i="6" s="1"/>
  <c r="AB55" i="6" s="1"/>
  <c r="AB56" i="6" s="1"/>
  <c r="B96" i="5"/>
  <c r="C104" i="5"/>
  <c r="T104" i="5"/>
  <c r="S104" i="5"/>
  <c r="AJ1025" i="4"/>
  <c r="AJ1000" i="4"/>
  <c r="AJ1029" i="4" s="1"/>
  <c r="T738" i="4"/>
  <c r="BA703" i="4"/>
  <c r="BA738" i="4" s="1"/>
  <c r="AH738" i="4" s="1"/>
  <c r="AZ738" i="4"/>
  <c r="BG703" i="4"/>
  <c r="BG738" i="4" s="1"/>
  <c r="AM738" i="4" s="1"/>
  <c r="BF738" i="4"/>
  <c r="CQ636" i="4"/>
  <c r="AB975" i="4"/>
  <c r="AB58" i="16" l="1"/>
  <c r="AB58" i="15"/>
  <c r="G45" i="12"/>
  <c r="G49" i="12"/>
  <c r="Q53" i="12"/>
  <c r="O58" i="12"/>
  <c r="I7" i="12"/>
  <c r="K6" i="12"/>
  <c r="O15" i="12"/>
  <c r="M22" i="12"/>
  <c r="M35" i="12" s="1"/>
  <c r="I11" i="12"/>
  <c r="I37" i="12" s="1"/>
  <c r="K5" i="12"/>
  <c r="M4" i="12"/>
  <c r="O8" i="12"/>
  <c r="M9" i="12"/>
  <c r="E48" i="12"/>
  <c r="E47" i="12"/>
  <c r="E60" i="12"/>
  <c r="BY545" i="8"/>
  <c r="CC546" i="8"/>
  <c r="BQ543" i="8"/>
  <c r="BQ547" i="8" s="1"/>
  <c r="BY544" i="8"/>
  <c r="CC545" i="8"/>
  <c r="CC547" i="8" s="1"/>
  <c r="BE555" i="8"/>
  <c r="BE560" i="8" s="1"/>
  <c r="BU544" i="8"/>
  <c r="BU543" i="8"/>
  <c r="BU547" i="8" s="1"/>
  <c r="CC544" i="8"/>
  <c r="AP592" i="8"/>
  <c r="BO582" i="8" s="1"/>
  <c r="BY547" i="8"/>
  <c r="T717" i="8"/>
  <c r="AK629" i="8"/>
  <c r="BP598" i="8"/>
  <c r="BN599" i="8" s="1"/>
  <c r="BJ600" i="8" s="1"/>
  <c r="AV564" i="8" s="1"/>
  <c r="AB58" i="6"/>
  <c r="S106" i="5"/>
  <c r="T106" i="5"/>
  <c r="AC456" i="4"/>
  <c r="B104" i="5"/>
  <c r="O741" i="4"/>
  <c r="P422" i="4"/>
  <c r="Y788" i="4"/>
  <c r="Y787" i="4"/>
  <c r="CQ657" i="4"/>
  <c r="F59" i="16" l="1"/>
  <c r="AB75" i="16"/>
  <c r="AB76" i="16" s="1"/>
  <c r="AB77" i="16" s="1"/>
  <c r="AB79" i="16" s="1"/>
  <c r="J80" i="16" s="1"/>
  <c r="AB75" i="15"/>
  <c r="AB76" i="15" s="1"/>
  <c r="AB77" i="15" s="1"/>
  <c r="AB79" i="15" s="1"/>
  <c r="J80" i="15" s="1"/>
  <c r="F59" i="15"/>
  <c r="O4" i="12"/>
  <c r="M5" i="12"/>
  <c r="E67" i="12"/>
  <c r="E66" i="12"/>
  <c r="E70" i="12" s="1"/>
  <c r="E72" i="12" s="1"/>
  <c r="Q15" i="12"/>
  <c r="O22" i="12"/>
  <c r="O35" i="12" s="1"/>
  <c r="I45" i="12"/>
  <c r="I49" i="12"/>
  <c r="K7" i="12"/>
  <c r="K11" i="12" s="1"/>
  <c r="K37" i="12" s="1"/>
  <c r="M6" i="12"/>
  <c r="S53" i="12"/>
  <c r="Q58" i="12"/>
  <c r="O9" i="12"/>
  <c r="Q8" i="12"/>
  <c r="G48" i="12"/>
  <c r="G47" i="12"/>
  <c r="G60" i="12"/>
  <c r="BI556" i="8"/>
  <c r="AO708" i="8"/>
  <c r="AF716" i="8" s="1"/>
  <c r="AF722" i="8" s="1"/>
  <c r="T716" i="8"/>
  <c r="CG547" i="8"/>
  <c r="BO587" i="8"/>
  <c r="BT583" i="8"/>
  <c r="AB75" i="6"/>
  <c r="AB76" i="6" s="1"/>
  <c r="AB77" i="6" s="1"/>
  <c r="AB79" i="6" s="1"/>
  <c r="J80" i="6" s="1"/>
  <c r="F59" i="6"/>
  <c r="AC455" i="4"/>
  <c r="F458" i="4" s="1"/>
  <c r="AC457" i="4"/>
  <c r="X1033" i="4"/>
  <c r="X1034" i="4" s="1"/>
  <c r="D1035" i="4" s="1"/>
  <c r="Z805" i="4"/>
  <c r="K45" i="12" l="1"/>
  <c r="K49" i="12"/>
  <c r="I48" i="12"/>
  <c r="I47" i="12"/>
  <c r="I60" i="12"/>
  <c r="G66" i="12"/>
  <c r="G62" i="12"/>
  <c r="G69" i="12"/>
  <c r="G68" i="12"/>
  <c r="G67" i="12"/>
  <c r="Q22" i="12"/>
  <c r="Q35" i="12" s="1"/>
  <c r="S15" i="12"/>
  <c r="Q9" i="12"/>
  <c r="S8" i="12"/>
  <c r="U53" i="12"/>
  <c r="S58" i="12"/>
  <c r="Q4" i="12"/>
  <c r="O5" i="12"/>
  <c r="M7" i="12"/>
  <c r="M11" i="12" s="1"/>
  <c r="M37" i="12" s="1"/>
  <c r="O6" i="12"/>
  <c r="BT587" i="8"/>
  <c r="BY584" i="8"/>
  <c r="BI560" i="8"/>
  <c r="BM557" i="8"/>
  <c r="Q6" i="12" l="1"/>
  <c r="O7" i="12"/>
  <c r="O11" i="12" s="1"/>
  <c r="O37" i="12" s="1"/>
  <c r="M45" i="12"/>
  <c r="M49" i="12"/>
  <c r="G70" i="12"/>
  <c r="G72" i="12" s="1"/>
  <c r="Q5" i="12"/>
  <c r="S4" i="12"/>
  <c r="I66" i="12"/>
  <c r="I70" i="12" s="1"/>
  <c r="I72" i="12" s="1"/>
  <c r="I62" i="12"/>
  <c r="I69" i="12"/>
  <c r="I68" i="12"/>
  <c r="I67" i="12"/>
  <c r="W53" i="12"/>
  <c r="U58" i="12"/>
  <c r="S9" i="12"/>
  <c r="U8" i="12"/>
  <c r="S22" i="12"/>
  <c r="S35" i="12" s="1"/>
  <c r="U15" i="12"/>
  <c r="K48" i="12"/>
  <c r="K47" i="12"/>
  <c r="K60" i="12"/>
  <c r="BM560" i="8"/>
  <c r="BQ558" i="8"/>
  <c r="BY587" i="8"/>
  <c r="CD585" i="8"/>
  <c r="CD587" i="8" s="1"/>
  <c r="O45" i="12" l="1"/>
  <c r="O49" i="12"/>
  <c r="U22" i="12"/>
  <c r="U35" i="12" s="1"/>
  <c r="W15" i="12"/>
  <c r="S5" i="12"/>
  <c r="U4" i="12"/>
  <c r="U9" i="12"/>
  <c r="W8" i="12"/>
  <c r="Y53" i="12"/>
  <c r="W58" i="12"/>
  <c r="M47" i="12"/>
  <c r="M60" i="12"/>
  <c r="M48" i="12"/>
  <c r="Q7" i="12"/>
  <c r="Q11" i="12" s="1"/>
  <c r="Q37" i="12" s="1"/>
  <c r="S6" i="12"/>
  <c r="K66" i="12"/>
  <c r="K62" i="12"/>
  <c r="K69" i="12"/>
  <c r="K68" i="12"/>
  <c r="K67" i="12"/>
  <c r="CI586" i="8"/>
  <c r="CI587" i="8" s="1"/>
  <c r="CN587" i="8" s="1"/>
  <c r="BD568" i="8" s="1"/>
  <c r="BQ560" i="8"/>
  <c r="BU559" i="8"/>
  <c r="BU560" i="8" s="1"/>
  <c r="Q45" i="12" l="1"/>
  <c r="Q49" i="12"/>
  <c r="Y58" i="12"/>
  <c r="AA53" i="12"/>
  <c r="U5" i="12"/>
  <c r="W4" i="12"/>
  <c r="W9" i="12"/>
  <c r="Y8" i="12"/>
  <c r="K70" i="12"/>
  <c r="K72" i="12" s="1"/>
  <c r="S7" i="12"/>
  <c r="S11" i="12" s="1"/>
  <c r="S37" i="12" s="1"/>
  <c r="U6" i="12"/>
  <c r="W22" i="12"/>
  <c r="W35" i="12" s="1"/>
  <c r="Y15" i="12"/>
  <c r="M62" i="12"/>
  <c r="M69" i="12"/>
  <c r="M68" i="12"/>
  <c r="M67" i="12"/>
  <c r="M66" i="12"/>
  <c r="M70" i="12" s="1"/>
  <c r="M72" i="12" s="1"/>
  <c r="O47" i="12"/>
  <c r="O60" i="12"/>
  <c r="O48" i="12"/>
  <c r="AW572" i="8"/>
  <c r="AT570" i="8"/>
  <c r="CC560" i="8"/>
  <c r="M25" i="4"/>
  <c r="P203" i="4" s="1"/>
  <c r="S45" i="12" l="1"/>
  <c r="S49" i="12"/>
  <c r="O62" i="12"/>
  <c r="O69" i="12"/>
  <c r="O67" i="12"/>
  <c r="O68" i="12"/>
  <c r="O66" i="12"/>
  <c r="O70" i="12" s="1"/>
  <c r="O72" i="12" s="1"/>
  <c r="Y9" i="12"/>
  <c r="AA8" i="12"/>
  <c r="W5" i="12"/>
  <c r="Y4" i="12"/>
  <c r="W6" i="12"/>
  <c r="U7" i="12"/>
  <c r="U11" i="12" s="1"/>
  <c r="U37" i="12" s="1"/>
  <c r="AA58" i="12"/>
  <c r="AC53" i="12"/>
  <c r="AA15" i="12"/>
  <c r="Y22" i="12"/>
  <c r="Y35" i="12" s="1"/>
  <c r="Q47" i="12"/>
  <c r="Q60" i="12"/>
  <c r="Q48" i="12"/>
  <c r="M27" i="4"/>
  <c r="U45" i="12" l="1"/>
  <c r="U49" i="12"/>
  <c r="AA9" i="12"/>
  <c r="AC8" i="12"/>
  <c r="Q62" i="12"/>
  <c r="Q69" i="12"/>
  <c r="Q68" i="12"/>
  <c r="Q67" i="12"/>
  <c r="Q66" i="12"/>
  <c r="Q70" i="12" s="1"/>
  <c r="Q72" i="12" s="1"/>
  <c r="AC15" i="12"/>
  <c r="AA22" i="12"/>
  <c r="AA35" i="12" s="1"/>
  <c r="AC58" i="12"/>
  <c r="AE53" i="12"/>
  <c r="Y6" i="12"/>
  <c r="W7" i="12"/>
  <c r="W11" i="12" s="1"/>
  <c r="W37" i="12" s="1"/>
  <c r="Y5" i="12"/>
  <c r="AA4" i="12"/>
  <c r="S60" i="12"/>
  <c r="S48" i="12"/>
  <c r="S47" i="12"/>
  <c r="W203" i="4"/>
  <c r="D203" i="4"/>
  <c r="AC22" i="12" l="1"/>
  <c r="AC35" i="12" s="1"/>
  <c r="AE15" i="12"/>
  <c r="S69" i="12"/>
  <c r="S68" i="12"/>
  <c r="S66" i="12"/>
  <c r="S62" i="12"/>
  <c r="S67" i="12"/>
  <c r="AA5" i="12"/>
  <c r="AC4" i="12"/>
  <c r="W45" i="12"/>
  <c r="W49" i="12"/>
  <c r="AC9" i="12"/>
  <c r="AE8" i="12"/>
  <c r="AA6" i="12"/>
  <c r="Y7" i="12"/>
  <c r="Y11" i="12" s="1"/>
  <c r="Y37" i="12" s="1"/>
  <c r="AG53" i="12"/>
  <c r="AG58" i="12" s="1"/>
  <c r="AE58" i="12"/>
  <c r="U60" i="12"/>
  <c r="U48" i="12"/>
  <c r="U47" i="12"/>
  <c r="W48" i="12" l="1"/>
  <c r="W60" i="12"/>
  <c r="W47" i="12"/>
  <c r="AE4" i="12"/>
  <c r="AC5" i="12"/>
  <c r="U69" i="12"/>
  <c r="U68" i="12"/>
  <c r="U67" i="12"/>
  <c r="U66" i="12"/>
  <c r="U70" i="12" s="1"/>
  <c r="U72" i="12" s="1"/>
  <c r="U62" i="12"/>
  <c r="S70" i="12"/>
  <c r="S72" i="12" s="1"/>
  <c r="Y49" i="12"/>
  <c r="Y45" i="12"/>
  <c r="AC6" i="12"/>
  <c r="AA7" i="12"/>
  <c r="AA11" i="12" s="1"/>
  <c r="AA37" i="12" s="1"/>
  <c r="AE9" i="12"/>
  <c r="AG8" i="12"/>
  <c r="AG9" i="12" s="1"/>
  <c r="AG15" i="12"/>
  <c r="AG22" i="12" s="1"/>
  <c r="AG35" i="12" s="1"/>
  <c r="AE22" i="12"/>
  <c r="AE35" i="12" s="1"/>
  <c r="AA49" i="12" l="1"/>
  <c r="AA45" i="12"/>
  <c r="AE5" i="12"/>
  <c r="AG4" i="12"/>
  <c r="AC7" i="12"/>
  <c r="AC11" i="12" s="1"/>
  <c r="AC37" i="12" s="1"/>
  <c r="AE6" i="12"/>
  <c r="Y48" i="12"/>
  <c r="Y47" i="12"/>
  <c r="Y60" i="12"/>
  <c r="W68" i="12"/>
  <c r="W67" i="12"/>
  <c r="W66" i="12"/>
  <c r="W62" i="12"/>
  <c r="W69" i="12"/>
  <c r="AC49" i="12" l="1"/>
  <c r="AC45" i="12"/>
  <c r="Y68" i="12"/>
  <c r="Y67" i="12"/>
  <c r="Y66" i="12"/>
  <c r="Y62" i="12"/>
  <c r="Y69" i="12"/>
  <c r="AE7" i="12"/>
  <c r="AG6" i="12"/>
  <c r="AG7" i="12" s="1"/>
  <c r="AE11" i="12"/>
  <c r="AE37" i="12" s="1"/>
  <c r="AG5" i="12"/>
  <c r="W70" i="12"/>
  <c r="W72" i="12" s="1"/>
  <c r="AA48" i="12"/>
  <c r="AA47" i="12"/>
  <c r="AA60" i="12"/>
  <c r="AE45" i="12" l="1"/>
  <c r="AE49" i="12"/>
  <c r="Y70" i="12"/>
  <c r="Y72" i="12" s="1"/>
  <c r="AA67" i="12"/>
  <c r="AA66" i="12"/>
  <c r="AA62" i="12"/>
  <c r="AA68" i="12"/>
  <c r="AA69" i="12"/>
  <c r="AG11" i="12"/>
  <c r="AG37" i="12" s="1"/>
  <c r="AC48" i="12"/>
  <c r="AC47" i="12"/>
  <c r="AC60" i="12"/>
  <c r="AG45" i="12" l="1"/>
  <c r="AG49" i="12"/>
  <c r="AA70" i="12"/>
  <c r="AA72" i="12" s="1"/>
  <c r="AC67" i="12"/>
  <c r="AC66" i="12"/>
  <c r="AC62" i="12"/>
  <c r="AC69" i="12"/>
  <c r="AC68" i="12"/>
  <c r="AE48" i="12"/>
  <c r="AE47" i="12"/>
  <c r="AE60" i="12"/>
  <c r="AC70" i="12" l="1"/>
  <c r="AC72" i="12" s="1"/>
  <c r="AG48" i="12"/>
  <c r="AG47" i="12"/>
  <c r="AG60" i="12"/>
  <c r="AE66" i="12"/>
  <c r="AE62" i="12"/>
  <c r="AE69" i="12"/>
  <c r="AE68" i="12"/>
  <c r="AE67" i="12"/>
  <c r="AE70" i="12" l="1"/>
  <c r="AE72" i="12" s="1"/>
  <c r="AG66" i="12"/>
  <c r="AG62" i="12"/>
  <c r="AG69" i="12"/>
  <c r="AG68" i="12"/>
  <c r="AG67" i="12"/>
  <c r="AG70" i="12" l="1"/>
  <c r="AG7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00000000-0006-0000-0300-000001000000}">
      <text>
        <r>
          <rPr>
            <sz val="10"/>
            <rFont val="Arial"/>
            <family val="2"/>
          </rPr>
          <t>Include prior approval of Executive Director in Tab 10 when selecting this option.</t>
        </r>
      </text>
    </comment>
    <comment ref="Z796" authorId="1" shapeId="0" xr:uid="{00000000-0006-0000-0300-000002000000}">
      <text>
        <r>
          <rPr>
            <sz val="10"/>
            <rFont val="Arial"/>
            <family val="2"/>
          </rPr>
          <t>Complete the Subsidy Contract Calculation tab, the annual rental subsidy overhang amount will automatically populate</t>
        </r>
      </text>
    </comment>
    <comment ref="R970" authorId="2" shapeId="0" xr:uid="{00000000-0006-0000-0300-000003000000}">
      <text>
        <r>
          <rPr>
            <sz val="10"/>
            <rFont val="Arial"/>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10"/>
            <rFont val="Arial"/>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10"/>
            <rFont val="Arial"/>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10"/>
            <rFont val="Arial"/>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500-000002000000}">
      <text>
        <r>
          <rPr>
            <sz val="10"/>
            <rFont val="Arial"/>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10"/>
            <rFont val="Arial"/>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 xml:space="preserve">Do not select item (ii) unless the project is applying under the Rural set-aside.
</t>
        </r>
      </text>
    </comment>
    <comment ref="S569" authorId="1" shapeId="0" xr:uid="{00000000-0006-0000-0700-000003000000}">
      <text>
        <r>
          <rPr>
            <sz val="10"/>
            <rFont val="Arial"/>
            <family val="2"/>
          </rPr>
          <t>Items in green available only to Rural set-aside projects.</t>
        </r>
      </text>
    </comment>
    <comment ref="U576" authorId="1" shapeId="0" xr:uid="{00000000-0006-0000-0700-000004000000}">
      <text>
        <r>
          <rPr>
            <sz val="10"/>
            <rFont val="Arial"/>
            <family val="2"/>
          </rPr>
          <t>Items in green available only to Rural set-aside projects.</t>
        </r>
      </text>
    </comment>
    <comment ref="E596" authorId="1" shapeId="0" xr:uid="{00000000-0006-0000-0700-000005000000}">
      <text>
        <r>
          <rPr>
            <sz val="1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0"/>
            <rFont val="Arial"/>
            <family val="2"/>
          </rPr>
          <t>Excess over appraisal will be automatically subtracted from the TOTAL soft financing</t>
        </r>
      </text>
    </comment>
    <comment ref="E51" authorId="0" shapeId="0" xr:uid="{00000000-0006-0000-0900-000002000000}">
      <text>
        <r>
          <rPr>
            <sz val="10"/>
            <rFont val="Arial"/>
            <family val="2"/>
          </rPr>
          <t>Ineligible offsites will be automatically subtracted from the TOTAL soft financing</t>
        </r>
      </text>
    </comment>
    <comment ref="B65" authorId="0" shapeId="0" xr:uid="{00000000-0006-0000-0900-000003000000}">
      <text>
        <r>
          <rPr>
            <sz val="10"/>
            <rFont val="Arial"/>
            <family val="2"/>
          </rPr>
          <t>Includes Adaptive Reuse projects</t>
        </r>
      </text>
    </comment>
    <comment ref="J67" authorId="1" shapeId="0" xr:uid="{00000000-0006-0000-0900-000004000000}">
      <text>
        <r>
          <rPr>
            <sz val="10"/>
            <rFont val="Arial"/>
            <family val="2"/>
          </rPr>
          <t>This bonus shall not apply to projects once the housing type goal for Large Family New Construction receiving the tiebreaker increase has been met in a round or within the Rural set aside in a round as described in Section 10315(h) and Section 10325(c)(9).
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10"/>
            <rFont val="Arial"/>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10"/>
            <rFont val="Arial"/>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<sst xmlns="http://schemas.openxmlformats.org/spreadsheetml/2006/main" count="4689" uniqueCount="2460">
  <si>
    <t>CALIFORNIA TAX CREDIT ALLOCATION COMMITTEE</t>
  </si>
  <si>
    <t>2026 COMPETITIVE 9% APPLICATION FOR LOW-INCOME HOUSING TAX CREDITS</t>
  </si>
  <si>
    <t>January 21, 2026 Version</t>
  </si>
  <si>
    <t xml:space="preserve">II. APPLICATION - SECTION 1: APPLICANT STATEMENT AND CERTIFICATION </t>
  </si>
  <si>
    <t>APPLICANT:</t>
  </si>
  <si>
    <t>Santa Cruz Pacific Avenue LP</t>
  </si>
  <si>
    <t>PROJECT NAME: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</si>
  <si>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</si>
  <si>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</si>
  <si>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</si>
  <si>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</si>
  <si>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</si>
  <si>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</si>
  <si>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</si>
  <si>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</si>
  <si>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</si>
  <si>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</si>
  <si>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</si>
  <si>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</si>
  <si>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</si>
  <si>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</si>
  <si>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</si>
  <si>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</si>
  <si>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</si>
  <si>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</si>
  <si>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</si>
  <si>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</si>
  <si>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</si>
  <si>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</si>
  <si>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</si>
  <si>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</si>
  <si>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</si>
  <si>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</si>
  <si>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</si>
  <si>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</si>
  <si>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</si>
  <si>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</si>
  <si>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</si>
  <si>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</si>
  <si>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</si>
  <si>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Arcata</t>
  </si>
  <si>
    <t>, California.</t>
  </si>
  <si>
    <t>Daniel J. Johnson</t>
  </si>
  <si>
    <t>(Typed or printed name)</t>
  </si>
  <si>
    <t>Member</t>
  </si>
  <si>
    <t>(Title)</t>
  </si>
  <si>
    <t>Local Jurisdiction:</t>
  </si>
  <si>
    <t>Santa Cruz</t>
  </si>
  <si>
    <t>(select one)</t>
  </si>
  <si>
    <t>City Manager:</t>
  </si>
  <si>
    <t>City Manager</t>
  </si>
  <si>
    <t>*</t>
  </si>
  <si>
    <t>ALAMEDA</t>
  </si>
  <si>
    <t>Alameda</t>
  </si>
  <si>
    <t>Title:</t>
  </si>
  <si>
    <t>ALPINE</t>
  </si>
  <si>
    <t>Alpine</t>
  </si>
  <si>
    <t xml:space="preserve">Mailing Address: </t>
  </si>
  <si>
    <t>809 Center Street, Room 10</t>
  </si>
  <si>
    <t>AMADOR</t>
  </si>
  <si>
    <t>Amador</t>
  </si>
  <si>
    <t xml:space="preserve">City: </t>
  </si>
  <si>
    <t>BUTTE</t>
  </si>
  <si>
    <t>Butte</t>
  </si>
  <si>
    <t xml:space="preserve">Zip Code: </t>
  </si>
  <si>
    <t>95060</t>
  </si>
  <si>
    <t>CALAVERAS</t>
  </si>
  <si>
    <t>Calaveras</t>
  </si>
  <si>
    <t>Phone Number:</t>
  </si>
  <si>
    <t>831-420-5010</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</si>
  <si>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</si>
  <si>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</si>
  <si>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</si>
  <si>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</si>
  <si>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</si>
  <si>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</si>
  <si>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</si>
  <si>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</si>
  <si>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</si>
  <si>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</si>
  <si>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</si>
  <si>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</si>
  <si>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</si>
  <si>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</si>
  <si>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</si>
  <si>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</si>
  <si>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</si>
  <si>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</si>
  <si>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</si>
  <si>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</si>
  <si>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</si>
  <si>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</si>
  <si>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</si>
  <si>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</si>
  <si>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</si>
  <si>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</si>
  <si>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</si>
  <si>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</si>
  <si>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Application Type</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</si>
  <si>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</si>
  <si>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</si>
  <si>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</si>
  <si>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</si>
  <si>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</si>
  <si>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</si>
  <si>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</si>
  <si>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</si>
  <si>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</si>
  <si>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</si>
  <si>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</si>
  <si>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</si>
  <si>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</si>
  <si>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</si>
  <si>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</si>
  <si>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</si>
  <si>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</si>
  <si>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</si>
  <si>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</si>
  <si>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</si>
  <si>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</si>
  <si>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</si>
  <si>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</si>
  <si>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</si>
  <si>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</si>
  <si>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</si>
  <si>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</si>
  <si>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</si>
  <si>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</si>
  <si>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t xml:space="preserve">If a Resyndication Project, complete the Resyndication Projects section below.  </t>
  </si>
  <si>
    <t>MODOC</t>
  </si>
  <si>
    <t>Modoc</t>
  </si>
  <si>
    <t>MONO</t>
  </si>
  <si>
    <t>Mono</t>
  </si>
  <si>
    <t>B.</t>
  </si>
  <si>
    <t>Project Information</t>
  </si>
  <si>
    <t>MONTEREY</t>
  </si>
  <si>
    <t>Monterey</t>
  </si>
  <si>
    <t>Project Name:</t>
  </si>
  <si>
    <t>*Federal Only:</t>
  </si>
  <si>
    <t>NAPA</t>
  </si>
  <si>
    <t>Napa</t>
  </si>
  <si>
    <t>Site Address:</t>
  </si>
  <si>
    <t>1320 Pacific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</si>
  <si>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</si>
  <si>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</si>
  <si>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</si>
  <si>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</si>
  <si>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</si>
  <si>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</si>
  <si>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</si>
  <si>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</si>
  <si>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</si>
  <si>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</si>
  <si>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</si>
  <si>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</si>
  <si>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N/A</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</si>
  <si>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</si>
  <si>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</si>
  <si>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</si>
  <si>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</si>
  <si>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</si>
  <si>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</si>
  <si>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</si>
  <si>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</si>
  <si>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</si>
  <si>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</si>
  <si>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</si>
  <si>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</si>
  <si>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</si>
  <si>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</si>
  <si>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</si>
  <si>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</si>
  <si>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</si>
  <si>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</si>
  <si>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</si>
  <si>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</si>
  <si>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</si>
  <si>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</si>
  <si>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</si>
  <si>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</si>
  <si>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</si>
  <si>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</si>
  <si>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</si>
  <si>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</si>
  <si>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</si>
  <si>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</si>
  <si>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</si>
  <si>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</si>
  <si>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</si>
  <si>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</si>
  <si>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</si>
  <si>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</si>
  <si>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</si>
  <si>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</si>
  <si>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</si>
  <si>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</si>
  <si>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</si>
  <si>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</si>
  <si>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</si>
  <si>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</si>
  <si>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</si>
  <si>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</si>
  <si>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</si>
  <si>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</si>
  <si>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</si>
  <si>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</si>
  <si>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</si>
  <si>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</si>
  <si>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</si>
  <si>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Rural apportionment (HOME)</t>
  </si>
  <si>
    <t>Central Valley Region: Fresno, Kern, Kings, Madera, Merced, San Joaquin, Stanislaus, and Tulare Counties</t>
  </si>
  <si>
    <t>SHASTA</t>
  </si>
  <si>
    <t>Shasta</t>
  </si>
  <si>
    <t>C.</t>
  </si>
  <si>
    <t>Credit Amount Requested (If State Credit Request, Reg. Sects. 10317 &amp; 10322(h)(33))</t>
  </si>
  <si>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</si>
  <si>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</si>
  <si>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</si>
  <si>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</si>
  <si>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</si>
  <si>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</si>
  <si>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</si>
  <si>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</si>
  <si>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</si>
  <si>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</si>
  <si>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</si>
  <si>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</si>
  <si>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</si>
  <si>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</si>
  <si>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</si>
  <si>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</si>
  <si>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</si>
  <si>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</si>
  <si>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</si>
  <si>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</si>
  <si>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</si>
  <si>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t>Federal Minimum Set-Aside Election (IRC Section 42(g)(1))</t>
  </si>
  <si>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</si>
  <si>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</si>
  <si>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</si>
  <si>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</si>
  <si>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</si>
  <si>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</si>
  <si>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</si>
  <si>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</si>
  <si>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</si>
  <si>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</si>
  <si>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</si>
  <si>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Set-Aside Selection (Reg. Section 10315(a)-(e))</t>
  </si>
  <si>
    <t>San Francisco County</t>
  </si>
  <si>
    <t>TULARE</t>
  </si>
  <si>
    <t>Tulare</t>
  </si>
  <si>
    <t>TUOLUMNE</t>
  </si>
  <si>
    <t>Tuolumne</t>
  </si>
  <si>
    <t>VENTURA</t>
  </si>
  <si>
    <t>Ventura</t>
  </si>
  <si>
    <t>F.</t>
  </si>
  <si>
    <t>Housing Type Selection (Reg. Sections 10315(h) &amp; 10325(g))</t>
  </si>
  <si>
    <t>Highest Resource</t>
  </si>
  <si>
    <t>Corporation</t>
  </si>
  <si>
    <t>YOLO</t>
  </si>
  <si>
    <t>Yolo</t>
  </si>
  <si>
    <t>Senior</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</si>
  <si>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</si>
  <si>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</si>
  <si>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</si>
  <si>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</si>
  <si>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</si>
  <si>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</si>
  <si>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</si>
  <si>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</si>
  <si>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</si>
  <si>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</si>
  <si>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</si>
  <si>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</si>
  <si>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</si>
  <si>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</si>
  <si>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</si>
  <si>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Other</t>
  </si>
  <si>
    <t>G.</t>
  </si>
  <si>
    <t>Geographic Area (Reg. Section 10315(i))</t>
  </si>
  <si>
    <t>Please select your geographic area:</t>
  </si>
  <si>
    <t>Central Coast Region</t>
  </si>
  <si>
    <t>*Federal Congressional District:</t>
  </si>
  <si>
    <t>19</t>
  </si>
  <si>
    <t>*State Assembly District:</t>
  </si>
  <si>
    <t>28</t>
  </si>
  <si>
    <t>for/non profit</t>
  </si>
  <si>
    <t>*State Senate District:</t>
  </si>
  <si>
    <t>17</t>
  </si>
  <si>
    <t>https://www.govtrack.us/congress/members/map</t>
  </si>
  <si>
    <t>http://findyourrep.legislature.ca.gov/</t>
  </si>
  <si>
    <t>II. APPLICATION - SECTION 3: APPLICANT INFORMATION</t>
  </si>
  <si>
    <t>Applicant Contact Information</t>
  </si>
  <si>
    <t>Applicant Name:</t>
  </si>
  <si>
    <t>Street Address:</t>
  </si>
  <si>
    <t>5251 Ericson Way, Suite A</t>
  </si>
  <si>
    <t>both nonprofits</t>
  </si>
  <si>
    <t>State:</t>
  </si>
  <si>
    <t>CA</t>
  </si>
  <si>
    <t>95521</t>
  </si>
  <si>
    <t>Contact Person:</t>
  </si>
  <si>
    <t>Chris Dart</t>
  </si>
  <si>
    <t>Phone:</t>
  </si>
  <si>
    <t>(707) 822-9000</t>
  </si>
  <si>
    <t>Ext.:</t>
  </si>
  <si>
    <t>Fax:</t>
  </si>
  <si>
    <t>both for-profit</t>
  </si>
  <si>
    <t xml:space="preserve">Email: </t>
  </si>
  <si>
    <t>cdart@danco-group.com</t>
  </si>
  <si>
    <t>Legal Status of Applicant:</t>
  </si>
  <si>
    <t>Parent Company:</t>
  </si>
  <si>
    <t>If Other, Specify:</t>
  </si>
  <si>
    <t>General Partner(s) Information</t>
  </si>
  <si>
    <t>Nonprofit</t>
  </si>
  <si>
    <t>C(1)</t>
  </si>
  <si>
    <t>General Partner Name:</t>
  </si>
  <si>
    <t>Community Revitalization and Development Corporation</t>
  </si>
  <si>
    <t>Managing GP</t>
  </si>
  <si>
    <t>currently exists</t>
  </si>
  <si>
    <t>1918 West Street</t>
  </si>
  <si>
    <t>to be formed</t>
  </si>
  <si>
    <t>For Profit</t>
  </si>
  <si>
    <t>Redding</t>
  </si>
  <si>
    <t xml:space="preserve">CA </t>
  </si>
  <si>
    <t>David Rutledge</t>
  </si>
  <si>
    <t>530-241-6960</t>
  </si>
  <si>
    <t>david@crdc-housing.org</t>
  </si>
  <si>
    <t>Nonprofit/For Profit:</t>
  </si>
  <si>
    <t>C(2)</t>
  </si>
  <si>
    <t>General Partner Name:*</t>
  </si>
  <si>
    <t>Santa Cruz Pacific Avenue, LLC</t>
  </si>
  <si>
    <t>Administrative GP</t>
  </si>
  <si>
    <t>7078229000</t>
  </si>
  <si>
    <t>Johnson &amp; Johnson Investments, LLC</t>
  </si>
  <si>
    <t>C(3)</t>
  </si>
  <si>
    <t>General Partner(s) or Principal Owner(s) Type</t>
  </si>
  <si>
    <t>*If Joint Venture, 2nd GP must be included if</t>
  </si>
  <si>
    <t>applicant is pursuing a property tax exemption</t>
  </si>
  <si>
    <t>Status of Ownership Entity</t>
  </si>
  <si>
    <t>Reg. Section 10327(g)(2) - "TBD" not sufficient</t>
  </si>
  <si>
    <t>If to be formed, enter date:</t>
  </si>
  <si>
    <t>*(Federal I.D. No. must be obtained prior to submitting carryover allocation package)</t>
  </si>
  <si>
    <t>Contact Person During Application Process</t>
  </si>
  <si>
    <t>Company Name:</t>
  </si>
  <si>
    <t>Danco Communities</t>
  </si>
  <si>
    <t>5251 Ericson Way, STE A</t>
  </si>
  <si>
    <t>hwilson@danco-group.com</t>
  </si>
  <si>
    <t>Participatory Role:</t>
  </si>
  <si>
    <t>Developer</t>
  </si>
  <si>
    <t>(e.g., General Partner, Consultant, etc.)</t>
  </si>
  <si>
    <t>II. APPLICATION - SECTION 4: DEVELOPMENT TEAM INFORMATION</t>
  </si>
  <si>
    <t>Indicate and List All Development Team Members</t>
  </si>
  <si>
    <t>Developer:</t>
  </si>
  <si>
    <t>Architect:</t>
  </si>
  <si>
    <t>McSorley Architecture</t>
  </si>
  <si>
    <t>Address:</t>
  </si>
  <si>
    <t>PO Box 2472</t>
  </si>
  <si>
    <t>City, State, Zip</t>
  </si>
  <si>
    <t>Arcata, CA 95521</t>
  </si>
  <si>
    <t>City, State, Zip:</t>
  </si>
  <si>
    <t>McKinleyville, CA 95519</t>
  </si>
  <si>
    <t>Garrett McSorley</t>
  </si>
  <si>
    <t>707-633-9283</t>
  </si>
  <si>
    <t>Email:</t>
  </si>
  <si>
    <t>garrett.mcsorley@gmail.com</t>
  </si>
  <si>
    <t>Attorney:</t>
  </si>
  <si>
    <t>Odu &amp; Associates</t>
  </si>
  <si>
    <t>General Contractor:</t>
  </si>
  <si>
    <t>Danco Builders Northwest</t>
  </si>
  <si>
    <t>31805 Temecula Pkwy #720</t>
  </si>
  <si>
    <t>5251 Ericson Way</t>
  </si>
  <si>
    <t>Temecula, CA 92592-8203</t>
  </si>
  <si>
    <t>Nkechi Odu</t>
  </si>
  <si>
    <t>310-346-5491</t>
  </si>
  <si>
    <t>707-822-9000</t>
  </si>
  <si>
    <t>707-822-9596</t>
  </si>
  <si>
    <t>nkechi@odulaw.com</t>
  </si>
  <si>
    <t>Tax Professional:</t>
  </si>
  <si>
    <t>Propp Christensen Caniglia LLP</t>
  </si>
  <si>
    <t>Energy Consultant:</t>
  </si>
  <si>
    <t>Redwood Energy</t>
  </si>
  <si>
    <t>9261 Sierra College Blvd</t>
  </si>
  <si>
    <t>1887 Q Street</t>
  </si>
  <si>
    <t>Roseville, CA 95661</t>
  </si>
  <si>
    <t>Justin Gierth</t>
  </si>
  <si>
    <t>Sean Armstrong</t>
  </si>
  <si>
    <t>916-847-2738</t>
  </si>
  <si>
    <t>707-822-1857</t>
  </si>
  <si>
    <t>jgierth@pccllp.com</t>
  </si>
  <si>
    <t>sarmstrong@gmail.com</t>
  </si>
  <si>
    <t>CPA:</t>
  </si>
  <si>
    <t>Investor:</t>
  </si>
  <si>
    <t>Boston Financial</t>
  </si>
  <si>
    <t>8335 Sunset Blvd, Suite 203</t>
  </si>
  <si>
    <t>West Hollywood, CA 90069</t>
  </si>
  <si>
    <t>Roy Faerber</t>
  </si>
  <si>
    <t>310-860-4550</t>
  </si>
  <si>
    <t>roy.faerber@bfim.com</t>
  </si>
  <si>
    <t>Consultant:</t>
  </si>
  <si>
    <t>Market Analyst:</t>
  </si>
  <si>
    <t>Laurin Associates</t>
  </si>
  <si>
    <t>1501 Sports Drive</t>
  </si>
  <si>
    <t>Sacramento, CA 96834</t>
  </si>
  <si>
    <t>Stefanie Williams</t>
  </si>
  <si>
    <t>916-372-6100</t>
  </si>
  <si>
    <t>916-491-6108</t>
  </si>
  <si>
    <t>swilliams@laurinassociates.com</t>
  </si>
  <si>
    <t>Appraiser:</t>
  </si>
  <si>
    <t>Prop. Mgmt. Co.:</t>
  </si>
  <si>
    <t>Danco Property Management</t>
  </si>
  <si>
    <t>Ashley Rementer</t>
  </si>
  <si>
    <t>arementer@danco-group.com</t>
  </si>
  <si>
    <t>CNA Consultant:</t>
  </si>
  <si>
    <t>2nd Prop. Mgmt Co.:</t>
  </si>
  <si>
    <t>Supp. Svcs. Coord.:</t>
  </si>
  <si>
    <t>THRIVE</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</si>
  <si>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</si>
  <si>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</si>
  <si>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</si>
  <si>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</si>
  <si>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</si>
  <si>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</si>
  <si>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</si>
  <si>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</si>
  <si>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</si>
  <si>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</si>
  <si>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</si>
  <si>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</si>
  <si>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</si>
  <si>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</si>
  <si>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</si>
  <si>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</si>
  <si>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</si>
  <si>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</si>
  <si>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</si>
  <si>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</si>
  <si>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</si>
  <si>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</si>
  <si>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</si>
  <si>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</si>
  <si>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</si>
  <si>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</si>
  <si>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</si>
  <si>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</si>
  <si>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</si>
  <si>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</si>
  <si>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</si>
  <si>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</si>
  <si>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</si>
  <si>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</si>
  <si>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</si>
  <si>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</si>
  <si>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</si>
  <si>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</si>
  <si>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</si>
  <si>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</si>
  <si>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</si>
  <si>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</si>
  <si>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</si>
  <si>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</si>
  <si>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</si>
  <si>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</si>
  <si>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</si>
  <si>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</si>
  <si>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</si>
  <si>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</si>
  <si>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</si>
  <si>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</si>
  <si>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</si>
  <si>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</si>
  <si>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</si>
  <si>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</si>
  <si>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</si>
  <si>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</si>
  <si>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</si>
  <si>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</si>
  <si>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Land, Building and Unit Information</t>
  </si>
  <si>
    <t>Project Type:</t>
  </si>
  <si>
    <t>Two or More Story With an Elevator:</t>
  </si>
  <si>
    <t xml:space="preserve"> if yes, enter number of stories:</t>
  </si>
  <si>
    <t>Two or More Story Without an Elevator:</t>
  </si>
  <si>
    <t>One or More Levels of Subterranean Parking:</t>
  </si>
  <si>
    <t>Other:</t>
  </si>
  <si>
    <t>(specify here)</t>
  </si>
  <si>
    <t>Land</t>
  </si>
  <si>
    <t>Density:</t>
  </si>
  <si>
    <t>x</t>
  </si>
  <si>
    <t>Feet</t>
  </si>
  <si>
    <t>or</t>
  </si>
  <si>
    <t>Acres</t>
  </si>
  <si>
    <t>Square Feet</t>
  </si>
  <si>
    <t>If irregular, specify measurements in feet, acres, and square feet:</t>
  </si>
  <si>
    <t>Net Acres</t>
  </si>
  <si>
    <t>Bedrooms per Net Acre</t>
  </si>
  <si>
    <t>Building Information</t>
  </si>
  <si>
    <t>Total Number of Buildings:</t>
  </si>
  <si>
    <t>Residential Buildings:</t>
  </si>
  <si>
    <t>Community Buildings:</t>
  </si>
  <si>
    <t>Commercial/ Retail Space:</t>
  </si>
  <si>
    <t>If Commercial/ Retail Space, explain: (include use, size, location, and purpose)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</si>
  <si>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</si>
  <si>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</si>
  <si>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</si>
  <si>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</si>
  <si>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</si>
  <si>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Project Unit Number and Square Footage</t>
  </si>
  <si>
    <t>Total number of units:</t>
  </si>
  <si>
    <t>Total number of non-Tax Credit Units (excluding managers' units) (i.e. market rate units):</t>
  </si>
  <si>
    <t>Total number of units (excluding managers’ units):</t>
  </si>
  <si>
    <t>Total number of Low Income Units:</t>
  </si>
  <si>
    <t>Ratio of Low Income Units to total units (excluding managers’ units):</t>
  </si>
  <si>
    <t>Total square footage of all residential units (excluding managers’ units):</t>
  </si>
  <si>
    <t>Total square footage of Low Income Units:</t>
  </si>
  <si>
    <t>Ratio of low-income residential to total residential square footage (excluding managers’ units):</t>
  </si>
  <si>
    <t>Applicable fraction, smaller of unit or square footage ratio (used on "Basis &amp; Credits"):</t>
  </si>
  <si>
    <t xml:space="preserve">Total interior amenity space square footage (CTCAC Regulation Section 10325(g)(1)): </t>
  </si>
  <si>
    <t>Total commercial/ retail space square footage:</t>
  </si>
  <si>
    <t>Total common area square footage (including managers’ units):</t>
  </si>
  <si>
    <t>Total parking structure square footage (excludes car-ports and "tuck under" parking):</t>
  </si>
  <si>
    <t>*Total square footage of all project structures (excluding commercial/retail):</t>
  </si>
  <si>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</si>
  <si>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</si>
  <si>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</si>
  <si>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</si>
  <si>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</si>
  <si>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Tenant Population Data</t>
  </si>
  <si>
    <t>Completion of this section is required.  The information requested in this section is for national</t>
  </si>
  <si>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</si>
  <si>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</si>
  <si>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</si>
  <si>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</si>
  <si>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</si>
  <si>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</si>
  <si>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</si>
  <si>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</si>
  <si>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</si>
  <si>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</si>
  <si>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</si>
  <si>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</si>
  <si>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</si>
  <si>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</si>
  <si>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</si>
  <si>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Required Approvals Necessary to Begin Construction</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</si>
  <si>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</si>
  <si>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</si>
  <si>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</si>
  <si>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</si>
  <si>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</si>
  <si>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</si>
  <si>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</si>
  <si>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</si>
  <si>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</si>
  <si>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</si>
  <si>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</si>
  <si>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</si>
  <si>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</si>
  <si>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</si>
  <si>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</si>
  <si>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</si>
  <si>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</si>
  <si>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</si>
  <si>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</si>
  <si>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</si>
  <si>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</si>
  <si>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</si>
  <si>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</si>
  <si>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</si>
  <si>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</si>
  <si>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</si>
  <si>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</si>
  <si>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</si>
  <si>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</si>
  <si>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</si>
  <si>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</si>
  <si>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</si>
  <si>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</si>
  <si>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</si>
  <si>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</si>
  <si>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</si>
  <si>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</si>
  <si>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</si>
  <si>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</si>
  <si>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</si>
  <si>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</si>
  <si>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</si>
  <si>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</si>
  <si>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</si>
  <si>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</si>
  <si>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</si>
  <si>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</si>
  <si>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</si>
  <si>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</si>
  <si>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</si>
  <si>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</si>
  <si>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</si>
  <si>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</si>
  <si>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</si>
  <si>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</si>
  <si>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</si>
  <si>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</si>
  <si>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</si>
  <si>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</si>
  <si>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</si>
  <si>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</si>
  <si>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</si>
  <si>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</si>
  <si>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</si>
  <si>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</si>
  <si>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</si>
  <si>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</si>
  <si>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</si>
  <si>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</si>
  <si>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</si>
  <si>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Construction Financing</t>
  </si>
  <si>
    <t>Waived Fee</t>
  </si>
  <si>
    <t>List Below All Projected Sources Required To Complete Construction. Do not leave blank rows in between sources.</t>
  </si>
  <si>
    <t>Name of Lender</t>
  </si>
  <si>
    <t>Type of Source</t>
  </si>
  <si>
    <t>Term (months)</t>
  </si>
  <si>
    <t>Amort. Term (months)</t>
  </si>
  <si>
    <t>Interest Rate</t>
  </si>
  <si>
    <t>Fixed/ Variable</t>
  </si>
  <si>
    <t>Lien Position</t>
  </si>
  <si>
    <t>Required Payment</t>
  </si>
  <si>
    <t>Amount of Funds</t>
  </si>
  <si>
    <t>1)</t>
  </si>
  <si>
    <t>2)</t>
  </si>
  <si>
    <t>3)</t>
  </si>
  <si>
    <t>4)</t>
  </si>
  <si>
    <t>5)</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</si>
  <si>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</si>
  <si>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</si>
  <si>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</si>
  <si>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</si>
  <si>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</si>
  <si>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</si>
  <si>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</si>
  <si>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</si>
  <si>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</si>
  <si>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</si>
  <si>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</si>
  <si>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</si>
  <si>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</si>
  <si>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</si>
  <si>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</si>
  <si>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</si>
  <si>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</si>
  <si>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</si>
  <si>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</si>
  <si>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</si>
  <si>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</si>
  <si>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</si>
  <si>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</si>
  <si>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</si>
  <si>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</si>
  <si>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</si>
  <si>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t>Permanent Financing</t>
  </si>
  <si>
    <t>Term 
(months)</t>
  </si>
  <si>
    <t>Amort. Term 
(months)</t>
  </si>
  <si>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</si>
  <si>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</si>
  <si>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</si>
  <si>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</si>
  <si>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</si>
  <si>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</si>
  <si>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</si>
  <si>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</si>
  <si>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</si>
  <si>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</si>
  <si>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</si>
  <si>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</si>
  <si>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</si>
  <si>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</si>
  <si>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</si>
  <si>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</si>
  <si>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</si>
  <si>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</si>
  <si>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</si>
  <si>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California Tax Credit Allocation Committee</t>
  </si>
  <si>
    <t>III. PROJECT FINANCING - SECTION 3:  INCOME INFORMATION</t>
  </si>
  <si>
    <t>County</t>
  </si>
  <si>
    <t xml:space="preserve">Low Income Units </t>
  </si>
  <si>
    <t>(a)
Bedroom Type(s)</t>
  </si>
  <si>
    <t>(b)
Number of Units</t>
  </si>
  <si>
    <t>Average Square Feet</t>
  </si>
  <si>
    <t>(c)
Proposed Monthly Rent (Less Utilities)</t>
  </si>
  <si>
    <t>(d)
Total Monthly Rents 
(b x c)</t>
  </si>
  <si>
    <t>(e)
Monthly Utility Allowance</t>
  </si>
  <si>
    <t>(f)
Monthly Rent Plus Utilities
(c + e)</t>
  </si>
  <si>
    <t>(g)
% of Area Median Income</t>
  </si>
  <si>
    <t>(h)        
% of Actual AMI</t>
  </si>
  <si>
    <t>AVERAGE AFFORDABILITY BY AMI TARGETING</t>
  </si>
  <si>
    <t>AVERAGE AFFORDABILITY BY AMI ACTUAL RENTS</t>
  </si>
  <si>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</si>
  <si>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</si>
  <si>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</si>
  <si>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</si>
  <si>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</si>
  <si>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</si>
  <si>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</si>
  <si>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</si>
  <si>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</si>
  <si>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</si>
  <si>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</si>
  <si>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</si>
  <si>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</si>
  <si>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</si>
  <si>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</si>
  <si>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</si>
  <si>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</si>
  <si>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Market Rate Units</t>
  </si>
  <si>
    <t>Aggregate Monthly Rents For All Units:</t>
  </si>
  <si>
    <t>Aggregate Annual Rents For All Units:</t>
  </si>
  <si>
    <t>Rental Subsidy Income/Operating Subsidy</t>
  </si>
  <si>
    <t>Complete spreadsheet "Subsidy Contract Calculation"</t>
  </si>
  <si>
    <t>Number of Units Receiving Assistance:</t>
  </si>
  <si>
    <t>Length of Contract (years):</t>
  </si>
  <si>
    <t>Expiration Date of Contract:</t>
  </si>
  <si>
    <t>Total Projected Annual Rental Subsidy:</t>
  </si>
  <si>
    <t>Miscellaneous Income</t>
  </si>
  <si>
    <t>Annual Income from Laundry Facilities:</t>
  </si>
  <si>
    <t>Annual Income from Vending Machines:</t>
  </si>
  <si>
    <t>Annual Interest Income:</t>
  </si>
  <si>
    <t>Other Annual Income:</t>
  </si>
  <si>
    <t>Total Miscellaneous Income:</t>
  </si>
  <si>
    <t>Total Annual Potential Gross Income:</t>
  </si>
  <si>
    <t xml:space="preserve">Monthly Resident Utility Allowance by Unit Size </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</si>
  <si>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</si>
  <si>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</si>
  <si>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</si>
  <si>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</si>
  <si>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</si>
  <si>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</si>
  <si>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</si>
  <si>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</si>
  <si>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</si>
  <si>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</si>
  <si>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</si>
  <si>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</si>
  <si>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</si>
  <si>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</si>
  <si>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</si>
  <si>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</si>
  <si>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</si>
  <si>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</si>
  <si>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</si>
  <si>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</si>
  <si>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</si>
  <si>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</si>
  <si>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</si>
  <si>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</si>
  <si>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</si>
  <si>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</si>
  <si>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</si>
  <si>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</si>
  <si>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</si>
  <si>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</si>
  <si>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</si>
  <si>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</si>
  <si>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Utilities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</si>
  <si>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</si>
  <si>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</si>
  <si>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</si>
  <si>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</si>
  <si>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</si>
  <si>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</si>
  <si>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</si>
  <si>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</si>
  <si>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</si>
  <si>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</si>
  <si>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</si>
  <si>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</si>
  <si>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</si>
  <si>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Maintenance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</si>
  <si>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</si>
  <si>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</si>
  <si>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</si>
  <si>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</si>
  <si>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</si>
  <si>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</si>
  <si>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</si>
  <si>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</si>
  <si>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</si>
  <si>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</si>
  <si>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</si>
  <si>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</si>
  <si>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</si>
  <si>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</si>
  <si>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</si>
  <si>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</si>
  <si>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</si>
  <si>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</si>
  <si>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</si>
  <si>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</si>
  <si>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</si>
  <si>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</si>
  <si>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</si>
  <si>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</si>
  <si>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</si>
  <si>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</si>
  <si>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</si>
  <si>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</si>
  <si>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</si>
  <si>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</si>
  <si>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</si>
  <si>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</si>
  <si>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Inclusion/Exclusion From Eligible Basis</t>
  </si>
  <si>
    <t>Funding Sources</t>
  </si>
  <si>
    <t>Included in Eligible Basis
Yes/No</t>
  </si>
  <si>
    <t>If lender is not funding source, list source (HOME, CDBG, etc.) NOT lender.</t>
  </si>
  <si>
    <t>Amount</t>
  </si>
  <si>
    <t>HOME Investment Partnership Act (HOME)</t>
  </si>
  <si>
    <t>Community Development Block Grant (CDBG)</t>
  </si>
  <si>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</si>
  <si>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</si>
  <si>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</si>
  <si>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</si>
  <si>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</si>
  <si>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</si>
  <si>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</si>
  <si>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</si>
  <si>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</si>
  <si>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</si>
  <si>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</si>
  <si>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</si>
  <si>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</si>
  <si>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</si>
  <si>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</si>
  <si>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</si>
  <si>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</si>
  <si>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</si>
  <si>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</si>
  <si>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</si>
  <si>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</si>
  <si>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</si>
  <si>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</si>
  <si>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</si>
  <si>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</si>
  <si>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</si>
  <si>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</si>
  <si>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Rental Subsidy Anticipated</t>
  </si>
  <si>
    <t>Indicate By Percent Of Units Affected, Any Rental Subsidy Expected To Be Available To The Project.</t>
  </si>
  <si>
    <t>Approval Date:</t>
  </si>
  <si>
    <t>Source:</t>
  </si>
  <si>
    <t>If Section 8:</t>
  </si>
  <si>
    <t>Percentage:</t>
  </si>
  <si>
    <t>Units Subsidized:</t>
  </si>
  <si>
    <t>Amount Per Year:</t>
  </si>
  <si>
    <t>Total Subsidy:</t>
  </si>
  <si>
    <t>.</t>
  </si>
  <si>
    <t>Pre-Existing Subsidies (Acq./Rehab. or Rehab-Only projects)</t>
  </si>
  <si>
    <t>Indicate The Subsidy Amount For Any Of The Following Currently Utilized By The Project.</t>
  </si>
  <si>
    <t>Sec 221(d)(3) BMIR:</t>
  </si>
  <si>
    <t>RHS 514:</t>
  </si>
  <si>
    <t>HUD Sec 236:</t>
  </si>
  <si>
    <t>RHS 515:</t>
  </si>
  <si>
    <t>If Section 236, IRP?</t>
  </si>
  <si>
    <t>RHS 521 (rent subsidy):</t>
  </si>
  <si>
    <t>RHS 538:</t>
  </si>
  <si>
    <t>State / Local:</t>
  </si>
  <si>
    <t>HUD Section 8:</t>
  </si>
  <si>
    <t>Rent Sup / RAP:</t>
  </si>
  <si>
    <t>HUD SHP:</t>
  </si>
  <si>
    <t>Will the subsidy continue?:</t>
  </si>
  <si>
    <t xml:space="preserve"> If yes enter amount:</t>
  </si>
  <si>
    <t>Other amount:</t>
  </si>
  <si>
    <t>III. PROJECT FINANCING - SECTION 5:  THRESHOLD BASIS LIMIT</t>
  </si>
  <si>
    <t>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</si>
  <si>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</si>
  <si>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</si>
  <si>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</si>
  <si>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</si>
  <si>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</si>
  <si>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</si>
  <si>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</si>
  <si>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</si>
  <si>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</si>
  <si>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</si>
  <si>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</si>
  <si>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</si>
  <si>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</si>
  <si>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</si>
  <si>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</si>
  <si>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</si>
  <si>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</si>
  <si>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</si>
  <si>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</si>
  <si>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</si>
  <si>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</si>
  <si>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</si>
  <si>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</si>
  <si>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</si>
  <si>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</si>
  <si>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</si>
  <si>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</si>
  <si>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</si>
  <si>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</si>
  <si>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</si>
  <si>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</si>
  <si>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</si>
  <si>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</si>
  <si>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</si>
  <si>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t>Local development impact fees required to be paid to local government entities.  Certification from local entities assessing fees also required.  
WAIVED IMPACT FEES ARE INELIGIBLE</t>
  </si>
  <si>
    <t>(h)</t>
  </si>
  <si>
    <t>Plus (+) 10% basis adjustment - Elevator</t>
  </si>
  <si>
    <t>For projects wherein at least 95% of the project's upper floor units are serviced by an elevator.</t>
  </si>
  <si>
    <t>(i)</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</si>
  <si>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</si>
  <si>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</si>
  <si>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</si>
  <si>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</si>
  <si>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</si>
  <si>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</si>
  <si>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</si>
  <si>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</si>
  <si>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</si>
  <si>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</si>
  <si>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</si>
  <si>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</si>
  <si>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</si>
  <si>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</si>
  <si>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</si>
  <si>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</si>
  <si>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</si>
  <si>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</si>
  <si>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</si>
  <si>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</si>
  <si>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</si>
  <si>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</si>
  <si>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</si>
  <si>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</si>
  <si>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</si>
  <si>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</si>
  <si>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</si>
  <si>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</si>
  <si>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</si>
  <si>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</si>
  <si>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</si>
  <si>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</si>
  <si>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</si>
  <si>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</si>
  <si>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</si>
  <si>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</si>
  <si>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</si>
  <si>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</si>
  <si>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</si>
  <si>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</si>
  <si>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</si>
  <si>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Instructions for preparing the electronic version</t>
  </si>
  <si>
    <t xml:space="preserve">a) </t>
  </si>
  <si>
    <t xml:space="preserve">Many of the required calculations in the application are automatically performed by the spreadsheet program.  </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</si>
  <si>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</si>
  <si>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</si>
  <si>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</si>
  <si>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</si>
  <si>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</si>
  <si>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</si>
  <si>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</si>
  <si>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</si>
  <si>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Submission Requirements</t>
  </si>
  <si>
    <t>a)</t>
  </si>
  <si>
    <t>Applicants must submit the following:</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</si>
  <si>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</si>
  <si>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</si>
  <si>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</si>
  <si>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</si>
  <si>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</si>
  <si>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</si>
  <si>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</si>
  <si>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</si>
  <si>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</si>
  <si>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</si>
  <si>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</si>
  <si>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</si>
  <si>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</si>
  <si>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</si>
  <si>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</si>
  <si>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</si>
  <si>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</si>
  <si>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</si>
  <si>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</si>
  <si>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</si>
  <si>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</si>
  <si>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</si>
  <si>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</si>
  <si>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</si>
  <si>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</si>
  <si>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</si>
  <si>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</si>
  <si>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</si>
  <si>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</si>
  <si>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</si>
  <si>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</si>
  <si>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</si>
  <si>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</si>
  <si>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</si>
  <si>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</si>
  <si>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</si>
  <si>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</si>
  <si>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</si>
  <si>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</si>
  <si>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</si>
  <si>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</si>
  <si>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</si>
  <si>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</si>
  <si>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</si>
  <si>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</si>
  <si>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</si>
  <si>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</si>
  <si>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</si>
  <si>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</si>
  <si>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</si>
  <si>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</si>
  <si>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</si>
  <si>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</si>
  <si>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</si>
  <si>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</si>
  <si>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</si>
  <si>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</si>
  <si>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</si>
  <si>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Applicant Statement</t>
  </si>
  <si>
    <t xml:space="preserve">After carefully reading the applicant statement and certification the applicant must provide </t>
  </si>
  <si>
    <t>an originally signed applicant certification.</t>
  </si>
  <si>
    <t>Local Jurisdiction</t>
  </si>
  <si>
    <t>Provide the name and contact information of the local jurisdiction's City Manager or equivalent.</t>
  </si>
  <si>
    <t>Section 2</t>
  </si>
  <si>
    <t>General and Summary Information</t>
  </si>
  <si>
    <t>Provide the requested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</si>
  <si>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</si>
  <si>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</si>
  <si>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</si>
  <si>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</si>
  <si>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</si>
  <si>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</si>
  <si>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</si>
  <si>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</si>
  <si>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</si>
  <si>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</si>
  <si>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</si>
  <si>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</si>
  <si>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</si>
  <si>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</si>
  <si>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</si>
  <si>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</si>
  <si>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</si>
  <si>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</si>
  <si>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</si>
  <si>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</si>
  <si>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Provide the current information for the applicant.</t>
  </si>
  <si>
    <t>Legal status of the applicant</t>
  </si>
  <si>
    <t>Select the appropriate legal type for the applicant.</t>
  </si>
  <si>
    <t>If the legal status is "Other," provide a detailed statement as to the organization type.</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</si>
  <si>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</si>
  <si>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</si>
  <si>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</si>
  <si>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</si>
  <si>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</si>
  <si>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Toggle and select the appropriate ownership entity type.</t>
  </si>
  <si>
    <t>If not yet formed, enter the estimated formation date.</t>
  </si>
  <si>
    <t>Federal Identification Number MUST be provided at Carryover Allocation.</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</si>
  <si>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</si>
  <si>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</si>
  <si>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</si>
  <si>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</si>
  <si>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</si>
  <si>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</si>
  <si>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</si>
  <si>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</si>
  <si>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</si>
  <si>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</si>
  <si>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</si>
  <si>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</si>
  <si>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</si>
  <si>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</si>
  <si>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Answer the questions as shown.</t>
  </si>
  <si>
    <t>Project Type</t>
  </si>
  <si>
    <t>Select housing type being proposed.</t>
  </si>
  <si>
    <t>If more than one housing type being proposed, list in space provided.</t>
  </si>
  <si>
    <t>Identify all buildings with and/or without an elevator.</t>
  </si>
  <si>
    <t>Indicate parcel size and any irregularity.</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</si>
  <si>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</si>
  <si>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</si>
  <si>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</si>
  <si>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</si>
  <si>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</si>
  <si>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</si>
  <si>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Fill in all highlighted lines.  Totals will be auto-populated as the highlighted items are entered.</t>
  </si>
  <si>
    <t>H</t>
  </si>
  <si>
    <t>Section  6</t>
  </si>
  <si>
    <t>Required Approvals and Development Timetable</t>
  </si>
  <si>
    <t>Fill in all highlighted lines.  These should be consistent with Attachment 14: Verification of Zoning.</t>
  </si>
  <si>
    <t>Complete the highlighted line for the estimated timetable for the development and completion of the project.</t>
  </si>
  <si>
    <t>III</t>
  </si>
  <si>
    <t>Project Financing</t>
  </si>
  <si>
    <t>Provide the lender name, the percentage rate, the amortizing term, and the loan amount.</t>
  </si>
  <si>
    <t>In corresponding order, list the required lender information.</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</si>
  <si>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</si>
  <si>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</si>
  <si>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</si>
  <si>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</si>
  <si>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</si>
  <si>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t xml:space="preserve">List annual income </t>
  </si>
  <si>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</si>
  <si>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</si>
  <si>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</si>
  <si>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</si>
  <si>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</si>
  <si>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</si>
  <si>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</si>
  <si>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</si>
  <si>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</si>
  <si>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</si>
  <si>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</si>
  <si>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</si>
  <si>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</si>
  <si>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Fill in the appropriate information by unit type in ascending order similar to the low-income units</t>
  </si>
  <si>
    <t>(if applicable).</t>
  </si>
  <si>
    <t xml:space="preserve">Complete as appropriate.  Amounts should be consistent and verifiable  with information in the </t>
  </si>
  <si>
    <t>application and Checklist attachments.</t>
  </si>
  <si>
    <t>Complete as appropriate.  Amounts should be verifiable from information in the application and/or</t>
  </si>
  <si>
    <t>Checklist attachments.</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</si>
  <si>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</si>
  <si>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</si>
  <si>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</si>
  <si>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</si>
  <si>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</si>
  <si>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</si>
  <si>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t xml:space="preserve">List annual expenses </t>
  </si>
  <si>
    <t>No depreciation or amortization expenses are included.</t>
  </si>
  <si>
    <t>Fill in the annual operating expense amounts for the following line items as appropriate:</t>
  </si>
  <si>
    <t>Administrative Expenses</t>
  </si>
  <si>
    <t>Management Fee (must be supported by contract document)</t>
  </si>
  <si>
    <t>Payroll/Payroll Taxes</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</si>
  <si>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</si>
  <si>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</si>
  <si>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</si>
  <si>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</si>
  <si>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</si>
  <si>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</si>
  <si>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</si>
  <si>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</si>
  <si>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</si>
  <si>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</si>
  <si>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</si>
  <si>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</si>
  <si>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</si>
  <si>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</si>
  <si>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</si>
  <si>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</si>
  <si>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</si>
  <si>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</si>
  <si>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</si>
  <si>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</si>
  <si>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</si>
  <si>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</si>
  <si>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</si>
  <si>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</si>
  <si>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</si>
  <si>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</si>
  <si>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</si>
  <si>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</si>
  <si>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</si>
  <si>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</si>
  <si>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t>Use ONLY IF: Project consists of both: 
1) Building(s) located in a DDA/QCT area; AND
2) Building(s) located in a non-DDA/non-QCT area.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</si>
  <si>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</si>
  <si>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</si>
  <si>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</si>
  <si>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</si>
  <si>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</si>
  <si>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</si>
  <si>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</si>
  <si>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</si>
  <si>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</si>
  <si>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</si>
  <si>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</si>
  <si>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</si>
  <si>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</si>
  <si>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</si>
  <si>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</si>
  <si>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</si>
  <si>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</si>
  <si>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</si>
  <si>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</si>
  <si>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</si>
  <si>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 xml:space="preserve">ATTACHMENT 16: Terms of Syndication Agreement must include separate tax credit factors when  </t>
  </si>
  <si>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</si>
  <si>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</si>
  <si>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</si>
  <si>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</si>
  <si>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</si>
  <si>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</si>
  <si>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</si>
  <si>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t>ATTACHMENT 16: Terms of Syndication Agreement must include a separate tax credit factor for</t>
  </si>
  <si>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</si>
  <si>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</si>
  <si>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</si>
  <si>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</si>
  <si>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</si>
  <si>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</si>
  <si>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</si>
  <si>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</si>
  <si>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</si>
  <si>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</si>
  <si>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</si>
  <si>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</si>
  <si>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</si>
  <si>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</si>
  <si>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</si>
  <si>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</si>
  <si>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</si>
  <si>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</si>
  <si>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</si>
  <si>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 xml:space="preserve">When compiling the flash drive, order folders according to the Application Checklist.  The Electronic Application MUST be an Excel file,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 </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</si>
  <si>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</si>
  <si>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</si>
  <si>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</si>
  <si>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</si>
  <si>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</si>
  <si>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</si>
  <si>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</si>
  <si>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Need to Provide</t>
  </si>
  <si>
    <t>SUBMIT ONE APPLICATION WITH ATTACHMENTS TO CTCAC AND</t>
  </si>
  <si>
    <t xml:space="preserve">Provided </t>
  </si>
  <si>
    <t>ONE COPY OF THE APPLICATION AND ATTACHMENTS TO THE LOCAL REVIEWING AGENCY</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</si>
  <si>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</si>
  <si>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</si>
  <si>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</si>
  <si>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</si>
  <si>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</si>
  <si>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</si>
  <si>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</si>
  <si>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</si>
  <si>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</si>
  <si>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</si>
  <si>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</si>
  <si>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</si>
  <si>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</si>
  <si>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</si>
  <si>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</si>
  <si>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</si>
  <si>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</si>
  <si>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</si>
  <si>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</si>
  <si>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</si>
  <si>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</si>
  <si>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</si>
  <si>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</si>
  <si>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</si>
  <si>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</si>
  <si>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</si>
  <si>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</si>
  <si>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</si>
  <si>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</si>
  <si>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</si>
  <si>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</si>
  <si>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</si>
  <si>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</si>
  <si>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</si>
  <si>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</si>
  <si>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</si>
  <si>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</si>
  <si>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</si>
  <si>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</si>
  <si>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</si>
  <si>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</si>
  <si>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</si>
  <si>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</si>
  <si>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</si>
  <si>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</si>
  <si>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</si>
  <si>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</si>
  <si>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</si>
  <si>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</si>
  <si>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t>NOTES: 
•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</si>
  <si>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</si>
  <si>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</si>
  <si>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</si>
  <si>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</si>
  <si>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</si>
  <si>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</si>
  <si>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</si>
  <si>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</si>
  <si>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</si>
  <si>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</si>
  <si>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</si>
  <si>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</si>
  <si>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</si>
  <si>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</si>
  <si>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</si>
  <si>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</si>
  <si>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</si>
  <si>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</si>
  <si>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</si>
  <si>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</si>
  <si>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</si>
  <si>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</si>
  <si>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</si>
  <si>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</si>
  <si>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</si>
  <si>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</si>
  <si>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</si>
  <si>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</si>
  <si>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</si>
  <si>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</si>
  <si>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</si>
  <si>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</si>
  <si>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</si>
  <si>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</si>
  <si>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</si>
  <si>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</si>
  <si>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</si>
  <si>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</si>
  <si>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</si>
  <si>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</si>
  <si>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</si>
  <si>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</si>
  <si>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</si>
  <si>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</si>
  <si>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</si>
  <si>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</si>
  <si>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</si>
  <si>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</si>
  <si>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</si>
  <si>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</si>
  <si>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</si>
  <si>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</si>
  <si>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</si>
  <si>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</si>
  <si>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</si>
  <si>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</si>
  <si>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</si>
  <si>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</si>
  <si>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</si>
  <si>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</si>
  <si>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</si>
  <si>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</si>
  <si>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</si>
  <si>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</si>
  <si>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</si>
  <si>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Rent adjuster delay period: the period of years the annual 2.5% underwriting increase to
project income is delayed in the 15 Year Pro Forma.  
Temporary rent adjuster: the percentage used in place of the annual 2.5% underwriting increase to project income in the 15 Year Pro Forma. 
Calculation:
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</si>
  <si>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</si>
  <si>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</si>
  <si>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</si>
  <si>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</si>
  <si>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</si>
  <si>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</si>
  <si>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</si>
  <si>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</si>
  <si>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If the project has uncompleted Short Term Work required by an existing Capital Needs Covenant, OR the Transfer Event associated with the resyndication does not qualify for any exemption or waiver, the following apply:</t>
  </si>
  <si>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</si>
  <si>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</si>
  <si>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</si>
  <si>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</si>
  <si>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</si>
  <si>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</si>
  <si>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</si>
  <si>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</si>
  <si>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</si>
  <si>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</si>
  <si>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</si>
  <si>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</si>
  <si>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</si>
  <si>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</si>
  <si>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</si>
  <si>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</si>
  <si>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</si>
  <si>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</si>
  <si>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</si>
  <si>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</si>
  <si>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</si>
  <si>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</si>
  <si>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</si>
  <si>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</si>
  <si>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</si>
  <si>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</si>
  <si>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</si>
  <si>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</si>
  <si>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</si>
  <si>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</si>
  <si>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</si>
  <si>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</si>
  <si>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</si>
  <si>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</si>
  <si>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</si>
  <si>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</si>
  <si>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</si>
  <si>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</si>
  <si>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</si>
  <si>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</si>
  <si>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</si>
  <si>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</si>
  <si>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</si>
  <si>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</si>
  <si>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</si>
  <si>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</si>
  <si>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</si>
  <si>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</si>
  <si>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</si>
  <si>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</si>
  <si>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</si>
  <si>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</si>
  <si>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</si>
  <si>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</si>
  <si>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</si>
  <si>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</si>
  <si>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</si>
  <si>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</si>
  <si>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</si>
  <si>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</si>
  <si>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</si>
  <si>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</si>
  <si>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</si>
  <si>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</si>
  <si>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</si>
  <si>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</si>
  <si>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</si>
  <si>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</si>
  <si>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t xml:space="preserve">Self-syndication projects, refer to Reg. § 10327(c)(9). See Basis and Credits Worksheet for minimum federal tax credit factor and state tax credit factor amounts.
</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</si>
  <si>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</si>
  <si>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</si>
  <si>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</si>
  <si>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</si>
  <si>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</si>
  <si>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</si>
  <si>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</si>
  <si>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</si>
  <si>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</si>
  <si>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</si>
  <si>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</si>
  <si>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</si>
  <si>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</si>
  <si>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</si>
  <si>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</si>
  <si>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</si>
  <si>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</si>
  <si>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</si>
  <si>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</si>
  <si>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</si>
  <si>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t>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AND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</si>
  <si>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</si>
  <si>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</si>
  <si>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</si>
  <si>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</si>
  <si>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</si>
  <si>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</si>
  <si>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</si>
  <si>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</si>
  <si>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</si>
  <si>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</si>
  <si>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</si>
  <si>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</si>
  <si>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</si>
  <si>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</si>
  <si>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</si>
  <si>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</si>
  <si>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</si>
  <si>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</si>
  <si>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</si>
  <si>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</si>
  <si>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</si>
  <si>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</si>
  <si>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</si>
  <si>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t>For private loans that are guaranteed by a public entity,
● see § 10325(c)(9) for eligibility,
●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</si>
  <si>
    <t xml:space="preserve">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
 </t>
  </si>
  <si>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</si>
  <si>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</si>
  <si>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</si>
  <si>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</si>
  <si>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</si>
  <si>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</si>
  <si>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</si>
  <si>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</si>
  <si>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</si>
  <si>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</si>
  <si>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</si>
  <si>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</si>
  <si>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</si>
  <si>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 xml:space="preserve">PROPERTY MANAGEMENT COMPANY provide signed: </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</si>
  <si>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</si>
  <si>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</si>
  <si>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</si>
  <si>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</si>
  <si>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</si>
  <si>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</si>
  <si>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</si>
  <si>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</si>
  <si>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</si>
  <si>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</si>
  <si>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</si>
  <si>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t>Native American apportionment: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</si>
  <si>
    <t>Transit site amenities: 
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</si>
  <si>
    <t xml:space="preserve">Public school amenities: 
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</si>
  <si>
    <t>For grocery stores and medical clinics: 
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</si>
  <si>
    <t>For facilities offering daily services designated for seniors OR 
for facilities operating to service a special needs or SRO development: 
Provide amenity details documenting how the services are appropriate to the development.</t>
  </si>
  <si>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</si>
  <si>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</si>
  <si>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</si>
  <si>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</si>
  <si>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</si>
  <si>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</si>
  <si>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</si>
  <si>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</si>
  <si>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</si>
  <si>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</si>
  <si>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</si>
  <si>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</si>
  <si>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</si>
  <si>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</si>
  <si>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</si>
  <si>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</si>
  <si>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</si>
  <si>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</si>
  <si>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</si>
  <si>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</si>
  <si>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</si>
  <si>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</si>
  <si>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</si>
  <si>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</si>
  <si>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</si>
  <si>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</si>
  <si>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A certification of square footage based on an aerial photo of a building will not be accepted for any of the above.</t>
  </si>
  <si>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</si>
  <si>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</si>
  <si>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</si>
  <si>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</si>
  <si>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</si>
  <si>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</si>
  <si>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</si>
  <si>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</si>
  <si>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</si>
  <si>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</si>
  <si>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</si>
  <si>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</si>
  <si>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</si>
  <si>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</si>
  <si>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</si>
  <si>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</si>
  <si>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</si>
  <si>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</si>
  <si>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</si>
  <si>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</si>
  <si>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</si>
  <si>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</si>
  <si>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</si>
  <si>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</si>
  <si>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</si>
  <si>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</si>
  <si>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</si>
  <si>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t xml:space="preserve">Provide evidence of eligibility per regulation guidelines and include all application items required in Attachment 24: Service Amenities along with completed:
</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</si>
  <si>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</si>
  <si>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</si>
  <si>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</si>
  <si>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</si>
  <si>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</si>
  <si>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</si>
  <si>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</si>
  <si>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</si>
  <si>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</si>
  <si>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</si>
  <si>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</si>
  <si>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</si>
  <si>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</si>
  <si>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</si>
  <si>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</si>
  <si>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</si>
  <si>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</si>
  <si>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</si>
  <si>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</si>
  <si>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</si>
  <si>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</si>
  <si>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</si>
  <si>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</si>
  <si>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</si>
  <si>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</si>
  <si>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</si>
  <si>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</si>
  <si>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</si>
  <si>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</si>
  <si>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</si>
  <si>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</si>
  <si>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</si>
  <si>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</si>
  <si>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</si>
  <si>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</si>
  <si>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</si>
  <si>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</si>
  <si>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</si>
  <si>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t xml:space="preserve">Provide evidence of eligibility and include signed: </t>
  </si>
  <si>
    <t>Attachments - Exhibit B: Farmworker tab</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</si>
  <si>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</si>
  <si>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</si>
  <si>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</si>
  <si>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</si>
  <si>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</si>
  <si>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</si>
  <si>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</si>
  <si>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</si>
  <si>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</si>
  <si>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</si>
  <si>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t>1Land Cost or Value</t>
  </si>
  <si>
    <t>2Demolition</t>
  </si>
  <si>
    <t>Legal</t>
  </si>
  <si>
    <t>Land Lease Rent Prepayment</t>
  </si>
  <si>
    <t>1Total Land Cost or Value</t>
  </si>
  <si>
    <t>Existing Improvements Cost or Value</t>
  </si>
  <si>
    <t>2Off-Site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</si>
  <si>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</si>
  <si>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</si>
  <si>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</si>
  <si>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</si>
  <si>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</si>
  <si>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</si>
  <si>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</si>
  <si>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</si>
  <si>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</si>
  <si>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</si>
  <si>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</si>
  <si>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</si>
  <si>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</si>
  <si>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</si>
  <si>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</si>
  <si>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</si>
  <si>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</si>
  <si>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</si>
  <si>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</si>
  <si>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</si>
  <si>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</si>
  <si>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</si>
  <si>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</si>
  <si>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</si>
  <si>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</si>
  <si>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</si>
  <si>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</si>
  <si>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</si>
  <si>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</si>
  <si>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</si>
  <si>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</si>
  <si>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</si>
  <si>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</si>
  <si>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</si>
  <si>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</si>
  <si>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</si>
  <si>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</si>
  <si>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</si>
  <si>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</si>
  <si>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</si>
  <si>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</si>
  <si>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</si>
  <si>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</si>
  <si>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</si>
  <si>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</si>
  <si>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</si>
  <si>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</si>
  <si>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</si>
  <si>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</si>
  <si>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</si>
  <si>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</si>
  <si>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</si>
  <si>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</si>
  <si>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</si>
  <si>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</si>
  <si>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</si>
  <si>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</si>
  <si>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</si>
  <si>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</si>
  <si>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</si>
  <si>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</si>
  <si>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</si>
  <si>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</si>
  <si>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</si>
  <si>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</si>
  <si>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</si>
  <si>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</si>
  <si>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</si>
  <si>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</si>
  <si>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</si>
  <si>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</si>
  <si>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</si>
  <si>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</si>
  <si>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</si>
  <si>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</si>
  <si>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</si>
  <si>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</si>
  <si>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</si>
  <si>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</si>
  <si>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</si>
  <si>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1 Required:  evidence of land value (see Tab 1).   Land value must be included in Total Project Cost and Sources and Uses Budget (includes donated or leased land).  </t>
  </si>
  <si>
    <t xml:space="preserve">  Except for non-competitive projects with donated land, CTCAC will not accept a budget with a nominal land value.  Please refer to the CTCAC website for additional information and guidance.   </t>
  </si>
  <si>
    <t>2 Required:  include a detailed explanation of Demolition and Offsite Improvements requirements as well as a cost breakdown in Attachment 12, Construction and Design Description.</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</si>
  <si>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</si>
  <si>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</si>
  <si>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</si>
  <si>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</si>
  <si>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</si>
  <si>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</si>
  <si>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</si>
  <si>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</si>
  <si>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</si>
  <si>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</si>
  <si>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</si>
  <si>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</si>
  <si>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</si>
  <si>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</si>
  <si>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</si>
  <si>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</si>
  <si>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</si>
  <si>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</si>
  <si>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</si>
  <si>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</si>
  <si>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</si>
  <si>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</si>
  <si>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</si>
  <si>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</si>
  <si>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</si>
  <si>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</si>
  <si>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</si>
  <si>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</si>
  <si>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</si>
  <si>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</si>
  <si>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</si>
  <si>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</si>
  <si>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</si>
  <si>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</si>
  <si>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</si>
  <si>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</si>
  <si>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</si>
  <si>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t>**130% Adjustment for DDA, QCT, or Reg. §10317(d):</t>
  </si>
  <si>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</si>
  <si>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</si>
  <si>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</si>
  <si>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</si>
  <si>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</si>
  <si>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</si>
  <si>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</si>
  <si>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</si>
  <si>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</si>
  <si>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</si>
  <si>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</si>
  <si>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</si>
  <si>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</si>
  <si>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</si>
  <si>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</si>
  <si>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</si>
  <si>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</si>
  <si>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</si>
  <si>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</si>
  <si>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</si>
  <si>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</si>
  <si>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</si>
  <si>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</si>
  <si>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</si>
  <si>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</si>
  <si>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</si>
  <si>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</si>
  <si>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</si>
  <si>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</si>
  <si>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</si>
  <si>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</si>
  <si>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</si>
  <si>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</si>
  <si>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</si>
  <si>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</si>
  <si>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</si>
  <si>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</si>
  <si>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</si>
  <si>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</si>
  <si>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</si>
  <si>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</si>
  <si>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</si>
  <si>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</si>
  <si>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</si>
  <si>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</si>
  <si>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</si>
  <si>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</si>
  <si>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</si>
  <si>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</si>
  <si>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</si>
  <si>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</si>
  <si>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</si>
  <si>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</si>
  <si>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</si>
  <si>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</si>
  <si>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</si>
  <si>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</si>
  <si>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</si>
  <si>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</si>
  <si>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</si>
  <si>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</si>
  <si>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</si>
  <si>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</si>
  <si>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</si>
  <si>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</si>
  <si>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</si>
  <si>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</si>
  <si>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</si>
  <si>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</si>
  <si>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</si>
  <si>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</si>
  <si>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</si>
  <si>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</si>
  <si>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</si>
  <si>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</si>
  <si>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</si>
  <si>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</si>
  <si>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</si>
  <si>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</si>
  <si>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</si>
  <si>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</si>
  <si>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</si>
  <si>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</si>
  <si>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</si>
  <si>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</si>
  <si>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</si>
  <si>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</si>
  <si>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</si>
  <si>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</si>
  <si>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</si>
  <si>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</si>
  <si>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</si>
  <si>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</si>
  <si>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</si>
  <si>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</si>
  <si>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</si>
  <si>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</si>
  <si>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</si>
  <si>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</si>
  <si>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</si>
  <si>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</si>
  <si>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</si>
  <si>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</si>
  <si>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</si>
  <si>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</si>
  <si>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</si>
  <si>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</si>
  <si>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</si>
  <si>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</si>
  <si>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</si>
  <si>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</si>
  <si>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</si>
  <si>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</si>
  <si>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</si>
  <si>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</si>
  <si>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</si>
  <si>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</si>
  <si>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</si>
  <si>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</si>
  <si>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</si>
  <si>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</si>
  <si>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</si>
  <si>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</si>
  <si>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</si>
  <si>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</si>
  <si>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</si>
  <si>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</si>
  <si>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</si>
  <si>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</si>
  <si>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</si>
  <si>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</si>
  <si>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</si>
  <si>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</si>
  <si>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</si>
  <si>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</si>
  <si>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</si>
  <si>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</si>
  <si>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</si>
  <si>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</si>
  <si>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</si>
  <si>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</si>
  <si>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</si>
  <si>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</si>
  <si>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</si>
  <si>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</si>
  <si>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</si>
  <si>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</si>
  <si>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</si>
  <si>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</si>
  <si>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</si>
  <si>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</si>
  <si>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</si>
  <si>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</si>
  <si>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</si>
  <si>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</si>
  <si>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</si>
  <si>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</si>
  <si>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</si>
  <si>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</si>
  <si>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</si>
  <si>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</si>
  <si>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</si>
  <si>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t>For a senior development the project site is within 1/2 mile of a daily operated senior center or a facility offering daily services to seniors (not on the project site) (1 mile for Rural set-aside).</t>
  </si>
  <si>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</si>
  <si>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</si>
  <si>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</si>
  <si>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t>For a special needs development, the site is located within 1/2 mile of a facility that operates to serve the population living in the development.</t>
  </si>
  <si>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</si>
  <si>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</si>
  <si>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</si>
  <si>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</si>
  <si>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</si>
  <si>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</si>
  <si>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</si>
  <si>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</si>
  <si>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</si>
  <si>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</si>
  <si>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</si>
  <si>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</si>
  <si>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Rural set-aside only:  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</si>
  <si>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</si>
  <si>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</si>
  <si>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</si>
  <si>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</si>
  <si>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</si>
  <si>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</si>
  <si>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</si>
  <si>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</si>
  <si>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</si>
  <si>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</si>
  <si>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</si>
  <si>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</si>
  <si>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</si>
  <si>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</si>
  <si>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</si>
  <si>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</si>
  <si>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</si>
  <si>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</si>
  <si>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</si>
  <si>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</si>
  <si>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</si>
  <si>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</si>
  <si>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</si>
  <si>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</si>
  <si>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</si>
  <si>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</si>
  <si>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</si>
  <si>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</si>
  <si>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Evidence that adequate physical space for services will be provided must be documented within the application. The amenities must be available within 6 months of the project’s placed-in-service date.  Applicants must commit that services will be provided for a period of 15 years.  </t>
  </si>
  <si>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provision of on-site services would be duplicative. 
</t>
  </si>
  <si>
    <t xml:space="preserve">Items 1 through 6 are applicable to Large Family, Senior, and At-Risk projects. Items 7 through 12 are applicable to Special Needs and SRO projects. Items 1 through 12 are mutually exclusive. One proposed service may not receive points under two different categories, except in the case of proportionately-scored services for special needs projects. </t>
  </si>
  <si>
    <t>Proportional Scoring for Services - Projects with less than 75% Special Needs Units: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Proportional scoring for this paragraph means,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</si>
  <si>
    <t>Single Housing Type</t>
  </si>
  <si>
    <t>Proportional Scoring 2 housing types</t>
  </si>
  <si>
    <t>Proportional Scoring for Services - Scattered Site Projects: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In addition, scattered site more than 1 mile (1.5 miles for Rural set-aside) from the nearest other site with services must provide services independently. Proportional scoring for this paragraph means, for a project to score the maximum 10 points, each site must independently score 10 points for service amenities.</t>
  </si>
  <si>
    <t>The application’s Service Amenity Sources and Uses Budget page must clearly describe all anticipated income and expenses associated with the services program(s) and must align with the services commitments provided (i.e. contracts, MOUs, letters, etc.)  Applications shall receive points for services only if the proposed services budget adequately accounts for the level of service.  The budgeted amount must reasonably be expected to cover the costs of the proposed level of service.  All organizations providing services for which the project is claiming points must document that they have at least 24 months of experience providing services to the project’s target population. PLEASE REFER TO REGULATION SECTION 10325(c)(5)(B) FOR COMPLETE SERVICE AMENITY POINTS REQUIREMENTS.</t>
  </si>
  <si>
    <t>sum</t>
  </si>
  <si>
    <t xml:space="preserve">No more than 10 points will be awarded in this category. The service budget spreadsheet must be completed. </t>
  </si>
  <si>
    <t>Large Family, Senior, At-Risk: Number of Bedrooms =</t>
  </si>
  <si>
    <t>Special Needs, SRO: Number of Bedrooms =</t>
  </si>
  <si>
    <t xml:space="preserve">Amenities may include, but are not limited to: </t>
  </si>
  <si>
    <t>a) Large Family, Senior, At-Risk projects:</t>
  </si>
  <si>
    <t>(1)</t>
  </si>
  <si>
    <t>Service Coordinator.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</si>
  <si>
    <t>Minimum ratio of 1 Full Time Equivalent (FTE) Service Coordinator to 600 bedrooms.</t>
  </si>
  <si>
    <t>5 points</t>
  </si>
  <si>
    <t>(2)</t>
  </si>
  <si>
    <t xml:space="preserve">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</si>
  <si>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Services Specialist to 600 bedrooms.</t>
  </si>
  <si>
    <t>(3)</t>
  </si>
  <si>
    <t xml:space="preserve">Instructor-led 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</si>
  <si>
    <t xml:space="preserve">Minimum of 84 hours instruction each year (42 hours for small developments*).  </t>
  </si>
  <si>
    <t>7 points</t>
  </si>
  <si>
    <t xml:space="preserve">Minimum of 60 hours instruction each year (30 hours for small developments*).  </t>
  </si>
  <si>
    <t>*small developments = 20 units or less</t>
  </si>
  <si>
    <t>(4)</t>
  </si>
  <si>
    <t>Health and wellness services and programs.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</si>
  <si>
    <t xml:space="preserve">Minimum of 100 hours of services per year for each 100 bedrooms.  </t>
  </si>
  <si>
    <t xml:space="preserve">Minimum of 60 hours of services per year for each 100 bedrooms.  </t>
  </si>
  <si>
    <t>3 points</t>
  </si>
  <si>
    <t>(5)</t>
  </si>
  <si>
    <t>Licensed child care.  Shall be available 20 hours or more per week, Monday through Friday, to residents of the development.  (Only for large family projects or other projects in which at least 25% of Low-Income Units are 3 bedrooms or larger.)</t>
  </si>
  <si>
    <t>(6)</t>
  </si>
  <si>
    <t>After school program for school age children.  Includes, but is not limited to tutoring, mentoring, homework club, art and recreational activities.  (Only for large family projects or other projects in which at least 25% of Low-Income Units are 3 bedrooms or larger):</t>
  </si>
  <si>
    <t>Minimum of 10 hours per week, offered weekdays throughout the school year.</t>
  </si>
  <si>
    <t>Minimum of 6 hours per week, offered weekdays throughout the school year.</t>
  </si>
  <si>
    <t>b) Special Needs, SRO projects:</t>
  </si>
  <si>
    <t>(7)</t>
  </si>
  <si>
    <t>Case Manager.  Responsibilities must include (but are not limited to) working with tenants to develop and implement an individualized service plan, goal plan or independent living plan:</t>
  </si>
  <si>
    <t>Minimum ratio of 1 Full Time Equivalent (FTE) Case Manager to 100 bedrooms.</t>
  </si>
  <si>
    <t>(8)</t>
  </si>
  <si>
    <t xml:space="preserve">Service Coordinator or Other Services Specialist.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</si>
  <si>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 Coordinator/Other Services Specialist to 360 bedrooms.</t>
  </si>
  <si>
    <t>(9)</t>
  </si>
  <si>
    <t xml:space="preserve">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t>
  </si>
  <si>
    <t xml:space="preserve">Minimum of 84 hours of instruction each year (42 hours for small developments*).  </t>
  </si>
  <si>
    <t>(10)</t>
  </si>
  <si>
    <t>Health or behavioral health services provided by appropriately-licensed organization or individual.  Includes but is not limited to: health clinic, adult day health center, medication management services, mental health services and treatment, substance abuse services and treatment.</t>
  </si>
  <si>
    <t xml:space="preserve">LEED </t>
  </si>
  <si>
    <t>Green Communities</t>
  </si>
  <si>
    <t>(11)</t>
  </si>
  <si>
    <t>Passive House Institute US (PHIUS)</t>
  </si>
  <si>
    <t>Passive House</t>
  </si>
  <si>
    <t>Living Building Challenge</t>
  </si>
  <si>
    <t>National Green Building Standard ICC / ASRAE – 700 silver or higher rating</t>
  </si>
  <si>
    <t>GreenPoint Rated Program</t>
  </si>
  <si>
    <t>(12)</t>
  </si>
  <si>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</si>
  <si>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</si>
  <si>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</si>
  <si>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</si>
  <si>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</si>
  <si>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</si>
  <si>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</si>
  <si>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</si>
  <si>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</si>
  <si>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</si>
  <si>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</si>
  <si>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</si>
  <si>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</si>
  <si>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</si>
  <si>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</si>
  <si>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</si>
  <si>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</si>
  <si>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</si>
  <si>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</si>
  <si>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</si>
  <si>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</si>
  <si>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</si>
  <si>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</si>
  <si>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</si>
  <si>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</si>
  <si>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</si>
  <si>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</si>
  <si>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</si>
  <si>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</si>
  <si>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</si>
  <si>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</si>
  <si>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</si>
  <si>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</si>
  <si>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</si>
  <si>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</si>
  <si>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</si>
  <si>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</si>
  <si>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</si>
  <si>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</si>
  <si>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</si>
  <si>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</si>
  <si>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</si>
  <si>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</si>
  <si>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</si>
  <si>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</si>
  <si>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</si>
  <si>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</si>
  <si>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</si>
  <si>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</si>
  <si>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</si>
  <si>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</si>
  <si>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</si>
  <si>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</si>
  <si>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</si>
  <si>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</si>
  <si>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</si>
  <si>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</si>
  <si>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t>(e.g.. commercial, market rate, etc..) Total Number of Non-Qualifying Units:</t>
  </si>
  <si>
    <t>d.</t>
  </si>
  <si>
    <t xml:space="preserve">WATER EFFICIENCY: </t>
  </si>
  <si>
    <t>(excluding managers' units) Total Number of Low Income Units:</t>
  </si>
  <si>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</si>
  <si>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</si>
  <si>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</si>
  <si>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</si>
  <si>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</si>
  <si>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</si>
  <si>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</si>
  <si>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</si>
  <si>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</si>
  <si>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</si>
  <si>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</si>
  <si>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</si>
  <si>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</si>
  <si>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</si>
  <si>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</si>
  <si>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</si>
  <si>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</si>
  <si>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</si>
  <si>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</si>
  <si>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</si>
  <si>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</si>
  <si>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</si>
  <si>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</si>
  <si>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</si>
  <si>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</si>
  <si>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</si>
  <si>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</si>
  <si>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</si>
  <si>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</si>
  <si>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</si>
  <si>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</si>
  <si>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</si>
  <si>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</si>
  <si>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</si>
  <si>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</si>
  <si>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</si>
  <si>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</si>
  <si>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</si>
  <si>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</si>
  <si>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</si>
  <si>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</si>
  <si>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</si>
  <si>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</si>
  <si>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</si>
  <si>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</si>
  <si>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</si>
  <si>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</si>
  <si>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</si>
  <si>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</si>
  <si>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</si>
  <si>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</si>
  <si>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</si>
  <si>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</si>
  <si>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t>Number of Targeted Low-Income Units</t>
  </si>
  <si>
    <t>Percent of 
AMI
(20% -  55%)*</t>
  </si>
  <si>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</si>
  <si>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</si>
  <si>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</si>
  <si>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</si>
  <si>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</si>
  <si>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</si>
  <si>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</si>
  <si>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</si>
  <si>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</si>
  <si>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</si>
  <si>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</si>
  <si>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</si>
  <si>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</si>
  <si>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</si>
  <si>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</si>
  <si>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</si>
  <si>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</si>
  <si>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</si>
  <si>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</si>
  <si>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</si>
  <si>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</si>
  <si>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</si>
  <si>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</si>
  <si>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</si>
  <si>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</si>
  <si>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</si>
  <si>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</si>
  <si>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</si>
  <si>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</si>
  <si>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</si>
  <si>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</si>
  <si>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</si>
  <si>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</si>
  <si>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</si>
  <si>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</si>
  <si>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</si>
  <si>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</si>
  <si>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</si>
  <si>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</si>
  <si>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</si>
  <si>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</si>
  <si>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</si>
  <si>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</si>
  <si>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</si>
  <si>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</si>
  <si>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</si>
  <si>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</si>
  <si>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</si>
  <si>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</si>
  <si>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</si>
  <si>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</si>
  <si>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</si>
  <si>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</si>
  <si>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</si>
  <si>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</si>
  <si>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</si>
  <si>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</si>
  <si>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</si>
  <si>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</si>
  <si>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</si>
  <si>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</si>
  <si>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</si>
  <si>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</si>
  <si>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</si>
  <si>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</si>
  <si>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</si>
  <si>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</si>
  <si>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</si>
  <si>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</si>
  <si>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</si>
  <si>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</si>
  <si>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</si>
  <si>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</si>
  <si>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</si>
  <si>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</si>
  <si>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</si>
  <si>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</si>
  <si>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</si>
  <si>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</si>
  <si>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</si>
  <si>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</si>
  <si>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</si>
  <si>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</si>
  <si>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</si>
  <si>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</si>
  <si>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</si>
  <si>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</si>
  <si>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</si>
  <si>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</si>
  <si>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</si>
  <si>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</si>
  <si>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</si>
  <si>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</si>
  <si>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</si>
  <si>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</si>
  <si>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</si>
  <si>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</si>
  <si>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</si>
  <si>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</si>
  <si>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</si>
  <si>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</si>
  <si>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</si>
  <si>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</si>
  <si>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</si>
  <si>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</si>
  <si>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</si>
  <si>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</si>
  <si>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</si>
  <si>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</si>
  <si>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</si>
  <si>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</si>
  <si>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</si>
  <si>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</si>
  <si>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</si>
  <si>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</si>
  <si>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</si>
  <si>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</si>
  <si>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</si>
  <si>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</si>
  <si>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</si>
  <si>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</si>
  <si>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</si>
  <si>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</si>
  <si>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</si>
  <si>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</si>
  <si>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</si>
  <si>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</si>
  <si>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</si>
  <si>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</si>
  <si>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</si>
  <si>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</si>
  <si>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</si>
  <si>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t>List Leveraged Soft Financing excluding donated land and fee waivers:</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</si>
  <si>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</si>
  <si>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</si>
  <si>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</si>
  <si>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</si>
  <si>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</si>
  <si>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</si>
  <si>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</si>
  <si>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</si>
  <si>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</si>
  <si>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</si>
  <si>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</si>
  <si>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</si>
  <si>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</si>
  <si>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</si>
  <si>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</si>
  <si>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t>Mixed-Use Ratio = Total Commercial Cost / Total Project Cost:</t>
  </si>
  <si>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</si>
  <si>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</si>
  <si>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</si>
  <si>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</si>
  <si>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</si>
  <si>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</si>
  <si>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</si>
  <si>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</si>
  <si>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</si>
  <si>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</si>
  <si>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</si>
  <si>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</si>
  <si>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</si>
  <si>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</si>
  <si>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</si>
  <si>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</si>
  <si>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</si>
  <si>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</si>
  <si>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t>Annual Rental Income Differential for PUBLIC RENT SUBSIDIES:</t>
  </si>
  <si>
    <t>Annual Rental Income Differential for PUBLIC OPERATING SUBSIDIES:</t>
  </si>
  <si>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</si>
  <si>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</si>
  <si>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</si>
  <si>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</si>
  <si>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</si>
  <si>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</si>
  <si>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</si>
  <si>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t>For USDA subsidy only, use the higher of 60% AMI or committed basic contract rents.</t>
  </si>
  <si>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</si>
  <si>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</si>
  <si>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</si>
  <si>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</si>
  <si>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</si>
  <si>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</si>
  <si>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</si>
  <si>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</si>
  <si>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</si>
  <si>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</si>
  <si>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</si>
  <si>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</si>
  <si>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</si>
  <si>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</si>
  <si>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</si>
  <si>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</si>
  <si>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</si>
  <si>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</si>
  <si>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</si>
  <si>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</si>
  <si>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</si>
  <si>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</si>
  <si>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</si>
  <si>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</si>
  <si>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t>Proposed Monthly Rent per Unit                             Less Utility Allowance*</t>
  </si>
  <si>
    <t>Subsidy Contract Monthly Rent per Unit                    Less Utility Allowance*</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</si>
  <si>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</si>
  <si>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</si>
  <si>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</si>
  <si>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</si>
  <si>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</si>
  <si>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</si>
  <si>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</si>
  <si>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</si>
  <si>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</si>
  <si>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</si>
  <si>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</si>
  <si>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</si>
  <si>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</si>
  <si>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</si>
  <si>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</si>
  <si>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</si>
  <si>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</si>
  <si>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</si>
  <si>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</si>
  <si>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</si>
  <si>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</si>
  <si>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</si>
  <si>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</si>
  <si>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</si>
  <si>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</si>
  <si>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</si>
  <si>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</si>
  <si>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</si>
  <si>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</si>
  <si>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</si>
  <si>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</si>
  <si>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</si>
  <si>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</si>
  <si>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</si>
  <si>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</si>
  <si>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</si>
  <si>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</si>
  <si>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</si>
  <si>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</si>
  <si>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</si>
  <si>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</si>
  <si>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</si>
  <si>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</si>
  <si>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</si>
  <si>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</si>
  <si>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</si>
  <si>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</si>
  <si>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</si>
  <si>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</si>
  <si>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</si>
  <si>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</si>
  <si>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</si>
  <si>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</si>
  <si>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</si>
  <si>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</si>
  <si>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</si>
  <si>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</si>
  <si>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</si>
  <si>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t>**Other Fees and all payments made from cash flow after must pay debt should be completed according to the terms of the partnership agreement (or equivalent ownership entity terms).  Please re-order line items consistent with any "order of priority" terms.  These items are to be completed when submitting an updated application for the Carryover, Readiness, Final Reservation, and Placed-in-Service deadlines.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</si>
  <si>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</si>
  <si>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</si>
  <si>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</si>
  <si>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</si>
  <si>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</si>
  <si>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</si>
  <si>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</si>
  <si>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</si>
  <si>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</si>
  <si>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</si>
  <si>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</si>
  <si>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</si>
  <si>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</si>
  <si>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</si>
  <si>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</si>
  <si>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</si>
  <si>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</si>
  <si>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</si>
  <si>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</si>
  <si>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</si>
  <si>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</si>
  <si>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</si>
  <si>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</si>
  <si>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</si>
  <si>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</si>
  <si>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</si>
  <si>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</si>
  <si>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</si>
  <si>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</si>
  <si>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</si>
  <si>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</si>
  <si>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</si>
  <si>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</si>
  <si>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</si>
  <si>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</si>
  <si>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</si>
  <si>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</si>
  <si>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</si>
  <si>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Pacific Avenue Apartments</t>
  </si>
  <si>
    <t>Matt Huffaker</t>
  </si>
  <si>
    <t>831-420-5011</t>
  </si>
  <si>
    <t>mhuffaker@santacruzca.gov</t>
  </si>
  <si>
    <t>005-081-20, 005-081-21</t>
  </si>
  <si>
    <t>Hailey Wilson</t>
  </si>
  <si>
    <t>PO Box 11235</t>
  </si>
  <si>
    <t>Santa Rosa, CA 95406</t>
  </si>
  <si>
    <t>Angel Sivori</t>
  </si>
  <si>
    <t>707-497-8995</t>
  </si>
  <si>
    <t>asivori@thriveempowered.com</t>
  </si>
  <si>
    <t>Emily Coonerty</t>
  </si>
  <si>
    <t>1320 Pacific Ave, Santa Cruz, CA 95060</t>
  </si>
  <si>
    <t>831-251-4642</t>
  </si>
  <si>
    <t>Inner City Infill Site</t>
  </si>
  <si>
    <t>CBD - Central Business District</t>
  </si>
  <si>
    <t>Residential Multifamily</t>
  </si>
  <si>
    <t>85 Feet</t>
  </si>
  <si>
    <t>Citi Bank</t>
  </si>
  <si>
    <t>Citi Bank Permanent Loan</t>
  </si>
  <si>
    <t>City of Santa Cruz Funds</t>
  </si>
  <si>
    <t>Deferred Developer Fee</t>
  </si>
  <si>
    <t>Equity</t>
  </si>
  <si>
    <t>Two Embarcadero Center, 17th Floor</t>
  </si>
  <si>
    <t>San Francisco, CA 94111</t>
  </si>
  <si>
    <t>Jacob St. Onge</t>
  </si>
  <si>
    <t>415-658-3118</t>
  </si>
  <si>
    <t>Construction Loan</t>
  </si>
  <si>
    <t>Permanent Loan</t>
  </si>
  <si>
    <t>809 Center Street, Room 101</t>
  </si>
  <si>
    <t>Santa Cruz, CA 95060</t>
  </si>
  <si>
    <t>831-420-5110</t>
  </si>
  <si>
    <t>Housing Authority of the County of Santa Cruz</t>
  </si>
  <si>
    <t>Other: Inspection Fees</t>
  </si>
  <si>
    <t>Other: Borrower's Attorney</t>
  </si>
  <si>
    <t>City of Santa Cruz</t>
  </si>
  <si>
    <t>Santa Cruz Pacific Avenue LLC</t>
  </si>
  <si>
    <t>Front and Soquel Ave Bus Stop</t>
  </si>
  <si>
    <t>Front and Soquel Ave</t>
  </si>
  <si>
    <t>831-425-8600</t>
  </si>
  <si>
    <t>scmetro.org</t>
  </si>
  <si>
    <t>&lt;.25 miles</t>
  </si>
  <si>
    <t>San Lorenzo Park</t>
  </si>
  <si>
    <t>137 Dakota Ave</t>
  </si>
  <si>
    <t>santacruzca.gov</t>
  </si>
  <si>
    <t>Tony Elliot</t>
  </si>
  <si>
    <t>831-420-5270</t>
  </si>
  <si>
    <t>Doghouse2 LLC</t>
  </si>
  <si>
    <t>Utility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</si>
</sst>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000"/>
    <numFmt numFmtId="166" formatCode="[&lt;=9999999]###\-####;\(###\)\ ###\-####"/>
    <numFmt numFmtId="167" formatCode="0.000"/>
    <numFmt numFmtId="168" formatCode="&quot;$&quot;#,##0"/>
    <numFmt numFmtId="169" formatCode="0.0"/>
    <numFmt numFmtId="170" formatCode="0.0%"/>
    <numFmt numFmtId="171" formatCode="0.0000%"/>
    <numFmt numFmtId="172" formatCode="_(* #,##0_);_(* \(#,##0\);_(* &quot;-&quot;??_);_(@_)"/>
    <numFmt numFmtId="173" formatCode="_(* #,##0_);_(* \(#,##0\);_(* &quot;-&quot;?_);_(@_)"/>
    <numFmt numFmtId="174" formatCode="0.0000"/>
    <numFmt numFmtId="175" formatCode="0.000%"/>
    <numFmt numFmtId="176" formatCode="mm/dd/yy;@"/>
    <numFmt numFmtId="177" formatCode="000"/>
    <numFmt numFmtId="178" formatCode="0000.00"/>
    <numFmt numFmtId="179" formatCode="[$-409]mmmm\ d\,\ yyyy;@"/>
    <numFmt numFmtId="180" formatCode="&quot;$&quot;#,##0.00000"/>
    <numFmt numFmtId="181" formatCode="0.000000000"/>
    <numFmt numFmtId="182" formatCode="General_)"/>
  </numFmts>
  <fonts count="116">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MS Sans Serif"/>
      <family val="2"/>
    </font>
    <font>
      <sz val="12"/>
      <name val="Times New Roman"/>
      <family val="1"/>
    </font>
    <font>
      <u/>
      <sz val="9"/>
      <name val="Arial"/>
      <family val="2"/>
    </font>
    <font>
      <sz val="11"/>
      <color indexed="8"/>
      <name val="Calibri"/>
      <family val="2"/>
    </font>
    <font>
      <sz val="11"/>
      <name val="Arial CE"/>
    </font>
    <font>
      <u/>
      <sz val="10"/>
      <color indexed="12"/>
      <name val="Courier"/>
      <family val="3"/>
    </font>
    <font>
      <sz val="10"/>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b/>
      <sz val="9"/>
      <color rgb="FFFF0000"/>
      <name val="Arial"/>
      <family val="2"/>
    </font>
    <font>
      <sz val="11"/>
      <color rgb="FFFF0000"/>
      <name val="Arial"/>
      <family val="2"/>
    </font>
    <font>
      <b/>
      <sz val="10"/>
      <color rgb="FFFF0000"/>
      <name val="Arial"/>
      <family val="2"/>
    </font>
    <font>
      <b/>
      <sz val="14"/>
      <color rgb="FFC00000"/>
      <name val="Times New Roman"/>
      <family val="1"/>
    </font>
    <font>
      <b/>
      <u/>
      <sz val="10"/>
      <color rgb="FFFF0000"/>
      <name val="Arial"/>
      <family val="2"/>
    </font>
    <font>
      <sz val="10"/>
      <name val="Arial"/>
      <family val="2"/>
    </font>
    <font>
      <sz val="11"/>
      <name val="Calibri"/>
      <family val="2"/>
    </font>
    <font>
      <sz val="11"/>
      <color rgb="FFC00000"/>
      <name val="Arial"/>
      <family val="2"/>
    </font>
    <font>
      <u/>
      <sz val="11"/>
      <color rgb="FFC00000"/>
      <name val="Arial"/>
      <family val="2"/>
    </font>
    <font>
      <b/>
      <sz val="9"/>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4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rgb="FFFFC7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style="thin">
        <color indexed="64"/>
      </right>
      <top style="medium">
        <color indexed="64"/>
      </top>
      <bottom style="thin">
        <color indexed="64"/>
      </bottom>
      <diagonal/>
    </border>
  </borders>
  <cellStyleXfs count="993">
    <xf numFmtId="0" fontId="0"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8" fillId="26" borderId="0"/>
    <xf numFmtId="0" fontId="78" fillId="27" borderId="0"/>
    <xf numFmtId="0" fontId="78" fillId="28" borderId="0"/>
    <xf numFmtId="0" fontId="78" fillId="29" borderId="0"/>
    <xf numFmtId="0" fontId="78" fillId="30" borderId="0"/>
    <xf numFmtId="0" fontId="78" fillId="31" borderId="0"/>
    <xf numFmtId="0" fontId="78" fillId="32" borderId="0"/>
    <xf numFmtId="0" fontId="78" fillId="33" borderId="0"/>
    <xf numFmtId="0" fontId="79" fillId="34" borderId="0"/>
    <xf numFmtId="0" fontId="80" fillId="35" borderId="29"/>
    <xf numFmtId="43" fontId="60" fillId="0" borderId="0"/>
    <xf numFmtId="43" fontId="60" fillId="0" borderId="0"/>
    <xf numFmtId="43" fontId="60" fillId="0" borderId="0"/>
    <xf numFmtId="43" fontId="72" fillId="0" borderId="0"/>
    <xf numFmtId="43" fontId="72"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60" fillId="0" borderId="0"/>
    <xf numFmtId="43" fontId="94" fillId="0" borderId="0"/>
    <xf numFmtId="43"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60" fillId="0" borderId="0">
      <alignment vertical="top"/>
    </xf>
    <xf numFmtId="44" fontId="60" fillId="0" borderId="0">
      <alignment vertical="top"/>
    </xf>
    <xf numFmtId="44" fontId="94" fillId="0" borderId="0"/>
    <xf numFmtId="44" fontId="60" fillId="0" borderId="0">
      <alignment vertical="top"/>
    </xf>
    <xf numFmtId="44" fontId="60"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81" fillId="0" borderId="30"/>
    <xf numFmtId="0" fontId="82" fillId="0" borderId="31"/>
    <xf numFmtId="0" fontId="83" fillId="0" borderId="32"/>
    <xf numFmtId="0" fontId="83" fillId="0" borderId="0"/>
    <xf numFmtId="0" fontId="2" fillId="0" borderId="0"/>
    <xf numFmtId="0" fontId="2" fillId="0" borderId="0"/>
    <xf numFmtId="0" fontId="74" fillId="0" borderId="0">
      <alignment vertical="top"/>
      <protection locked="0"/>
    </xf>
    <xf numFmtId="0" fontId="3" fillId="0" borderId="0"/>
    <xf numFmtId="0" fontId="4" fillId="0" borderId="0"/>
    <xf numFmtId="0" fontId="5" fillId="0" borderId="0"/>
    <xf numFmtId="0" fontId="84" fillId="0" borderId="0"/>
    <xf numFmtId="0" fontId="60" fillId="0" borderId="0"/>
    <xf numFmtId="0" fontId="84" fillId="0" borderId="0"/>
    <xf numFmtId="0" fontId="60" fillId="0" borderId="0"/>
    <xf numFmtId="0" fontId="60"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5" fillId="0" borderId="0"/>
    <xf numFmtId="0" fontId="60" fillId="0" borderId="0"/>
    <xf numFmtId="182" fontId="61" fillId="0" borderId="0"/>
    <xf numFmtId="0" fontId="77" fillId="0" borderId="0"/>
    <xf numFmtId="0" fontId="94" fillId="0" borderId="0"/>
    <xf numFmtId="0" fontId="94" fillId="0" borderId="0"/>
    <xf numFmtId="0" fontId="66" fillId="0" borderId="0"/>
    <xf numFmtId="0" fontId="60" fillId="0" borderId="0"/>
    <xf numFmtId="0" fontId="66" fillId="0" borderId="0"/>
    <xf numFmtId="0" fontId="94" fillId="0" borderId="0"/>
    <xf numFmtId="0" fontId="60" fillId="0" borderId="0"/>
    <xf numFmtId="0" fontId="69" fillId="0" borderId="0"/>
    <xf numFmtId="0" fontId="60"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9" fillId="0" borderId="0"/>
    <xf numFmtId="0" fontId="77" fillId="0" borderId="0"/>
    <xf numFmtId="0" fontId="77" fillId="0" borderId="0"/>
    <xf numFmtId="0" fontId="77"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69" fillId="0" borderId="0"/>
    <xf numFmtId="0" fontId="60" fillId="0" borderId="0">
      <alignment vertical="top"/>
    </xf>
    <xf numFmtId="0" fontId="77" fillId="0" borderId="0"/>
    <xf numFmtId="0" fontId="77" fillId="0" borderId="0"/>
    <xf numFmtId="0" fontId="77" fillId="0" borderId="0"/>
    <xf numFmtId="0" fontId="77" fillId="0" borderId="0"/>
    <xf numFmtId="0" fontId="69"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66" fillId="0" borderId="0"/>
    <xf numFmtId="0" fontId="66"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60" fillId="0" borderId="0">
      <alignment vertical="top"/>
    </xf>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94" fillId="0" borderId="0">
      <protection locked="0"/>
    </xf>
    <xf numFmtId="0" fontId="94" fillId="0" borderId="0">
      <protection locked="0"/>
    </xf>
    <xf numFmtId="0" fontId="94" fillId="0" borderId="0">
      <protection locked="0"/>
    </xf>
    <xf numFmtId="0" fontId="61" fillId="0" borderId="0"/>
    <xf numFmtId="0" fontId="94" fillId="0" borderId="0"/>
    <xf numFmtId="0" fontId="94" fillId="0" borderId="0"/>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86" fillId="35" borderId="34"/>
    <xf numFmtId="0" fontId="6" fillId="0" borderId="0">
      <alignment horizontal="left"/>
    </xf>
    <xf numFmtId="0" fontId="87" fillId="0" borderId="0"/>
    <xf numFmtId="0" fontId="88" fillId="0" borderId="35"/>
    <xf numFmtId="9" fontId="94" fillId="0" borderId="0"/>
    <xf numFmtId="0" fontId="94" fillId="0" borderId="0"/>
    <xf numFmtId="0" fontId="77" fillId="0" borderId="0"/>
    <xf numFmtId="43" fontId="77" fillId="0" borderId="0"/>
    <xf numFmtId="9" fontId="77"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9" fontId="94" fillId="0" borderId="0"/>
    <xf numFmtId="182" fontId="114" fillId="0" borderId="0"/>
  </cellStyleXfs>
  <cellXfs count="1579">
    <xf numFmtId="0" fontId="0" fillId="0" borderId="0" xfId="0"/>
    <xf numFmtId="0" fontId="0" fillId="0" borderId="0" xfId="0" applyAlignment="1">
      <alignment horizontal="center"/>
    </xf>
    <xf numFmtId="164" fontId="0" fillId="0" borderId="0" xfId="0" applyNumberFormat="1" applyAlignment="1">
      <alignment horizontal="right"/>
    </xf>
    <xf numFmtId="0" fontId="8" fillId="0" borderId="0" xfId="0" applyFont="1"/>
    <xf numFmtId="0" fontId="9" fillId="0" borderId="0" xfId="0" applyFont="1"/>
    <xf numFmtId="0" fontId="10"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0" fillId="0" borderId="0" xfId="0" applyFont="1" applyAlignment="1">
      <alignment horizontal="center"/>
    </xf>
    <xf numFmtId="0" fontId="1" fillId="0" borderId="5" xfId="510" applyFont="1" applyBorder="1"/>
    <xf numFmtId="0" fontId="0" fillId="0" borderId="0" xfId="0" applyAlignment="1">
      <alignment horizontal="left"/>
    </xf>
    <xf numFmtId="165" fontId="0" fillId="0" borderId="0" xfId="0" applyNumberFormat="1" applyAlignment="1">
      <alignment horizontal="left"/>
    </xf>
    <xf numFmtId="166" fontId="0" fillId="0" borderId="0" xfId="0" applyNumberFormat="1" applyAlignment="1">
      <alignment horizontal="left"/>
    </xf>
    <xf numFmtId="0" fontId="8" fillId="0" borderId="0" xfId="0" applyFont="1" applyAlignment="1">
      <alignment vertical="top" wrapText="1"/>
    </xf>
    <xf numFmtId="0" fontId="29" fillId="0" borderId="0" xfId="0" applyFont="1"/>
    <xf numFmtId="0" fontId="9" fillId="0" borderId="6" xfId="0" applyFont="1" applyBorder="1" applyAlignment="1">
      <alignment horizontal="center"/>
    </xf>
    <xf numFmtId="0" fontId="8" fillId="0" borderId="0" xfId="0" applyFont="1" applyAlignment="1">
      <alignment horizontal="center"/>
    </xf>
    <xf numFmtId="0" fontId="9" fillId="0" borderId="0" xfId="0" applyFont="1" applyAlignment="1">
      <alignment horizontal="left" vertical="top"/>
    </xf>
    <xf numFmtId="0" fontId="18" fillId="0" borderId="0" xfId="0" applyFont="1"/>
    <xf numFmtId="0" fontId="1" fillId="0" borderId="0" xfId="510" applyFont="1"/>
    <xf numFmtId="0" fontId="28" fillId="0" borderId="0" xfId="0" applyFont="1"/>
    <xf numFmtId="0" fontId="7" fillId="0" borderId="0" xfId="0" applyFont="1" applyAlignment="1">
      <alignment horizontal="center" vertical="center"/>
    </xf>
    <xf numFmtId="0" fontId="10" fillId="0" borderId="0" xfId="0" applyFont="1" applyAlignment="1">
      <alignment horizontal="left" vertical="top" wrapText="1"/>
    </xf>
    <xf numFmtId="0" fontId="17" fillId="0" borderId="0" xfId="0" applyFont="1"/>
    <xf numFmtId="0" fontId="9" fillId="0" borderId="0" xfId="0" applyFont="1" applyAlignment="1">
      <alignment vertical="top"/>
    </xf>
    <xf numFmtId="0" fontId="9" fillId="0" borderId="0" xfId="0" applyFont="1" applyAlignment="1">
      <alignment vertical="top" wrapText="1"/>
    </xf>
    <xf numFmtId="0" fontId="10" fillId="0" borderId="0" xfId="0" applyFont="1" applyAlignment="1">
      <alignment horizontal="left" indent="4"/>
    </xf>
    <xf numFmtId="0" fontId="9" fillId="0" borderId="0" xfId="0" applyFont="1" applyAlignment="1">
      <alignment horizontal="left"/>
    </xf>
    <xf numFmtId="0" fontId="22" fillId="0" borderId="0" xfId="510" applyFont="1"/>
    <xf numFmtId="1" fontId="9" fillId="0" borderId="0" xfId="0" applyNumberFormat="1" applyFont="1" applyAlignment="1">
      <alignment horizontal="left"/>
    </xf>
    <xf numFmtId="0" fontId="11" fillId="0" borderId="0" xfId="0" applyFont="1"/>
    <xf numFmtId="1" fontId="9" fillId="0" borderId="0" xfId="0" applyNumberFormat="1" applyFont="1" applyAlignment="1">
      <alignment horizontal="right"/>
    </xf>
    <xf numFmtId="0" fontId="0" fillId="0" borderId="0" xfId="0" applyAlignment="1">
      <alignment horizontal="right"/>
    </xf>
    <xf numFmtId="0" fontId="9" fillId="0" borderId="0" xfId="0" applyFont="1" applyAlignment="1">
      <alignment horizontal="right"/>
    </xf>
    <xf numFmtId="0" fontId="21" fillId="0" borderId="0" xfId="0" applyFont="1"/>
    <xf numFmtId="0" fontId="13" fillId="0" borderId="0" xfId="0" applyFont="1"/>
    <xf numFmtId="167" fontId="1" fillId="0" borderId="0" xfId="510" applyNumberFormat="1" applyFont="1"/>
    <xf numFmtId="9" fontId="1" fillId="0" borderId="0" xfId="510" applyNumberFormat="1" applyFont="1" applyAlignment="1">
      <alignment horizontal="left"/>
    </xf>
    <xf numFmtId="168" fontId="1" fillId="0" borderId="0" xfId="510" applyNumberFormat="1" applyFont="1"/>
    <xf numFmtId="0" fontId="1" fillId="0" borderId="0" xfId="0" applyFont="1"/>
    <xf numFmtId="0" fontId="10" fillId="0" borderId="0" xfId="0" applyFont="1" applyAlignment="1">
      <alignment horizontal="right"/>
    </xf>
    <xf numFmtId="0" fontId="30" fillId="0" borderId="0" xfId="0" applyFont="1"/>
    <xf numFmtId="0" fontId="10" fillId="0" borderId="0" xfId="0" applyFont="1" applyAlignment="1">
      <alignment horizontal="left"/>
    </xf>
    <xf numFmtId="0" fontId="12" fillId="0" borderId="0" xfId="0" applyFont="1"/>
    <xf numFmtId="0" fontId="14" fillId="0" borderId="0" xfId="0" applyFont="1"/>
    <xf numFmtId="0" fontId="8"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8" fillId="0" borderId="1" xfId="0" applyFont="1" applyBorder="1" applyAlignment="1">
      <alignment horizontal="center" wrapText="1"/>
    </xf>
    <xf numFmtId="0" fontId="8"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8" fillId="0" borderId="4" xfId="0" applyFont="1" applyBorder="1" applyAlignment="1">
      <alignment horizontal="center"/>
    </xf>
    <xf numFmtId="0" fontId="18" fillId="0" borderId="3" xfId="0" applyFont="1" applyBorder="1" applyAlignment="1">
      <alignment horizontal="left"/>
    </xf>
    <xf numFmtId="0" fontId="18" fillId="0" borderId="9" xfId="0" applyFont="1" applyBorder="1" applyAlignment="1">
      <alignment horizontal="left"/>
    </xf>
    <xf numFmtId="0" fontId="8" fillId="0" borderId="4" xfId="0" applyFont="1" applyBorder="1" applyAlignment="1">
      <alignment horizontal="right"/>
    </xf>
    <xf numFmtId="0" fontId="8" fillId="0" borderId="8" xfId="0" applyFont="1" applyBorder="1" applyAlignment="1">
      <alignment horizontal="right"/>
    </xf>
    <xf numFmtId="0" fontId="18" fillId="0" borderId="0" xfId="0" applyFont="1" applyAlignment="1">
      <alignment horizontal="left"/>
    </xf>
    <xf numFmtId="0" fontId="8" fillId="0" borderId="0" xfId="0" applyFont="1" applyAlignment="1">
      <alignment horizontal="right"/>
    </xf>
    <xf numFmtId="0" fontId="8"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12" xfId="0" applyFont="1" applyBorder="1" applyAlignment="1">
      <alignment horizontal="left"/>
    </xf>
    <xf numFmtId="0" fontId="8" fillId="0" borderId="9" xfId="0" applyFont="1" applyBorder="1"/>
    <xf numFmtId="164" fontId="0" fillId="0" borderId="0" xfId="0" applyNumberFormat="1" applyAlignment="1">
      <alignment horizontal="center"/>
    </xf>
    <xf numFmtId="0" fontId="0" fillId="0" borderId="13" xfId="0" applyBorder="1"/>
    <xf numFmtId="0" fontId="10" fillId="0" borderId="3" xfId="0" applyFont="1" applyBorder="1"/>
    <xf numFmtId="0" fontId="10" fillId="0" borderId="0" xfId="510" applyFont="1"/>
    <xf numFmtId="0" fontId="32" fillId="0" borderId="0" xfId="510" applyFont="1"/>
    <xf numFmtId="49" fontId="1" fillId="0" borderId="0" xfId="510" applyNumberFormat="1" applyFont="1"/>
    <xf numFmtId="0" fontId="30" fillId="0" borderId="0" xfId="510" applyFont="1"/>
    <xf numFmtId="168" fontId="22" fillId="0" borderId="5" xfId="510" applyNumberFormat="1" applyFont="1" applyBorder="1" applyAlignment="1">
      <alignment horizontal="left"/>
    </xf>
    <xf numFmtId="168" fontId="22" fillId="0" borderId="5" xfId="510" applyNumberFormat="1" applyFont="1" applyBorder="1" applyAlignment="1">
      <alignment horizontal="center"/>
    </xf>
    <xf numFmtId="0" fontId="1" fillId="0" borderId="7" xfId="510" applyFont="1" applyBorder="1"/>
    <xf numFmtId="0" fontId="1" fillId="0" borderId="9" xfId="510" applyFont="1" applyBorder="1"/>
    <xf numFmtId="0" fontId="1" fillId="0" borderId="10" xfId="510" applyFont="1" applyBorder="1"/>
    <xf numFmtId="0" fontId="1" fillId="0" borderId="1" xfId="510" applyFont="1" applyBorder="1"/>
    <xf numFmtId="0" fontId="1" fillId="0" borderId="13" xfId="510" applyFont="1" applyBorder="1"/>
    <xf numFmtId="0" fontId="1" fillId="0" borderId="2" xfId="510" applyFont="1" applyBorder="1"/>
    <xf numFmtId="0" fontId="1" fillId="0" borderId="11" xfId="510" applyFont="1" applyBorder="1"/>
    <xf numFmtId="0" fontId="21" fillId="0" borderId="0" xfId="510" applyFont="1"/>
    <xf numFmtId="0" fontId="1" fillId="0" borderId="0" xfId="510" applyFont="1" applyAlignment="1">
      <alignment horizontal="center"/>
    </xf>
    <xf numFmtId="0" fontId="9" fillId="0" borderId="5" xfId="510" applyFont="1" applyBorder="1" applyAlignment="1">
      <alignment vertical="top" wrapText="1"/>
    </xf>
    <xf numFmtId="0" fontId="10" fillId="0" borderId="4" xfId="0" applyFont="1" applyBorder="1"/>
    <xf numFmtId="0" fontId="24" fillId="0" borderId="0" xfId="0" applyFont="1"/>
    <xf numFmtId="0" fontId="25" fillId="0" borderId="0" xfId="0" applyFont="1"/>
    <xf numFmtId="0" fontId="9" fillId="0" borderId="3" xfId="0" applyFont="1" applyBorder="1"/>
    <xf numFmtId="0" fontId="9" fillId="0" borderId="4" xfId="0" applyFont="1" applyBorder="1"/>
    <xf numFmtId="164" fontId="0" fillId="0" borderId="4" xfId="0" applyNumberFormat="1" applyBorder="1" applyAlignment="1">
      <alignment horizontal="right"/>
    </xf>
    <xf numFmtId="0" fontId="10" fillId="0" borderId="4" xfId="0" applyFont="1" applyBorder="1" applyAlignment="1">
      <alignment horizontal="right"/>
    </xf>
    <xf numFmtId="0" fontId="9" fillId="0" borderId="4" xfId="0" applyFont="1" applyBorder="1" applyAlignment="1">
      <alignment vertical="top" wrapText="1"/>
    </xf>
    <xf numFmtId="0" fontId="10" fillId="0" borderId="6" xfId="0" applyFont="1" applyBorder="1"/>
    <xf numFmtId="0" fontId="10" fillId="0" borderId="6" xfId="0" applyFont="1" applyBorder="1" applyAlignment="1">
      <alignment horizontal="left" vertical="top"/>
    </xf>
    <xf numFmtId="0" fontId="9" fillId="0" borderId="6" xfId="0" applyFont="1" applyBorder="1"/>
    <xf numFmtId="0" fontId="10" fillId="0" borderId="0" xfId="0" applyFont="1" applyAlignment="1">
      <alignment horizontal="left" vertical="top"/>
    </xf>
    <xf numFmtId="0" fontId="9" fillId="0" borderId="0" xfId="0" applyFont="1" applyAlignment="1">
      <alignment horizontal="left" vertical="top" wrapText="1"/>
    </xf>
    <xf numFmtId="0" fontId="8" fillId="0" borderId="0" xfId="0" applyFont="1" applyAlignment="1">
      <alignment vertical="top"/>
    </xf>
    <xf numFmtId="0" fontId="20" fillId="0" borderId="0" xfId="0" applyFont="1" applyAlignment="1">
      <alignment vertical="top" wrapText="1"/>
    </xf>
    <xf numFmtId="0" fontId="8" fillId="0" borderId="0" xfId="0" applyFont="1" applyAlignment="1">
      <alignment horizontal="left" vertical="top" wrapText="1"/>
    </xf>
    <xf numFmtId="0" fontId="20" fillId="0" borderId="0" xfId="0" applyFont="1" applyAlignment="1">
      <alignment vertical="top"/>
    </xf>
    <xf numFmtId="0" fontId="8" fillId="0" borderId="0" xfId="0" applyFont="1" applyAlignment="1">
      <alignment horizontal="center" vertical="top"/>
    </xf>
    <xf numFmtId="0" fontId="10" fillId="0" borderId="6" xfId="0" applyFont="1" applyBorder="1" applyAlignment="1">
      <alignment horizontal="center"/>
    </xf>
    <xf numFmtId="0" fontId="18" fillId="0" borderId="6" xfId="0" applyFont="1" applyBorder="1"/>
    <xf numFmtId="0" fontId="18" fillId="0" borderId="0" xfId="0" applyFont="1" applyAlignment="1">
      <alignment horizontal="right"/>
    </xf>
    <xf numFmtId="0" fontId="25" fillId="0" borderId="0" xfId="0" applyFont="1" applyAlignment="1">
      <alignment horizontal="left" vertical="top" wrapText="1"/>
    </xf>
    <xf numFmtId="0" fontId="18" fillId="0" borderId="0" xfId="0" applyFont="1" applyAlignment="1">
      <alignment horizontal="left" vertical="top"/>
    </xf>
    <xf numFmtId="0" fontId="9" fillId="0" borderId="0" xfId="0" applyFont="1" applyAlignment="1">
      <alignment vertical="top" wrapText="1" shrinkToFit="1"/>
    </xf>
    <xf numFmtId="0" fontId="26" fillId="0" borderId="0" xfId="0" applyFont="1"/>
    <xf numFmtId="0" fontId="9" fillId="0" borderId="0" xfId="0" applyFont="1" applyAlignment="1">
      <alignment horizontal="left" vertical="top" wrapText="1" shrinkToFit="1"/>
    </xf>
    <xf numFmtId="0" fontId="26" fillId="0" borderId="4" xfId="0" applyFont="1" applyBorder="1"/>
    <xf numFmtId="0" fontId="9" fillId="0" borderId="4" xfId="0" applyFont="1" applyBorder="1" applyAlignment="1">
      <alignment horizontal="left" vertical="top" wrapText="1" shrinkToFit="1"/>
    </xf>
    <xf numFmtId="0" fontId="9" fillId="0" borderId="3" xfId="0" applyFont="1" applyBorder="1" applyAlignment="1">
      <alignment horizontal="center"/>
    </xf>
    <xf numFmtId="0" fontId="9" fillId="0" borderId="0" xfId="0" applyFont="1" applyAlignment="1">
      <alignment horizontal="center"/>
    </xf>
    <xf numFmtId="0" fontId="12" fillId="0" borderId="0" xfId="0" applyFont="1" applyAlignment="1">
      <alignment horizontal="left" vertical="top"/>
    </xf>
    <xf numFmtId="0" fontId="9" fillId="0" borderId="0" xfId="0" applyFont="1" applyAlignment="1">
      <alignment horizontal="left" vertical="top" shrinkToFit="1"/>
    </xf>
    <xf numFmtId="0" fontId="12" fillId="0" borderId="4" xfId="0" applyFont="1" applyBorder="1"/>
    <xf numFmtId="0" fontId="9" fillId="0" borderId="4" xfId="0" applyFont="1" applyBorder="1" applyAlignment="1">
      <alignment horizontal="left" vertical="top" shrinkToFit="1"/>
    </xf>
    <xf numFmtId="0" fontId="9" fillId="0" borderId="4" xfId="0" applyFont="1" applyBorder="1" applyAlignment="1">
      <alignment horizontal="left" vertical="top"/>
    </xf>
    <xf numFmtId="0" fontId="27" fillId="0" borderId="0" xfId="0" applyFont="1"/>
    <xf numFmtId="0" fontId="9" fillId="0" borderId="0" xfId="0" quotePrefix="1" applyFont="1"/>
    <xf numFmtId="0" fontId="8" fillId="0" borderId="0" xfId="0" applyFont="1" applyAlignment="1">
      <alignment horizontal="left" vertical="top"/>
    </xf>
    <xf numFmtId="0" fontId="31" fillId="0" borderId="0" xfId="0" applyFont="1"/>
    <xf numFmtId="0" fontId="12" fillId="0" borderId="0" xfId="0" applyFont="1" applyAlignment="1">
      <alignment horizontal="center"/>
    </xf>
    <xf numFmtId="0" fontId="9" fillId="0" borderId="4" xfId="0" applyFont="1" applyBorder="1" applyAlignment="1">
      <alignment horizontal="left" vertical="top" wrapText="1"/>
    </xf>
    <xf numFmtId="44" fontId="9" fillId="0" borderId="0" xfId="137" applyFont="1" applyAlignment="1">
      <alignment horizontal="left" vertical="top" wrapText="1"/>
    </xf>
    <xf numFmtId="44" fontId="9" fillId="0" borderId="4" xfId="137" applyFont="1" applyBorder="1" applyAlignment="1">
      <alignment horizontal="left" vertical="top" wrapText="1"/>
    </xf>
    <xf numFmtId="164" fontId="31" fillId="0" borderId="0" xfId="0" applyNumberFormat="1" applyFont="1" applyAlignment="1">
      <alignment horizontal="left"/>
    </xf>
    <xf numFmtId="0" fontId="12" fillId="0" borderId="0" xfId="0" applyFont="1" applyAlignment="1">
      <alignment horizontal="left"/>
    </xf>
    <xf numFmtId="0" fontId="8" fillId="0" borderId="4" xfId="0" applyFont="1" applyBorder="1" applyAlignment="1">
      <alignment horizontal="center" vertical="top"/>
    </xf>
    <xf numFmtId="0" fontId="25" fillId="0" borderId="0" xfId="0" applyFont="1" applyAlignment="1">
      <alignment horizontal="left" vertical="top"/>
    </xf>
    <xf numFmtId="0" fontId="10" fillId="0" borderId="4" xfId="0" applyFont="1" applyBorder="1" applyAlignment="1">
      <alignment horizontal="left" vertical="top"/>
    </xf>
    <xf numFmtId="0" fontId="25" fillId="0" borderId="4" xfId="0" applyFont="1" applyBorder="1" applyAlignment="1">
      <alignment horizontal="left" vertical="top"/>
    </xf>
    <xf numFmtId="0" fontId="9" fillId="0" borderId="6" xfId="0" applyFont="1" applyBorder="1" applyAlignment="1">
      <alignment horizontal="left" vertical="top"/>
    </xf>
    <xf numFmtId="0" fontId="1" fillId="0" borderId="14" xfId="510" applyFont="1" applyBorder="1"/>
    <xf numFmtId="0" fontId="1" fillId="0" borderId="6" xfId="510" applyFont="1" applyBorder="1"/>
    <xf numFmtId="0" fontId="9"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4" fillId="0" borderId="0" xfId="0" applyFont="1"/>
    <xf numFmtId="0" fontId="18" fillId="0" borderId="12" xfId="0" applyFont="1" applyBorder="1" applyAlignment="1">
      <alignment horizontal="center"/>
    </xf>
    <xf numFmtId="169" fontId="9" fillId="2" borderId="12" xfId="0" applyNumberFormat="1" applyFont="1" applyFill="1" applyBorder="1" applyAlignment="1">
      <alignment horizontal="center"/>
    </xf>
    <xf numFmtId="1" fontId="9" fillId="2" borderId="12" xfId="0" applyNumberFormat="1" applyFont="1" applyFill="1" applyBorder="1" applyAlignment="1">
      <alignment horizontal="center"/>
    </xf>
    <xf numFmtId="164" fontId="9" fillId="0" borderId="0" xfId="0" applyNumberFormat="1" applyFont="1" applyAlignment="1">
      <alignment horizontal="left" vertical="top"/>
    </xf>
    <xf numFmtId="164" fontId="9" fillId="0" borderId="0" xfId="0" applyNumberFormat="1" applyFont="1" applyAlignment="1">
      <alignment vertical="top" wrapText="1"/>
    </xf>
    <xf numFmtId="164" fontId="9" fillId="0" borderId="0" xfId="0" applyNumberFormat="1" applyFont="1" applyAlignment="1">
      <alignment horizontal="right"/>
    </xf>
    <xf numFmtId="164" fontId="9" fillId="0" borderId="0" xfId="0" applyNumberFormat="1" applyFont="1" applyAlignment="1">
      <alignment vertical="top"/>
    </xf>
    <xf numFmtId="2" fontId="9" fillId="0" borderId="0" xfId="0" applyNumberFormat="1" applyFont="1" applyAlignment="1">
      <alignment horizontal="right"/>
    </xf>
    <xf numFmtId="0" fontId="18" fillId="0" borderId="0" xfId="0" applyFont="1" applyAlignment="1">
      <alignment horizontal="center"/>
    </xf>
    <xf numFmtId="0" fontId="8" fillId="0" borderId="4" xfId="0" applyFont="1" applyBorder="1"/>
    <xf numFmtId="0" fontId="9" fillId="0" borderId="8" xfId="0" applyFont="1" applyBorder="1"/>
    <xf numFmtId="0" fontId="9" fillId="0" borderId="5" xfId="0" applyFont="1" applyBorder="1"/>
    <xf numFmtId="0" fontId="8" fillId="0" borderId="5" xfId="0" applyFont="1" applyBorder="1" applyAlignment="1">
      <alignment horizontal="right"/>
    </xf>
    <xf numFmtId="0" fontId="9" fillId="0" borderId="10" xfId="0" applyFont="1" applyBorder="1"/>
    <xf numFmtId="0" fontId="9" fillId="4" borderId="0" xfId="0" applyFont="1" applyFill="1" applyAlignment="1">
      <alignment horizontal="center"/>
    </xf>
    <xf numFmtId="164" fontId="8" fillId="0" borderId="0" xfId="0" applyNumberFormat="1" applyFont="1" applyAlignment="1">
      <alignment horizontal="left"/>
    </xf>
    <xf numFmtId="164" fontId="9" fillId="0" borderId="0" xfId="0" applyNumberFormat="1" applyFont="1" applyAlignment="1">
      <alignment horizontal="left" vertical="top" wrapText="1"/>
    </xf>
    <xf numFmtId="0" fontId="9" fillId="0" borderId="0" xfId="0" applyFont="1" applyAlignment="1">
      <alignment wrapText="1"/>
    </xf>
    <xf numFmtId="0" fontId="1" fillId="0" borderId="3" xfId="510" applyFont="1" applyBorder="1"/>
    <xf numFmtId="0" fontId="1" fillId="0" borderId="4" xfId="510" applyFont="1" applyBorder="1"/>
    <xf numFmtId="166" fontId="0" fillId="0" borderId="0" xfId="0" applyNumberFormat="1" applyAlignment="1">
      <alignment horizontal="right"/>
    </xf>
    <xf numFmtId="0" fontId="0" fillId="0" borderId="0" xfId="0" applyAlignment="1">
      <alignment horizontal="left" vertical="top"/>
    </xf>
    <xf numFmtId="168" fontId="0" fillId="0" borderId="0" xfId="0" applyNumberFormat="1" applyAlignment="1">
      <alignment horizontal="center"/>
    </xf>
    <xf numFmtId="0" fontId="20" fillId="0" borderId="0" xfId="0" applyFont="1"/>
    <xf numFmtId="0" fontId="2" fillId="0" borderId="0" xfId="212"/>
    <xf numFmtId="0" fontId="2" fillId="0" borderId="0" xfId="212" applyAlignment="1">
      <alignment horizontal="center" vertical="center"/>
    </xf>
    <xf numFmtId="49" fontId="9" fillId="0" borderId="0" xfId="0" applyNumberFormat="1" applyFont="1" applyAlignment="1">
      <alignment horizontal="left" vertical="top"/>
    </xf>
    <xf numFmtId="0" fontId="2" fillId="0" borderId="0" xfId="212" applyAlignment="1">
      <alignment horizontal="left" vertical="top"/>
    </xf>
    <xf numFmtId="0" fontId="2" fillId="0" borderId="0" xfId="212" applyAlignment="1">
      <alignment horizontal="left" vertical="top" wrapText="1"/>
    </xf>
    <xf numFmtId="49" fontId="10" fillId="0" borderId="0" xfId="0" applyNumberFormat="1" applyFont="1"/>
    <xf numFmtId="0" fontId="9" fillId="0" borderId="0" xfId="0" quotePrefix="1" applyFont="1" applyAlignment="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20" fillId="0" borderId="0" xfId="0" applyFont="1" applyAlignment="1">
      <alignment horizontal="left"/>
    </xf>
    <xf numFmtId="0" fontId="10" fillId="0" borderId="5" xfId="0" applyFont="1" applyBorder="1"/>
    <xf numFmtId="1" fontId="9" fillId="0" borderId="0" xfId="0" applyNumberFormat="1" applyFont="1" applyAlignment="1">
      <alignment horizontal="center" vertical="top"/>
    </xf>
    <xf numFmtId="0" fontId="10" fillId="0" borderId="2" xfId="0" applyFont="1" applyBorder="1"/>
    <xf numFmtId="0" fontId="10" fillId="0" borderId="11" xfId="0" applyFont="1" applyBorder="1"/>
    <xf numFmtId="0" fontId="10" fillId="0" borderId="13" xfId="0" applyFont="1" applyBorder="1"/>
    <xf numFmtId="0" fontId="10" fillId="0" borderId="9" xfId="0" applyFont="1" applyBorder="1"/>
    <xf numFmtId="0" fontId="10" fillId="0" borderId="10" xfId="0" applyFont="1" applyBorder="1"/>
    <xf numFmtId="0" fontId="15" fillId="0" borderId="5" xfId="0" applyFont="1" applyBorder="1" applyAlignment="1">
      <alignment vertical="top" wrapText="1"/>
    </xf>
    <xf numFmtId="0" fontId="15" fillId="0" borderId="8" xfId="0" applyFont="1" applyBorder="1" applyAlignment="1">
      <alignment vertical="top" wrapText="1"/>
    </xf>
    <xf numFmtId="0" fontId="15" fillId="0" borderId="4" xfId="0" applyFont="1" applyBorder="1" applyAlignment="1">
      <alignment vertical="top" wrapText="1"/>
    </xf>
    <xf numFmtId="0" fontId="15" fillId="2" borderId="5" xfId="0" applyFont="1" applyFill="1" applyBorder="1" applyAlignment="1">
      <alignment vertical="top" wrapText="1"/>
    </xf>
    <xf numFmtId="0" fontId="0" fillId="0" borderId="7" xfId="0" applyBorder="1"/>
    <xf numFmtId="0" fontId="8" fillId="0" borderId="2" xfId="0" applyFont="1" applyBorder="1"/>
    <xf numFmtId="1" fontId="1" fillId="0" borderId="0" xfId="510" applyNumberFormat="1" applyFont="1"/>
    <xf numFmtId="49" fontId="10" fillId="0" borderId="0" xfId="0" applyNumberFormat="1" applyFont="1" applyAlignment="1">
      <alignment horizontal="center"/>
    </xf>
    <xf numFmtId="0" fontId="10" fillId="0" borderId="0" xfId="0" applyFont="1" applyAlignment="1">
      <alignment vertical="top"/>
    </xf>
    <xf numFmtId="0" fontId="10" fillId="0" borderId="0" xfId="0" applyFont="1" applyAlignment="1">
      <alignment vertical="top" wrapText="1"/>
    </xf>
    <xf numFmtId="0" fontId="1" fillId="0" borderId="0" xfId="0" applyFont="1" applyAlignment="1">
      <alignment horizontal="left" vertical="top" wrapText="1"/>
    </xf>
    <xf numFmtId="49" fontId="9" fillId="0" borderId="0" xfId="0" applyNumberFormat="1" applyFont="1" applyAlignment="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xf numFmtId="0" fontId="1" fillId="0" borderId="8" xfId="0" applyFont="1" applyBorder="1"/>
    <xf numFmtId="164" fontId="9" fillId="0" borderId="1" xfId="0" applyNumberFormat="1" applyFont="1" applyBorder="1" applyAlignment="1">
      <alignment vertical="top"/>
    </xf>
    <xf numFmtId="164" fontId="9" fillId="0" borderId="2" xfId="0" applyNumberFormat="1" applyFont="1" applyBorder="1" applyAlignment="1">
      <alignment vertical="top"/>
    </xf>
    <xf numFmtId="0" fontId="9" fillId="0" borderId="2" xfId="0" applyFont="1" applyBorder="1"/>
    <xf numFmtId="0" fontId="9" fillId="0" borderId="11" xfId="0" applyFont="1" applyBorder="1"/>
    <xf numFmtId="164" fontId="9" fillId="0" borderId="7" xfId="0" applyNumberFormat="1" applyFont="1" applyBorder="1" applyAlignment="1">
      <alignment horizontal="left" vertical="top"/>
    </xf>
    <xf numFmtId="0" fontId="8" fillId="0" borderId="13" xfId="0" applyFont="1" applyBorder="1" applyAlignment="1">
      <alignment horizontal="center"/>
    </xf>
    <xf numFmtId="164" fontId="9" fillId="0" borderId="9" xfId="0" applyNumberFormat="1" applyFont="1" applyBorder="1" applyAlignment="1">
      <alignment horizontal="left" vertical="top"/>
    </xf>
    <xf numFmtId="164" fontId="9" fillId="0" borderId="5" xfId="0" applyNumberFormat="1" applyFont="1" applyBorder="1" applyAlignment="1">
      <alignment horizontal="left" vertical="top"/>
    </xf>
    <xf numFmtId="164" fontId="18" fillId="0" borderId="0" xfId="0" applyNumberFormat="1" applyFont="1" applyAlignment="1">
      <alignment horizontal="left" vertical="top"/>
    </xf>
    <xf numFmtId="1" fontId="9" fillId="0" borderId="0" xfId="0" quotePrefix="1" applyNumberFormat="1" applyFont="1" applyAlignment="1">
      <alignment horizontal="center" vertical="top"/>
    </xf>
    <xf numFmtId="0" fontId="0" fillId="0" borderId="5" xfId="0" applyBorder="1" applyAlignment="1">
      <alignment horizontal="right"/>
    </xf>
    <xf numFmtId="0" fontId="15" fillId="5" borderId="4" xfId="0" applyFont="1" applyFill="1" applyBorder="1" applyAlignment="1">
      <alignment vertical="top" wrapText="1"/>
    </xf>
    <xf numFmtId="0" fontId="15" fillId="5" borderId="8" xfId="0" applyFont="1" applyFill="1" applyBorder="1" applyAlignment="1">
      <alignment vertical="top" wrapText="1"/>
    </xf>
    <xf numFmtId="0" fontId="8" fillId="0" borderId="9" xfId="0" applyFont="1" applyBorder="1" applyAlignment="1">
      <alignment horizontal="left"/>
    </xf>
    <xf numFmtId="0" fontId="8" fillId="0" borderId="2" xfId="0" applyFont="1" applyBorder="1" applyAlignment="1">
      <alignment horizontal="center"/>
    </xf>
    <xf numFmtId="0" fontId="45" fillId="0" borderId="3" xfId="0" applyFont="1" applyBorder="1" applyAlignment="1">
      <alignment horizontal="left" vertical="top"/>
    </xf>
    <xf numFmtId="0" fontId="45" fillId="0" borderId="15" xfId="0" applyFont="1" applyBorder="1" applyAlignment="1">
      <alignment horizontal="center" wrapText="1"/>
    </xf>
    <xf numFmtId="0" fontId="45" fillId="0" borderId="15" xfId="0" applyFont="1" applyBorder="1" applyAlignment="1">
      <alignment horizontal="center" vertical="top" wrapText="1"/>
    </xf>
    <xf numFmtId="0" fontId="45" fillId="2" borderId="15" xfId="0" applyFont="1" applyFill="1" applyBorder="1" applyAlignment="1">
      <alignment horizontal="center" wrapText="1"/>
    </xf>
    <xf numFmtId="0" fontId="46"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8" fontId="24" fillId="0" borderId="12" xfId="0" applyNumberFormat="1" applyFont="1" applyBorder="1" applyAlignment="1">
      <alignment vertical="top" wrapText="1"/>
    </xf>
    <xf numFmtId="168" fontId="24" fillId="7" borderId="12" xfId="0" applyNumberFormat="1" applyFont="1" applyFill="1" applyBorder="1" applyAlignment="1" applyProtection="1">
      <alignment vertical="top" wrapText="1"/>
      <protection locked="0"/>
    </xf>
    <xf numFmtId="168" fontId="24" fillId="8" borderId="12" xfId="0" applyNumberFormat="1" applyFont="1" applyFill="1" applyBorder="1" applyAlignment="1">
      <alignment horizontal="center" vertical="top" wrapText="1"/>
    </xf>
    <xf numFmtId="0" fontId="45" fillId="0" borderId="12" xfId="0" applyFont="1" applyBorder="1" applyAlignment="1">
      <alignment horizontal="right" vertical="top" wrapText="1"/>
    </xf>
    <xf numFmtId="168" fontId="45" fillId="0" borderId="12" xfId="0" applyNumberFormat="1" applyFont="1" applyBorder="1" applyAlignment="1">
      <alignment vertical="top" wrapText="1"/>
    </xf>
    <xf numFmtId="168"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lignment vertical="top" wrapText="1"/>
    </xf>
    <xf numFmtId="0" fontId="45" fillId="0" borderId="12" xfId="0" applyFont="1" applyBorder="1" applyAlignment="1">
      <alignment vertical="top" wrapText="1"/>
    </xf>
    <xf numFmtId="0" fontId="4"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5"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5" fillId="0" borderId="0" xfId="0" applyFont="1" applyAlignment="1">
      <alignment horizontal="right" vertical="top"/>
    </xf>
    <xf numFmtId="0" fontId="24" fillId="2" borderId="0" xfId="0" applyFont="1" applyFill="1" applyAlignment="1">
      <alignment vertical="top" wrapText="1"/>
    </xf>
    <xf numFmtId="0" fontId="45" fillId="0" borderId="0" xfId="0" applyFont="1" applyAlignment="1">
      <alignment vertical="top"/>
    </xf>
    <xf numFmtId="0" fontId="24" fillId="0" borderId="15" xfId="0" applyFont="1" applyBorder="1" applyAlignment="1">
      <alignment vertical="top" wrapText="1"/>
    </xf>
    <xf numFmtId="166" fontId="10" fillId="0" borderId="0" xfId="0" applyNumberFormat="1" applyFont="1" applyAlignment="1">
      <alignment horizontal="left"/>
    </xf>
    <xf numFmtId="0" fontId="47" fillId="0" borderId="0" xfId="0" applyFont="1"/>
    <xf numFmtId="0" fontId="1" fillId="0" borderId="0" xfId="212" applyFont="1" applyAlignment="1">
      <alignment horizontal="left"/>
    </xf>
    <xf numFmtId="0" fontId="37" fillId="0" borderId="0" xfId="0" applyFont="1"/>
    <xf numFmtId="0" fontId="37" fillId="0" borderId="0" xfId="212" applyFont="1" applyAlignment="1">
      <alignment horizontal="left"/>
    </xf>
    <xf numFmtId="0" fontId="7" fillId="5" borderId="12" xfId="0" applyFont="1" applyFill="1" applyBorder="1" applyAlignment="1">
      <alignment vertical="top"/>
    </xf>
    <xf numFmtId="167" fontId="8" fillId="0" borderId="0" xfId="510" applyNumberFormat="1" applyFont="1"/>
    <xf numFmtId="0" fontId="8" fillId="0" borderId="0" xfId="510" applyFont="1"/>
    <xf numFmtId="49" fontId="0" fillId="0" borderId="0" xfId="0" applyNumberFormat="1"/>
    <xf numFmtId="49" fontId="36" fillId="0" borderId="0" xfId="0" applyNumberFormat="1" applyFont="1" applyAlignment="1">
      <alignment horizontal="center"/>
    </xf>
    <xf numFmtId="0" fontId="36" fillId="0" borderId="0" xfId="0" applyFont="1"/>
    <xf numFmtId="0" fontId="1" fillId="0" borderId="0" xfId="0" applyFont="1" applyAlignment="1">
      <alignment horizontal="left"/>
    </xf>
    <xf numFmtId="0" fontId="42" fillId="0" borderId="0" xfId="0" applyFont="1" applyAlignment="1">
      <alignment horizontal="center"/>
    </xf>
    <xf numFmtId="0" fontId="8" fillId="0" borderId="4" xfId="0" applyFont="1" applyBorder="1" applyAlignment="1">
      <alignment horizontal="left"/>
    </xf>
    <xf numFmtId="2" fontId="1" fillId="0" borderId="2" xfId="0" applyNumberFormat="1" applyFont="1" applyBorder="1" applyAlignment="1">
      <alignment horizontal="left"/>
    </xf>
    <xf numFmtId="0" fontId="0" fillId="0" borderId="2" xfId="0" applyBorder="1" applyAlignment="1">
      <alignment horizontal="left"/>
    </xf>
    <xf numFmtId="2" fontId="1" fillId="0" borderId="0" xfId="0" applyNumberFormat="1" applyFont="1" applyAlignment="1">
      <alignment horizontal="left"/>
    </xf>
    <xf numFmtId="168" fontId="0" fillId="0" borderId="0" xfId="0" applyNumberFormat="1" applyAlignment="1">
      <alignment horizontal="right"/>
    </xf>
    <xf numFmtId="0" fontId="51" fillId="0" borderId="0" xfId="0" applyFont="1" applyAlignment="1">
      <alignment wrapText="1"/>
    </xf>
    <xf numFmtId="0" fontId="51" fillId="0" borderId="0" xfId="0" applyFont="1" applyAlignment="1">
      <alignment horizontal="left" wrapText="1"/>
    </xf>
    <xf numFmtId="0" fontId="9" fillId="0" borderId="5" xfId="0" applyFont="1" applyBorder="1" applyAlignment="1">
      <alignment horizontal="right"/>
    </xf>
    <xf numFmtId="0" fontId="9" fillId="0" borderId="1" xfId="0" applyFont="1" applyBorder="1"/>
    <xf numFmtId="0" fontId="9" fillId="0" borderId="7" xfId="0" applyFont="1" applyBorder="1"/>
    <xf numFmtId="0" fontId="9" fillId="0" borderId="16" xfId="0" applyFont="1" applyBorder="1"/>
    <xf numFmtId="0" fontId="8" fillId="0" borderId="16" xfId="0" applyFont="1" applyBorder="1"/>
    <xf numFmtId="0" fontId="9" fillId="0" borderId="16" xfId="0" applyFont="1" applyBorder="1" applyAlignment="1">
      <alignment horizontal="left" vertical="top"/>
    </xf>
    <xf numFmtId="0" fontId="10" fillId="0" borderId="16" xfId="0" applyFont="1" applyBorder="1" applyAlignment="1">
      <alignment horizontal="left" vertical="top"/>
    </xf>
    <xf numFmtId="0" fontId="8" fillId="0" borderId="16" xfId="0" applyFont="1" applyBorder="1" applyAlignment="1">
      <alignment horizontal="right"/>
    </xf>
    <xf numFmtId="0" fontId="10" fillId="0" borderId="16" xfId="0" applyFont="1" applyBorder="1" applyAlignment="1">
      <alignment horizontal="center"/>
    </xf>
    <xf numFmtId="0" fontId="6" fillId="0" borderId="0" xfId="0" applyFont="1" applyProtection="1">
      <protection locked="0"/>
    </xf>
    <xf numFmtId="4" fontId="42" fillId="0" borderId="0" xfId="0" applyNumberFormat="1" applyFont="1" applyAlignment="1">
      <alignment horizontal="center"/>
    </xf>
    <xf numFmtId="4" fontId="10" fillId="0" borderId="0" xfId="0" applyNumberFormat="1" applyFont="1" applyAlignment="1">
      <alignment horizontal="center"/>
    </xf>
    <xf numFmtId="4" fontId="10" fillId="0" borderId="0" xfId="0" applyNumberFormat="1" applyFont="1" applyAlignment="1">
      <alignment horizontal="left"/>
    </xf>
    <xf numFmtId="4" fontId="10" fillId="0" borderId="0" xfId="0" applyNumberFormat="1" applyFont="1"/>
    <xf numFmtId="168" fontId="10"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8" fillId="0" borderId="15" xfId="0" applyFont="1" applyBorder="1" applyAlignment="1">
      <alignment vertical="top" wrapText="1"/>
    </xf>
    <xf numFmtId="0" fontId="58" fillId="0" borderId="0" xfId="0" applyFont="1" applyAlignment="1">
      <alignment horizontal="left" vertical="top"/>
    </xf>
    <xf numFmtId="0" fontId="18" fillId="0" borderId="7" xfId="0" applyFont="1" applyBorder="1"/>
    <xf numFmtId="0" fontId="0" fillId="0" borderId="5" xfId="0" applyBorder="1" applyAlignment="1">
      <alignment vertical="top" wrapText="1"/>
    </xf>
    <xf numFmtId="0" fontId="57" fillId="0" borderId="12" xfId="0" applyFont="1" applyBorder="1" applyAlignment="1">
      <alignment horizontal="right" vertical="top" wrapText="1"/>
    </xf>
    <xf numFmtId="0" fontId="59" fillId="0" borderId="12" xfId="0" applyFont="1" applyBorder="1" applyAlignment="1">
      <alignment horizontal="right" vertical="top" wrapText="1"/>
    </xf>
    <xf numFmtId="0" fontId="0" fillId="0" borderId="0" xfId="0" applyAlignment="1">
      <alignment wrapText="1"/>
    </xf>
    <xf numFmtId="0" fontId="42" fillId="0" borderId="0" xfId="0" applyFont="1" applyAlignment="1">
      <alignment horizontal="center" vertical="top"/>
    </xf>
    <xf numFmtId="0" fontId="22" fillId="0" borderId="0" xfId="0" applyFont="1" applyAlignment="1">
      <alignment vertical="top" wrapText="1"/>
    </xf>
    <xf numFmtId="0" fontId="7" fillId="0" borderId="0" xfId="0" applyFont="1" applyAlignment="1">
      <alignment horizontal="center" vertical="center" wrapText="1"/>
    </xf>
    <xf numFmtId="0" fontId="45" fillId="0" borderId="4" xfId="0" applyFont="1" applyBorder="1" applyAlignment="1">
      <alignment horizontal="right"/>
    </xf>
    <xf numFmtId="168" fontId="21" fillId="0" borderId="0" xfId="0" applyNumberFormat="1" applyFont="1" applyAlignment="1">
      <alignment horizontal="left" vertical="top" wrapText="1"/>
    </xf>
    <xf numFmtId="0" fontId="60" fillId="0" borderId="0" xfId="0" applyFont="1"/>
    <xf numFmtId="0" fontId="1" fillId="0" borderId="0" xfId="0" applyFont="1" applyProtection="1">
      <protection locked="0"/>
    </xf>
    <xf numFmtId="168" fontId="1" fillId="0" borderId="0" xfId="0" applyNumberFormat="1" applyFont="1" applyAlignment="1">
      <alignment horizontal="left" vertical="top"/>
    </xf>
    <xf numFmtId="168" fontId="8" fillId="0" borderId="0" xfId="0" applyNumberFormat="1" applyFont="1" applyAlignment="1">
      <alignment horizontal="left" vertical="top"/>
    </xf>
    <xf numFmtId="0" fontId="1" fillId="0" borderId="0" xfId="0" applyFont="1" applyAlignment="1">
      <alignment horizontal="left" vertical="top"/>
    </xf>
    <xf numFmtId="168" fontId="10" fillId="0" borderId="0" xfId="0" applyNumberFormat="1" applyFont="1" applyAlignment="1">
      <alignment horizontal="left" vertical="top"/>
    </xf>
    <xf numFmtId="0" fontId="22" fillId="9" borderId="0" xfId="506" applyFont="1" applyFill="1" applyAlignment="1" applyProtection="1">
      <alignment horizontal="centerContinuous"/>
    </xf>
    <xf numFmtId="0" fontId="1" fillId="0" borderId="0" xfId="506" applyFont="1" applyProtection="1"/>
    <xf numFmtId="0" fontId="10" fillId="0" borderId="0" xfId="0" applyFont="1" applyAlignment="1">
      <alignment horizontal="center" vertical="center"/>
    </xf>
    <xf numFmtId="168" fontId="22" fillId="0" borderId="0" xfId="510" applyNumberFormat="1" applyFont="1" applyAlignment="1">
      <alignment horizontal="left"/>
    </xf>
    <xf numFmtId="168" fontId="22" fillId="0" borderId="0" xfId="510" applyNumberFormat="1" applyFont="1" applyAlignment="1">
      <alignment horizontal="center"/>
    </xf>
    <xf numFmtId="1" fontId="10" fillId="0" borderId="0" xfId="0" applyNumberFormat="1" applyFont="1" applyAlignment="1">
      <alignment horizontal="center"/>
    </xf>
    <xf numFmtId="0" fontId="8" fillId="4" borderId="0" xfId="0" applyFont="1" applyFill="1" applyAlignment="1">
      <alignment horizontal="center" wrapText="1"/>
    </xf>
    <xf numFmtId="1" fontId="8" fillId="0" borderId="0" xfId="0" applyNumberFormat="1" applyFont="1" applyAlignment="1">
      <alignment horizontal="left"/>
    </xf>
    <xf numFmtId="0" fontId="8" fillId="0" borderId="9" xfId="0" applyFont="1" applyBorder="1" applyAlignment="1">
      <alignment horizontal="center" wrapText="1"/>
    </xf>
    <xf numFmtId="0" fontId="0" fillId="0" borderId="0" xfId="0" applyAlignment="1">
      <alignment vertical="center"/>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lignment horizontal="center" wrapText="1"/>
    </xf>
    <xf numFmtId="0" fontId="38" fillId="2" borderId="12" xfId="0" applyFont="1" applyFill="1" applyBorder="1" applyAlignment="1">
      <alignment horizontal="left" vertical="top" wrapText="1"/>
    </xf>
    <xf numFmtId="0" fontId="10" fillId="0" borderId="12" xfId="0" applyFont="1" applyBorder="1" applyAlignment="1" applyProtection="1">
      <alignment vertical="top" wrapText="1"/>
      <protection locked="0"/>
    </xf>
    <xf numFmtId="168"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8" fontId="10" fillId="0" borderId="12" xfId="0" applyNumberFormat="1" applyFont="1" applyBorder="1" applyAlignment="1">
      <alignment vertical="top" wrapText="1"/>
    </xf>
    <xf numFmtId="0" fontId="8" fillId="0" borderId="12" xfId="0" applyFont="1" applyBorder="1" applyAlignment="1">
      <alignment horizontal="right" vertical="top" wrapText="1"/>
    </xf>
    <xf numFmtId="0" fontId="15" fillId="0" borderId="0" xfId="0" applyFont="1" applyAlignment="1" applyProtection="1">
      <alignment horizontal="right" vertical="top" wrapText="1"/>
      <protection locked="0"/>
    </xf>
    <xf numFmtId="0" fontId="15" fillId="0" borderId="0" xfId="0" applyFont="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1" fontId="10" fillId="0" borderId="0" xfId="0" applyNumberFormat="1" applyFont="1"/>
    <xf numFmtId="0" fontId="9" fillId="0" borderId="0" xfId="0" applyFont="1" applyAlignment="1">
      <alignment horizontal="left"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left" vertical="center"/>
    </xf>
    <xf numFmtId="0" fontId="50" fillId="0" borderId="0" xfId="0" applyFont="1"/>
    <xf numFmtId="0" fontId="18" fillId="0" borderId="0" xfId="0" applyFont="1" applyAlignment="1">
      <alignment vertical="top"/>
    </xf>
    <xf numFmtId="0" fontId="18" fillId="0" borderId="0" xfId="0" applyFont="1" applyAlignment="1">
      <alignment vertical="center"/>
    </xf>
    <xf numFmtId="9" fontId="9" fillId="0" borderId="0" xfId="0" applyNumberFormat="1" applyFont="1" applyAlignment="1">
      <alignment horizontal="left"/>
    </xf>
    <xf numFmtId="9" fontId="1" fillId="0" borderId="0" xfId="510" applyNumberFormat="1" applyFont="1" applyAlignment="1">
      <alignment vertical="center"/>
    </xf>
    <xf numFmtId="0" fontId="10" fillId="0" borderId="0" xfId="510" applyFont="1" applyAlignment="1">
      <alignment horizontal="left"/>
    </xf>
    <xf numFmtId="0" fontId="15" fillId="0" borderId="0" xfId="0" applyFont="1" applyAlignment="1">
      <alignment vertical="top" wrapText="1"/>
    </xf>
    <xf numFmtId="0" fontId="10" fillId="0" borderId="4" xfId="0" applyFont="1" applyBorder="1" applyAlignment="1">
      <alignment vertical="top" wrapText="1"/>
    </xf>
    <xf numFmtId="0" fontId="10" fillId="0" borderId="0" xfId="0" applyFont="1" applyAlignment="1">
      <alignment wrapText="1"/>
    </xf>
    <xf numFmtId="0" fontId="42" fillId="0" borderId="0" xfId="0" applyFont="1" applyAlignment="1">
      <alignment horizontal="center" vertical="center"/>
    </xf>
    <xf numFmtId="49" fontId="8" fillId="0" borderId="0" xfId="0" applyNumberFormat="1"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49" fontId="0" fillId="0" borderId="0" xfId="0" applyNumberFormat="1" applyAlignment="1">
      <alignment vertical="center"/>
    </xf>
    <xf numFmtId="0" fontId="2" fillId="0" borderId="0" xfId="212" applyProtection="1">
      <protection locked="0"/>
    </xf>
    <xf numFmtId="0" fontId="10" fillId="0" borderId="0" xfId="237" applyFont="1"/>
    <xf numFmtId="3" fontId="10" fillId="0" borderId="0" xfId="0" applyNumberFormat="1" applyFont="1" applyAlignment="1">
      <alignment horizontal="center"/>
    </xf>
    <xf numFmtId="0" fontId="23" fillId="0" borderId="0" xfId="510" applyFont="1" applyAlignment="1">
      <alignment horizontal="right" vertical="top" wrapText="1"/>
    </xf>
    <xf numFmtId="0" fontId="22" fillId="0" borderId="0" xfId="510" applyFont="1" applyAlignment="1">
      <alignment horizontal="right" vertical="top" wrapText="1"/>
    </xf>
    <xf numFmtId="168" fontId="8" fillId="0" borderId="0" xfId="510" applyNumberFormat="1" applyFont="1" applyAlignment="1">
      <alignment horizontal="center" vertical="center"/>
    </xf>
    <xf numFmtId="0" fontId="20" fillId="0" borderId="0" xfId="510" applyFont="1" applyAlignment="1">
      <alignment horizontal="left" vertical="center"/>
    </xf>
    <xf numFmtId="0" fontId="8" fillId="0" borderId="0" xfId="510" applyFont="1" applyAlignment="1">
      <alignment horizontal="right" vertical="top" wrapText="1"/>
    </xf>
    <xf numFmtId="0" fontId="10" fillId="0" borderId="0" xfId="510" applyFont="1" applyAlignment="1">
      <alignment horizontal="left" vertical="center"/>
    </xf>
    <xf numFmtId="0" fontId="10" fillId="0" borderId="0" xfId="510" applyFont="1" applyAlignment="1">
      <alignment horizontal="right" vertical="top" wrapText="1"/>
    </xf>
    <xf numFmtId="0" fontId="10" fillId="0" borderId="0" xfId="237" applyFont="1" applyAlignment="1">
      <alignment horizontal="center"/>
    </xf>
    <xf numFmtId="4" fontId="10" fillId="0" borderId="0" xfId="237" applyNumberFormat="1" applyFont="1" applyAlignment="1">
      <alignment horizontal="left"/>
    </xf>
    <xf numFmtId="4" fontId="10" fillId="0" borderId="0" xfId="237" applyNumberFormat="1" applyFont="1"/>
    <xf numFmtId="0" fontId="8" fillId="0" borderId="0" xfId="237" applyFont="1"/>
    <xf numFmtId="168" fontId="10" fillId="0" borderId="0" xfId="237" applyNumberFormat="1" applyFont="1"/>
    <xf numFmtId="0" fontId="16" fillId="0" borderId="0" xfId="237" applyFont="1" applyAlignment="1">
      <alignment horizontal="center"/>
    </xf>
    <xf numFmtId="0" fontId="6" fillId="0" borderId="0" xfId="237" applyFont="1"/>
    <xf numFmtId="0" fontId="64" fillId="0" borderId="0" xfId="237" applyFont="1"/>
    <xf numFmtId="0" fontId="16" fillId="0" borderId="0" xfId="237" applyFont="1"/>
    <xf numFmtId="0" fontId="8" fillId="0" borderId="0" xfId="237" applyFont="1" applyAlignment="1">
      <alignment horizontal="center"/>
    </xf>
    <xf numFmtId="3" fontId="10" fillId="0" borderId="0" xfId="237" applyNumberFormat="1" applyFont="1"/>
    <xf numFmtId="168" fontId="8" fillId="0" borderId="0" xfId="237" applyNumberFormat="1" applyFont="1" applyAlignment="1">
      <alignment horizontal="center"/>
    </xf>
    <xf numFmtId="3" fontId="10" fillId="0" borderId="0" xfId="237" applyNumberFormat="1" applyFont="1" applyAlignment="1">
      <alignment horizontal="center"/>
    </xf>
    <xf numFmtId="0" fontId="54" fillId="0" borderId="0" xfId="237" applyFont="1"/>
    <xf numFmtId="168" fontId="6" fillId="0" borderId="0" xfId="237" applyNumberFormat="1" applyFont="1"/>
    <xf numFmtId="10" fontId="6" fillId="0" borderId="0" xfId="237" applyNumberFormat="1" applyFont="1" applyAlignment="1">
      <alignment horizontal="center"/>
    </xf>
    <xf numFmtId="3" fontId="67" fillId="0" borderId="0" xfId="237" applyNumberFormat="1" applyFont="1"/>
    <xf numFmtId="3" fontId="6" fillId="0" borderId="0" xfId="237" applyNumberFormat="1" applyFont="1"/>
    <xf numFmtId="168" fontId="54" fillId="0" borderId="0" xfId="237" applyNumberFormat="1" applyFont="1"/>
    <xf numFmtId="168" fontId="54" fillId="0" borderId="0" xfId="237" applyNumberFormat="1" applyFont="1" applyAlignment="1">
      <alignment horizontal="center"/>
    </xf>
    <xf numFmtId="0" fontId="6" fillId="7" borderId="0" xfId="237" applyFont="1" applyFill="1" applyAlignment="1">
      <alignment horizontal="left"/>
    </xf>
    <xf numFmtId="0" fontId="6" fillId="7" borderId="0" xfId="237" applyFont="1" applyFill="1"/>
    <xf numFmtId="10" fontId="6" fillId="0" borderId="0" xfId="237" applyNumberFormat="1" applyFont="1"/>
    <xf numFmtId="167" fontId="6" fillId="0" borderId="0" xfId="237" applyNumberFormat="1" applyFont="1"/>
    <xf numFmtId="167" fontId="6" fillId="0" borderId="0" xfId="237" applyNumberFormat="1" applyFont="1" applyAlignment="1">
      <alignment horizontal="center"/>
    </xf>
    <xf numFmtId="0" fontId="6" fillId="0" borderId="5" xfId="237" applyFont="1" applyBorder="1"/>
    <xf numFmtId="10" fontId="6" fillId="0" borderId="5" xfId="237" applyNumberFormat="1" applyFont="1" applyBorder="1" applyAlignment="1">
      <alignment horizontal="center"/>
    </xf>
    <xf numFmtId="3" fontId="6" fillId="0" borderId="5" xfId="237" applyNumberFormat="1" applyFont="1" applyBorder="1"/>
    <xf numFmtId="10" fontId="10" fillId="0" borderId="0" xfId="237" applyNumberFormat="1" applyFont="1" applyAlignment="1">
      <alignment horizontal="center"/>
    </xf>
    <xf numFmtId="168" fontId="10" fillId="0" borderId="0" xfId="237" applyNumberFormat="1" applyFont="1" applyAlignment="1">
      <alignment horizontal="center"/>
    </xf>
    <xf numFmtId="0" fontId="10" fillId="7" borderId="0" xfId="237" applyFont="1" applyFill="1"/>
    <xf numFmtId="168" fontId="10" fillId="7" borderId="0" xfId="237" applyNumberFormat="1" applyFont="1" applyFill="1"/>
    <xf numFmtId="3" fontId="10" fillId="7" borderId="0" xfId="237" applyNumberFormat="1" applyFont="1" applyFill="1"/>
    <xf numFmtId="3" fontId="10" fillId="0" borderId="0" xfId="237" applyNumberFormat="1" applyFont="1" applyAlignment="1">
      <alignment vertical="top"/>
    </xf>
    <xf numFmtId="10" fontId="8" fillId="0" borderId="0" xfId="237" applyNumberFormat="1" applyFont="1" applyAlignment="1">
      <alignment horizontal="center"/>
    </xf>
    <xf numFmtId="0" fontId="16" fillId="0" borderId="5" xfId="237" applyFont="1" applyBorder="1" applyAlignment="1">
      <alignment horizontal="center"/>
    </xf>
    <xf numFmtId="3" fontId="10" fillId="7" borderId="5" xfId="237" applyNumberFormat="1" applyFont="1" applyFill="1" applyBorder="1"/>
    <xf numFmtId="167" fontId="10" fillId="0" borderId="0" xfId="237" applyNumberFormat="1" applyFont="1" applyAlignment="1">
      <alignment horizontal="center"/>
    </xf>
    <xf numFmtId="10" fontId="68" fillId="0" borderId="0" xfId="237" applyNumberFormat="1" applyFont="1" applyAlignment="1">
      <alignment horizontal="center"/>
    </xf>
    <xf numFmtId="2" fontId="10" fillId="0" borderId="0" xfId="237" applyNumberFormat="1" applyFont="1" applyAlignment="1">
      <alignment horizontal="center"/>
    </xf>
    <xf numFmtId="0" fontId="1" fillId="0" borderId="5" xfId="0" applyFont="1" applyBorder="1"/>
    <xf numFmtId="0" fontId="1" fillId="0" borderId="4" xfId="0" applyFont="1" applyBorder="1"/>
    <xf numFmtId="0" fontId="10" fillId="10" borderId="5" xfId="0" applyFont="1" applyFill="1" applyBorder="1"/>
    <xf numFmtId="168" fontId="24" fillId="0" borderId="0" xfId="0" applyNumberFormat="1" applyFont="1" applyAlignment="1">
      <alignment vertical="top" wrapText="1"/>
    </xf>
    <xf numFmtId="0" fontId="10" fillId="0" borderId="1" xfId="0" applyFont="1" applyBorder="1"/>
    <xf numFmtId="168" fontId="10" fillId="0" borderId="3" xfId="0" applyNumberFormat="1" applyFont="1" applyBorder="1" applyAlignment="1">
      <alignment vertical="top"/>
    </xf>
    <xf numFmtId="168" fontId="1" fillId="0" borderId="4" xfId="0" applyNumberFormat="1" applyFont="1" applyBorder="1" applyAlignment="1">
      <alignment vertical="top"/>
    </xf>
    <xf numFmtId="168" fontId="1" fillId="0" borderId="8" xfId="0" applyNumberFormat="1" applyFont="1" applyBorder="1" applyAlignment="1">
      <alignment vertical="top"/>
    </xf>
    <xf numFmtId="0" fontId="10" fillId="0" borderId="0" xfId="0" applyFont="1" applyAlignment="1">
      <alignment horizontal="left" wrapText="1"/>
    </xf>
    <xf numFmtId="0" fontId="36" fillId="0" borderId="0" xfId="0" applyFont="1" applyAlignment="1">
      <alignment horizontal="left"/>
    </xf>
    <xf numFmtId="0" fontId="10" fillId="0" borderId="0" xfId="237" applyFont="1"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0" xfId="237" applyFont="1" applyAlignment="1">
      <alignment vertical="top"/>
    </xf>
    <xf numFmtId="164" fontId="10" fillId="0" borderId="0" xfId="237" applyNumberFormat="1" applyFont="1" applyAlignment="1">
      <alignment horizontal="right"/>
    </xf>
    <xf numFmtId="0" fontId="10" fillId="0" borderId="0" xfId="511" applyFont="1"/>
    <xf numFmtId="49" fontId="10" fillId="0" borderId="0" xfId="237" applyNumberFormat="1" applyFont="1" applyAlignment="1">
      <alignment horizontal="center"/>
    </xf>
    <xf numFmtId="0" fontId="8" fillId="0" borderId="3" xfId="0" applyFont="1" applyBorder="1"/>
    <xf numFmtId="0" fontId="9" fillId="0" borderId="4" xfId="0" applyFont="1" applyBorder="1" applyAlignment="1">
      <alignment horizontal="right"/>
    </xf>
    <xf numFmtId="0" fontId="8" fillId="0" borderId="5" xfId="0" applyFont="1" applyBorder="1"/>
    <xf numFmtId="4" fontId="10" fillId="0" borderId="0" xfId="237" applyNumberFormat="1" applyFon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0" fillId="0" borderId="18" xfId="0" applyNumberFormat="1" applyFont="1" applyBorder="1"/>
    <xf numFmtId="1" fontId="30" fillId="0" borderId="17" xfId="0" applyNumberFormat="1" applyFont="1" applyBorder="1"/>
    <xf numFmtId="1" fontId="30" fillId="0" borderId="15" xfId="0" applyNumberFormat="1" applyFont="1" applyBorder="1"/>
    <xf numFmtId="4" fontId="0" fillId="0" borderId="0" xfId="0" applyNumberFormat="1"/>
    <xf numFmtId="49" fontId="10" fillId="0" borderId="0" xfId="237" applyNumberFormat="1" applyFont="1"/>
    <xf numFmtId="0" fontId="9" fillId="0" borderId="5" xfId="237" applyFont="1" applyBorder="1" applyAlignment="1">
      <alignment horizontal="center"/>
    </xf>
    <xf numFmtId="0" fontId="9" fillId="0" borderId="0" xfId="237" applyFont="1"/>
    <xf numFmtId="170" fontId="30" fillId="0" borderId="0" xfId="0" applyNumberFormat="1" applyFont="1"/>
    <xf numFmtId="171" fontId="30" fillId="0" borderId="17" xfId="0" applyNumberFormat="1" applyFont="1" applyBorder="1"/>
    <xf numFmtId="1" fontId="8" fillId="0" borderId="12" xfId="0" applyNumberFormat="1" applyFont="1" applyBorder="1"/>
    <xf numFmtId="170" fontId="8" fillId="0" borderId="12" xfId="0" applyNumberFormat="1" applyFont="1" applyBorder="1"/>
    <xf numFmtId="0" fontId="24" fillId="0" borderId="12" xfId="0" applyFont="1" applyBorder="1" applyAlignment="1">
      <alignment horizontal="right" vertical="top"/>
    </xf>
    <xf numFmtId="0" fontId="8" fillId="0" borderId="0" xfId="509" applyFont="1"/>
    <xf numFmtId="0" fontId="19" fillId="9" borderId="0" xfId="509" applyFont="1" applyFill="1"/>
    <xf numFmtId="0" fontId="10" fillId="9" borderId="0" xfId="509" quotePrefix="1" applyFont="1" applyFill="1" applyAlignment="1">
      <alignment horizontal="left"/>
    </xf>
    <xf numFmtId="0" fontId="10" fillId="9" borderId="0" xfId="509" applyFont="1" applyFill="1"/>
    <xf numFmtId="0" fontId="61" fillId="0" borderId="0" xfId="509"/>
    <xf numFmtId="5" fontId="10" fillId="0" borderId="0" xfId="509" applyNumberFormat="1" applyFont="1"/>
    <xf numFmtId="0" fontId="9" fillId="0" borderId="5" xfId="237" applyFont="1" applyBorder="1" applyAlignment="1">
      <alignment horizontal="left"/>
    </xf>
    <xf numFmtId="0" fontId="9" fillId="0" borderId="5" xfId="237" applyFont="1" applyBorder="1" applyAlignment="1">
      <alignment horizontal="right"/>
    </xf>
    <xf numFmtId="0" fontId="13" fillId="0" borderId="0" xfId="0" applyFont="1" applyAlignment="1">
      <alignment vertical="center"/>
    </xf>
    <xf numFmtId="0" fontId="1" fillId="0" borderId="18" xfId="0" applyFont="1" applyBorder="1"/>
    <xf numFmtId="0" fontId="1" fillId="0" borderId="12" xfId="0" applyFont="1" applyBorder="1"/>
    <xf numFmtId="0" fontId="8" fillId="0" borderId="19" xfId="0" applyFont="1" applyBorder="1"/>
    <xf numFmtId="0" fontId="6" fillId="0" borderId="12" xfId="218" applyFont="1" applyBorder="1" applyAlignment="1" applyProtection="1">
      <alignment horizontal="center" wrapText="1"/>
      <protection locked="0"/>
    </xf>
    <xf numFmtId="0" fontId="10" fillId="0" borderId="0" xfId="237" quotePrefix="1" applyFont="1" applyAlignment="1">
      <alignment horizontal="center"/>
    </xf>
    <xf numFmtId="1" fontId="10" fillId="0" borderId="0" xfId="237" applyNumberFormat="1" applyFont="1"/>
    <xf numFmtId="0" fontId="9" fillId="0" borderId="0" xfId="0" quotePrefix="1" applyFont="1" applyAlignment="1">
      <alignment horizontal="right"/>
    </xf>
    <xf numFmtId="1" fontId="1" fillId="0" borderId="12" xfId="510" applyNumberFormat="1" applyFont="1" applyBorder="1"/>
    <xf numFmtId="0" fontId="14" fillId="0" borderId="1" xfId="0" applyFont="1" applyBorder="1"/>
    <xf numFmtId="0" fontId="14" fillId="0" borderId="7" xfId="0" applyFont="1" applyBorder="1"/>
    <xf numFmtId="0" fontId="14" fillId="0" borderId="9" xfId="0" applyFont="1" applyBorder="1"/>
    <xf numFmtId="0" fontId="1"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8" fillId="2" borderId="15" xfId="0" applyFont="1" applyFill="1" applyBorder="1" applyAlignment="1">
      <alignment vertical="top" wrapText="1"/>
    </xf>
    <xf numFmtId="0" fontId="48" fillId="0" borderId="0" xfId="0" applyFont="1" applyAlignment="1">
      <alignment vertical="top" wrapText="1"/>
    </xf>
    <xf numFmtId="0" fontId="48" fillId="2" borderId="0" xfId="0" applyFont="1" applyFill="1" applyAlignment="1">
      <alignment vertical="top" wrapText="1"/>
    </xf>
    <xf numFmtId="0" fontId="48" fillId="0" borderId="0" xfId="0" applyFont="1" applyAlignment="1">
      <alignment horizontal="right" vertical="top" wrapText="1"/>
    </xf>
    <xf numFmtId="0" fontId="0" fillId="7" borderId="3" xfId="0" applyFill="1" applyBorder="1"/>
    <xf numFmtId="0" fontId="70" fillId="0" borderId="0" xfId="0" applyFont="1" applyAlignment="1">
      <alignment vertical="center"/>
    </xf>
    <xf numFmtId="0" fontId="70" fillId="0" borderId="0" xfId="0" applyFont="1" applyAlignment="1">
      <alignment horizontal="left" vertical="center" indent="1"/>
    </xf>
    <xf numFmtId="0" fontId="70" fillId="0" borderId="0" xfId="0" applyFont="1" applyAlignment="1">
      <alignment vertical="center" wrapText="1"/>
    </xf>
    <xf numFmtId="167" fontId="10" fillId="7" borderId="0" xfId="237" applyNumberFormat="1" applyFont="1" applyFill="1" applyAlignment="1">
      <alignment horizontal="center"/>
    </xf>
    <xf numFmtId="0" fontId="1" fillId="0" borderId="0" xfId="0" applyFont="1" applyAlignment="1">
      <alignment horizontal="center"/>
    </xf>
    <xf numFmtId="0" fontId="31" fillId="0" borderId="0" xfId="0" applyFont="1" applyAlignment="1">
      <alignment vertical="center" wrapText="1"/>
    </xf>
    <xf numFmtId="0" fontId="9" fillId="0" borderId="0" xfId="0" applyFont="1" applyProtection="1">
      <protection locked="0"/>
    </xf>
    <xf numFmtId="0" fontId="8" fillId="0" borderId="0" xfId="237" applyFont="1" applyAlignment="1">
      <alignment horizontal="left"/>
    </xf>
    <xf numFmtId="0" fontId="8" fillId="0" borderId="0" xfId="237" applyFont="1" applyAlignment="1">
      <alignment horizontal="right"/>
    </xf>
    <xf numFmtId="1" fontId="10" fillId="0" borderId="0" xfId="237" applyNumberFormat="1" applyFont="1" applyAlignment="1">
      <alignment horizontal="center"/>
    </xf>
    <xf numFmtId="0" fontId="10" fillId="0" borderId="0" xfId="0" quotePrefix="1" applyFont="1" applyAlignment="1">
      <alignment horizontal="center" vertical="top"/>
    </xf>
    <xf numFmtId="49" fontId="9" fillId="0" borderId="0" xfId="0" applyNumberFormat="1" applyFont="1" applyAlignment="1">
      <alignment horizontal="left" vertical="center" wrapText="1"/>
    </xf>
    <xf numFmtId="9" fontId="6" fillId="7" borderId="0" xfId="237" applyNumberFormat="1" applyFont="1" applyFill="1" applyAlignment="1" applyProtection="1">
      <alignment horizontal="right"/>
      <protection locked="0"/>
    </xf>
    <xf numFmtId="1" fontId="6" fillId="7" borderId="0" xfId="237" applyNumberFormat="1" applyFont="1" applyFill="1" applyAlignment="1" applyProtection="1">
      <alignment horizontal="center"/>
      <protection locked="0"/>
    </xf>
    <xf numFmtId="168" fontId="6" fillId="7" borderId="0" xfId="237" applyNumberFormat="1" applyFont="1" applyFill="1" applyAlignment="1" applyProtection="1">
      <alignment horizontal="center"/>
      <protection locked="0"/>
    </xf>
    <xf numFmtId="0" fontId="42" fillId="0" borderId="0" xfId="237" applyFont="1" applyAlignment="1">
      <alignment horizontal="center"/>
    </xf>
    <xf numFmtId="0" fontId="51" fillId="0" borderId="0" xfId="0" applyFont="1"/>
    <xf numFmtId="0" fontId="51" fillId="0" borderId="0" xfId="0" applyFont="1" applyAlignment="1">
      <alignment vertical="top"/>
    </xf>
    <xf numFmtId="0" fontId="6" fillId="7" borderId="0" xfId="237" applyFont="1" applyFill="1" applyAlignment="1" applyProtection="1">
      <alignment horizontal="left"/>
      <protection locked="0"/>
    </xf>
    <xf numFmtId="0" fontId="24" fillId="0" borderId="0" xfId="237" applyFont="1"/>
    <xf numFmtId="0" fontId="9" fillId="0" borderId="0" xfId="0" applyFont="1" applyAlignment="1">
      <alignment horizontal="left" vertical="center" shrinkToFit="1"/>
    </xf>
    <xf numFmtId="49" fontId="53" fillId="0" borderId="0" xfId="237" applyNumberFormat="1" applyFont="1" applyAlignment="1">
      <alignment horizontal="center" vertical="center"/>
    </xf>
    <xf numFmtId="0" fontId="54" fillId="0" borderId="0" xfId="237" applyFont="1" applyAlignment="1">
      <alignment vertical="center"/>
    </xf>
    <xf numFmtId="0" fontId="6" fillId="0" borderId="5" xfId="237" applyFont="1" applyBorder="1" applyAlignment="1">
      <alignment vertical="center"/>
    </xf>
    <xf numFmtId="0" fontId="6" fillId="0" borderId="0" xfId="237" applyFont="1" applyAlignment="1">
      <alignment vertical="center"/>
    </xf>
    <xf numFmtId="0" fontId="6" fillId="0" borderId="5" xfId="237" applyFont="1" applyBorder="1" applyAlignment="1">
      <alignment horizontal="center"/>
    </xf>
    <xf numFmtId="0" fontId="6" fillId="0" borderId="5" xfId="237" applyFont="1" applyBorder="1" applyAlignment="1">
      <alignment horizontal="center" vertical="center"/>
    </xf>
    <xf numFmtId="0" fontId="63" fillId="0" borderId="5" xfId="237" applyFont="1" applyBorder="1" applyAlignment="1">
      <alignment horizontal="right" vertical="center"/>
    </xf>
    <xf numFmtId="0" fontId="6" fillId="0" borderId="5" xfId="237" applyFont="1" applyBorder="1" applyAlignment="1">
      <alignment horizontal="right" vertical="center"/>
    </xf>
    <xf numFmtId="0" fontId="64" fillId="0" borderId="0" xfId="237" applyFont="1" applyAlignment="1">
      <alignment horizontal="right" vertical="center"/>
    </xf>
    <xf numFmtId="0" fontId="56" fillId="0" borderId="0" xfId="237" applyFont="1"/>
    <xf numFmtId="0" fontId="64" fillId="0" borderId="0" xfId="237" applyFont="1" applyAlignment="1">
      <alignment horizontal="left" vertical="center"/>
    </xf>
    <xf numFmtId="168" fontId="6" fillId="0" borderId="5" xfId="237" applyNumberFormat="1" applyFont="1" applyBorder="1"/>
    <xf numFmtId="168" fontId="6" fillId="0" borderId="13" xfId="237" applyNumberFormat="1" applyFont="1" applyBorder="1"/>
    <xf numFmtId="168" fontId="6" fillId="0" borderId="0" xfId="237" applyNumberFormat="1" applyFont="1" applyAlignment="1">
      <alignment horizontal="right"/>
    </xf>
    <xf numFmtId="0" fontId="40" fillId="0" borderId="0" xfId="237" applyFont="1" applyAlignment="1">
      <alignment horizontal="right" vertical="center"/>
    </xf>
    <xf numFmtId="168" fontId="6" fillId="0" borderId="5" xfId="237" applyNumberFormat="1" applyFont="1" applyBorder="1" applyAlignment="1">
      <alignment horizontal="right"/>
    </xf>
    <xf numFmtId="0" fontId="54" fillId="0" borderId="0" xfId="237" applyFont="1" applyAlignment="1">
      <alignment horizontal="right"/>
    </xf>
    <xf numFmtId="168" fontId="6" fillId="0" borderId="2" xfId="237" applyNumberFormat="1" applyFont="1" applyBorder="1"/>
    <xf numFmtId="0" fontId="54" fillId="0" borderId="5" xfId="237" applyFont="1" applyBorder="1" applyAlignment="1">
      <alignment horizontal="right"/>
    </xf>
    <xf numFmtId="0" fontId="55" fillId="0" borderId="0" xfId="237" applyFont="1"/>
    <xf numFmtId="0" fontId="6" fillId="0" borderId="0" xfId="237" applyFont="1" applyAlignment="1">
      <alignment horizontal="right" vertical="center"/>
    </xf>
    <xf numFmtId="0" fontId="6" fillId="0" borderId="0" xfId="237" applyFont="1" applyAlignment="1">
      <alignment horizontal="right"/>
    </xf>
    <xf numFmtId="0" fontId="54" fillId="0" borderId="0" xfId="237" applyFont="1" applyAlignment="1">
      <alignment vertical="center" wrapText="1"/>
    </xf>
    <xf numFmtId="0" fontId="6" fillId="0" borderId="7" xfId="237" applyFont="1" applyBorder="1"/>
    <xf numFmtId="0" fontId="40" fillId="0" borderId="0" xfId="237" applyFont="1" applyAlignment="1">
      <alignment horizontal="left"/>
    </xf>
    <xf numFmtId="9" fontId="6" fillId="0" borderId="5" xfId="237" applyNumberFormat="1" applyFont="1" applyBorder="1" applyAlignment="1">
      <alignment horizontal="center"/>
    </xf>
    <xf numFmtId="9" fontId="6" fillId="0" borderId="5" xfId="237" quotePrefix="1" applyNumberFormat="1" applyFont="1" applyBorder="1" applyAlignment="1">
      <alignment horizontal="center"/>
    </xf>
    <xf numFmtId="6" fontId="6" fillId="0" borderId="0" xfId="237" applyNumberFormat="1" applyFont="1"/>
    <xf numFmtId="9" fontId="6" fillId="0" borderId="0" xfId="237" applyNumberFormat="1" applyFont="1"/>
    <xf numFmtId="170" fontId="6" fillId="0" borderId="5" xfId="237" applyNumberFormat="1" applyFont="1" applyBorder="1" applyAlignment="1">
      <alignment horizontal="right"/>
    </xf>
    <xf numFmtId="170" fontId="6" fillId="0" borderId="0" xfId="237" applyNumberFormat="1" applyFont="1" applyAlignment="1">
      <alignment horizontal="right"/>
    </xf>
    <xf numFmtId="2" fontId="6" fillId="0" borderId="0" xfId="237" applyNumberFormat="1" applyFont="1"/>
    <xf numFmtId="0" fontId="6" fillId="0" borderId="0" xfId="237" applyFont="1" applyAlignment="1">
      <alignment horizontal="center"/>
    </xf>
    <xf numFmtId="168" fontId="6" fillId="0" borderId="0" xfId="237" applyNumberFormat="1" applyFont="1" applyAlignment="1">
      <alignment horizontal="center"/>
    </xf>
    <xf numFmtId="5" fontId="73" fillId="37" borderId="12" xfId="508" applyNumberFormat="1" applyFont="1" applyFill="1" applyBorder="1" applyAlignment="1" applyProtection="1">
      <alignment horizontal="center"/>
    </xf>
    <xf numFmtId="5" fontId="73" fillId="0" borderId="12" xfId="508" applyNumberFormat="1" applyFont="1" applyBorder="1" applyAlignment="1" applyProtection="1">
      <alignment horizontal="center"/>
    </xf>
    <xf numFmtId="5" fontId="73" fillId="2" borderId="12" xfId="508" applyNumberFormat="1" applyFont="1" applyFill="1" applyBorder="1" applyAlignment="1" applyProtection="1">
      <alignment horizontal="center"/>
    </xf>
    <xf numFmtId="0" fontId="24" fillId="0" borderId="0" xfId="0" applyFont="1" applyAlignment="1">
      <alignment horizontal="right" vertical="top" wrapText="1"/>
    </xf>
    <xf numFmtId="0" fontId="15" fillId="0" borderId="0" xfId="0" applyFont="1" applyAlignment="1">
      <alignment horizontal="right" vertical="top" wrapText="1"/>
    </xf>
    <xf numFmtId="168" fontId="24" fillId="7" borderId="5" xfId="0" applyNumberFormat="1" applyFont="1" applyFill="1" applyBorder="1" applyAlignment="1" applyProtection="1">
      <alignment horizontal="right" vertical="top" wrapText="1"/>
      <protection locked="0"/>
    </xf>
    <xf numFmtId="168" fontId="24" fillId="0" borderId="5" xfId="0" applyNumberFormat="1" applyFont="1" applyBorder="1" applyAlignment="1">
      <alignment horizontal="right" vertical="top" wrapText="1"/>
    </xf>
    <xf numFmtId="0" fontId="10" fillId="0" borderId="0" xfId="0" applyFont="1" applyAlignment="1">
      <alignment horizontal="right" vertical="top" wrapText="1"/>
    </xf>
    <xf numFmtId="0" fontId="48" fillId="0" borderId="18" xfId="0" applyFont="1" applyBorder="1" applyAlignment="1">
      <alignment vertical="top" wrapText="1"/>
    </xf>
    <xf numFmtId="0" fontId="48" fillId="2" borderId="18" xfId="0" applyFont="1" applyFill="1" applyBorder="1" applyAlignment="1">
      <alignment vertical="top" wrapText="1"/>
    </xf>
    <xf numFmtId="0" fontId="16" fillId="0" borderId="0" xfId="0" applyFont="1" applyAlignment="1">
      <alignment horizontal="left" vertical="center"/>
    </xf>
    <xf numFmtId="0" fontId="17" fillId="0" borderId="0" xfId="0" applyFont="1" applyAlignment="1">
      <alignment vertical="top" wrapText="1"/>
    </xf>
    <xf numFmtId="0" fontId="17" fillId="2" borderId="0" xfId="0" applyFont="1" applyFill="1" applyAlignment="1">
      <alignment vertical="top" wrapText="1"/>
    </xf>
    <xf numFmtId="0" fontId="75" fillId="0" borderId="0" xfId="510" applyFont="1"/>
    <xf numFmtId="0" fontId="8" fillId="0" borderId="2" xfId="510" applyFont="1" applyBorder="1" applyAlignment="1">
      <alignment horizontal="center"/>
    </xf>
    <xf numFmtId="0" fontId="8" fillId="0" borderId="0" xfId="510" applyFont="1" applyAlignment="1">
      <alignment horizontal="center"/>
    </xf>
    <xf numFmtId="0" fontId="75" fillId="0" borderId="0" xfId="0" applyFont="1"/>
    <xf numFmtId="168" fontId="75" fillId="0" borderId="0" xfId="0" applyNumberFormat="1" applyFont="1" applyAlignment="1">
      <alignment horizontal="left" vertical="top"/>
    </xf>
    <xf numFmtId="168" fontId="9" fillId="0" borderId="0" xfId="0" applyNumberFormat="1" applyFont="1" applyAlignment="1">
      <alignment horizontal="left" vertical="top" wrapText="1"/>
    </xf>
    <xf numFmtId="0" fontId="2" fillId="0" borderId="0" xfId="212" quotePrefix="1" applyAlignment="1">
      <alignment horizontal="left"/>
    </xf>
    <xf numFmtId="0" fontId="89" fillId="0" borderId="0" xfId="0" applyFont="1" applyAlignment="1">
      <alignment horizontal="left" vertical="top"/>
    </xf>
    <xf numFmtId="0" fontId="45" fillId="0" borderId="0" xfId="0" applyFont="1" applyAlignment="1">
      <alignment horizontal="center"/>
    </xf>
    <xf numFmtId="0" fontId="71" fillId="0" borderId="0" xfId="0" applyFont="1" applyAlignment="1">
      <alignment horizontal="left" vertical="top"/>
    </xf>
    <xf numFmtId="0" fontId="70" fillId="0" borderId="0" xfId="0" applyFont="1"/>
    <xf numFmtId="0" fontId="36" fillId="0" borderId="0" xfId="237" applyFont="1" applyAlignment="1">
      <alignment horizontal="left"/>
    </xf>
    <xf numFmtId="0" fontId="15" fillId="0" borderId="13" xfId="0" applyFont="1" applyBorder="1" applyAlignment="1" applyProtection="1">
      <alignment vertical="top" wrapText="1"/>
      <protection locked="0"/>
    </xf>
    <xf numFmtId="0" fontId="8" fillId="0" borderId="0" xfId="0" applyFont="1" applyAlignment="1" applyProtection="1">
      <alignment horizontal="center" wrapText="1"/>
      <protection locked="0"/>
    </xf>
    <xf numFmtId="0" fontId="10" fillId="0" borderId="0" xfId="0" applyFont="1" applyAlignment="1" applyProtection="1">
      <alignment vertical="top" wrapText="1"/>
      <protection locked="0"/>
    </xf>
    <xf numFmtId="0" fontId="8" fillId="0" borderId="0" xfId="0" applyFont="1" applyAlignment="1" applyProtection="1">
      <alignment vertical="top" wrapText="1"/>
      <protection locked="0"/>
    </xf>
    <xf numFmtId="0" fontId="8" fillId="9" borderId="12" xfId="509" applyFont="1" applyFill="1" applyBorder="1" applyAlignment="1">
      <alignment horizontal="left"/>
    </xf>
    <xf numFmtId="0" fontId="8" fillId="9" borderId="12" xfId="509" applyFont="1" applyFill="1" applyBorder="1" applyAlignment="1">
      <alignment horizontal="center"/>
    </xf>
    <xf numFmtId="0" fontId="62" fillId="9" borderId="12" xfId="509" applyFont="1" applyFill="1" applyBorder="1" applyAlignment="1">
      <alignment horizontal="left"/>
    </xf>
    <xf numFmtId="168" fontId="10" fillId="0" borderId="12" xfId="507" applyNumberFormat="1" applyFont="1" applyBorder="1" applyAlignment="1" applyProtection="1">
      <alignment horizontal="center"/>
    </xf>
    <xf numFmtId="0" fontId="62" fillId="0" borderId="12" xfId="509" applyFont="1" applyBorder="1" applyAlignment="1">
      <alignment horizontal="left"/>
    </xf>
    <xf numFmtId="0" fontId="48" fillId="0" borderId="13" xfId="0" applyFont="1" applyBorder="1" applyAlignment="1">
      <alignment vertical="top" wrapText="1"/>
    </xf>
    <xf numFmtId="0" fontId="76" fillId="0" borderId="0" xfId="0" applyFont="1" applyAlignment="1">
      <alignment horizontal="left"/>
    </xf>
    <xf numFmtId="0" fontId="45" fillId="0" borderId="0" xfId="0" applyFont="1" applyAlignment="1">
      <alignment vertical="top" wrapText="1"/>
    </xf>
    <xf numFmtId="0" fontId="15" fillId="0" borderId="7" xfId="0" applyFont="1" applyBorder="1" applyAlignment="1">
      <alignment vertical="top" wrapText="1"/>
    </xf>
    <xf numFmtId="0" fontId="24" fillId="0" borderId="7" xfId="0" applyFont="1" applyBorder="1" applyAlignment="1">
      <alignment vertical="top" wrapText="1"/>
    </xf>
    <xf numFmtId="0" fontId="45" fillId="0" borderId="7" xfId="0" applyFont="1" applyBorder="1" applyAlignment="1">
      <alignment vertical="top" wrapText="1"/>
    </xf>
    <xf numFmtId="0" fontId="48"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5"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2" fillId="0" borderId="0" xfId="212" applyAlignment="1">
      <alignment horizontal="center"/>
    </xf>
    <xf numFmtId="0" fontId="2" fillId="0" borderId="0" xfId="212" applyAlignment="1">
      <alignment horizontal="left"/>
    </xf>
    <xf numFmtId="0" fontId="10" fillId="0" borderId="3" xfId="223" applyFont="1" applyBorder="1"/>
    <xf numFmtId="0" fontId="45" fillId="0" borderId="3" xfId="0" applyFont="1" applyBorder="1" applyAlignment="1">
      <alignment horizontal="left"/>
    </xf>
    <xf numFmtId="0" fontId="45" fillId="0" borderId="7" xfId="0" applyFont="1" applyBorder="1" applyAlignment="1">
      <alignment horizontal="center" wrapText="1"/>
    </xf>
    <xf numFmtId="0" fontId="45" fillId="0" borderId="0" xfId="0" applyFont="1" applyAlignment="1">
      <alignment horizontal="center" wrapText="1"/>
    </xf>
    <xf numFmtId="0" fontId="21" fillId="0" borderId="0" xfId="0" applyFont="1" applyAlignment="1">
      <alignment vertical="top" wrapText="1"/>
    </xf>
    <xf numFmtId="168" fontId="0" fillId="0" borderId="0" xfId="0" applyNumberFormat="1" applyAlignment="1">
      <alignment wrapText="1"/>
    </xf>
    <xf numFmtId="0" fontId="6" fillId="0" borderId="0" xfId="0" applyFont="1"/>
    <xf numFmtId="0" fontId="6" fillId="0" borderId="12" xfId="218" applyFont="1" applyBorder="1" applyAlignment="1">
      <alignment horizontal="center" wrapText="1"/>
    </xf>
    <xf numFmtId="0" fontId="6" fillId="0" borderId="0" xfId="218" applyFont="1" applyAlignment="1">
      <alignment horizontal="center" wrapText="1"/>
    </xf>
    <xf numFmtId="3" fontId="6" fillId="0" borderId="12" xfId="0" applyNumberFormat="1" applyFont="1" applyBorder="1"/>
    <xf numFmtId="3" fontId="6" fillId="0" borderId="0" xfId="0" applyNumberFormat="1" applyFont="1"/>
    <xf numFmtId="0" fontId="54" fillId="0" borderId="0" xfId="0" applyFont="1" applyAlignment="1">
      <alignment horizontal="left"/>
    </xf>
    <xf numFmtId="0" fontId="54" fillId="0" borderId="0" xfId="0" applyFont="1" applyAlignment="1">
      <alignment horizontal="right"/>
    </xf>
    <xf numFmtId="168" fontId="6" fillId="0" borderId="12" xfId="0" applyNumberFormat="1" applyFont="1" applyBorder="1"/>
    <xf numFmtId="168" fontId="6" fillId="0" borderId="0" xfId="0" applyNumberFormat="1" applyFont="1"/>
    <xf numFmtId="0" fontId="10" fillId="0" borderId="0" xfId="237" applyFont="1" applyAlignment="1">
      <alignment horizontal="left" wrapText="1"/>
    </xf>
    <xf numFmtId="0" fontId="0" fillId="7" borderId="5" xfId="0" applyFill="1" applyBorder="1" applyProtection="1">
      <protection locked="0"/>
    </xf>
    <xf numFmtId="0" fontId="20" fillId="0" borderId="0" xfId="0" applyFont="1" applyAlignment="1">
      <alignment wrapText="1"/>
    </xf>
    <xf numFmtId="0" fontId="10" fillId="0" borderId="4" xfId="0" applyFont="1" applyBorder="1" applyAlignment="1">
      <alignment horizontal="left"/>
    </xf>
    <xf numFmtId="0" fontId="65" fillId="0" borderId="0" xfId="0" applyFont="1"/>
    <xf numFmtId="4" fontId="10" fillId="0" borderId="0" xfId="237" applyNumberFormat="1" applyFon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5" fillId="0" borderId="0" xfId="0" applyFont="1" applyAlignment="1">
      <alignment horizontal="right"/>
    </xf>
    <xf numFmtId="0" fontId="45" fillId="0" borderId="9" xfId="0" applyFont="1" applyBorder="1" applyAlignment="1">
      <alignment horizontal="left"/>
    </xf>
    <xf numFmtId="0" fontId="45" fillId="0" borderId="4" xfId="0" applyFont="1" applyBorder="1"/>
    <xf numFmtId="0" fontId="24" fillId="0" borderId="5" xfId="0" applyFont="1" applyBorder="1"/>
    <xf numFmtId="0" fontId="45" fillId="0" borderId="5" xfId="0" applyFont="1" applyBorder="1" applyAlignment="1">
      <alignment horizontal="right"/>
    </xf>
    <xf numFmtId="0" fontId="24" fillId="0" borderId="9" xfId="0" applyFont="1" applyBorder="1"/>
    <xf numFmtId="0" fontId="9" fillId="0" borderId="12" xfId="0" applyFont="1" applyBorder="1" applyAlignment="1">
      <alignment horizontal="center"/>
    </xf>
    <xf numFmtId="0" fontId="2" fillId="0" borderId="0" xfId="212" applyAlignment="1" applyProtection="1">
      <alignment horizontal="left"/>
      <protection locked="0"/>
    </xf>
    <xf numFmtId="0" fontId="10" fillId="0" borderId="0" xfId="223" applyFont="1" applyAlignment="1">
      <alignment horizontal="left" vertical="top" wrapText="1"/>
    </xf>
    <xf numFmtId="0" fontId="10" fillId="0" borderId="0" xfId="237" applyFont="1" applyAlignment="1">
      <alignment horizontal="left" vertical="top" wrapText="1"/>
    </xf>
    <xf numFmtId="0" fontId="6" fillId="7" borderId="0" xfId="237" applyFont="1" applyFill="1" applyProtection="1">
      <protection locked="0"/>
    </xf>
    <xf numFmtId="0" fontId="90" fillId="0" borderId="4" xfId="237" applyFont="1" applyBorder="1"/>
    <xf numFmtId="0" fontId="90" fillId="0" borderId="5" xfId="237" applyFont="1" applyBorder="1"/>
    <xf numFmtId="168" fontId="90" fillId="7" borderId="5" xfId="237" applyNumberFormat="1" applyFont="1" applyFill="1" applyBorder="1" applyAlignment="1" applyProtection="1">
      <alignment horizontal="right"/>
      <protection locked="0"/>
    </xf>
    <xf numFmtId="168" fontId="6" fillId="7" borderId="4" xfId="237" applyNumberFormat="1" applyFont="1" applyFill="1" applyBorder="1" applyAlignment="1" applyProtection="1">
      <alignment horizontal="right"/>
      <protection locked="0"/>
    </xf>
    <xf numFmtId="0" fontId="90" fillId="0" borderId="0" xfId="237" applyFont="1"/>
    <xf numFmtId="0" fontId="6" fillId="7" borderId="5" xfId="237" applyFont="1" applyFill="1" applyBorder="1" applyProtection="1">
      <protection locked="0"/>
    </xf>
    <xf numFmtId="0" fontId="6" fillId="0" borderId="2" xfId="237" applyFont="1" applyBorder="1"/>
    <xf numFmtId="0" fontId="54" fillId="0" borderId="2" xfId="237" applyFont="1" applyBorder="1" applyAlignment="1">
      <alignment vertical="center"/>
    </xf>
    <xf numFmtId="6" fontId="6" fillId="0" borderId="12" xfId="237" applyNumberFormat="1" applyFont="1" applyBorder="1" applyAlignment="1">
      <alignment horizontal="right"/>
    </xf>
    <xf numFmtId="1" fontId="6" fillId="0" borderId="4" xfId="237" applyNumberFormat="1" applyFont="1" applyBorder="1" applyAlignment="1">
      <alignment horizontal="center" vertical="center"/>
    </xf>
    <xf numFmtId="2" fontId="6" fillId="0" borderId="5" xfId="237" applyNumberFormat="1" applyFont="1" applyBorder="1" applyAlignment="1">
      <alignment horizontal="center" vertical="center"/>
    </xf>
    <xf numFmtId="0" fontId="10" fillId="0" borderId="0" xfId="0" quotePrefix="1" applyFont="1" applyAlignment="1">
      <alignment horizontal="left" vertical="top"/>
    </xf>
    <xf numFmtId="168" fontId="10" fillId="0" borderId="0" xfId="511" applyNumberFormat="1" applyFont="1"/>
    <xf numFmtId="1" fontId="0" fillId="0" borderId="0" xfId="0" applyNumberFormat="1"/>
    <xf numFmtId="170" fontId="6" fillId="0" borderId="0" xfId="237" applyNumberFormat="1" applyFont="1"/>
    <xf numFmtId="0" fontId="1" fillId="0" borderId="0" xfId="510" applyFont="1" applyAlignment="1">
      <alignment vertical="top"/>
    </xf>
    <xf numFmtId="0" fontId="9" fillId="0" borderId="0" xfId="0" applyFont="1" applyAlignment="1">
      <alignment horizontal="right" vertical="top"/>
    </xf>
    <xf numFmtId="168" fontId="1" fillId="0" borderId="0" xfId="510" applyNumberFormat="1" applyFont="1" applyAlignment="1">
      <alignment vertical="top"/>
    </xf>
    <xf numFmtId="0" fontId="63" fillId="0" borderId="0" xfId="237" applyFont="1" applyAlignment="1">
      <alignment horizontal="right" vertical="center"/>
    </xf>
    <xf numFmtId="0" fontId="6" fillId="0" borderId="0" xfId="237" applyFont="1" applyAlignment="1">
      <alignment horizontal="center" vertical="center"/>
    </xf>
    <xf numFmtId="0" fontId="54" fillId="0" borderId="0" xfId="237" applyFont="1" applyAlignment="1">
      <alignment horizontal="left" vertical="top" wrapText="1"/>
    </xf>
    <xf numFmtId="0" fontId="6" fillId="0" borderId="0" xfId="237" applyFont="1" applyAlignment="1">
      <alignment horizontal="left"/>
    </xf>
    <xf numFmtId="0" fontId="6" fillId="0" borderId="0" xfId="237" applyFont="1" applyAlignment="1">
      <alignment horizontal="left" vertical="top" wrapText="1"/>
    </xf>
    <xf numFmtId="168" fontId="6" fillId="7" borderId="5" xfId="237" applyNumberFormat="1" applyFont="1" applyFill="1" applyBorder="1" applyAlignment="1" applyProtection="1">
      <alignment horizontal="right"/>
      <protection locked="0"/>
    </xf>
    <xf numFmtId="49" fontId="10" fillId="0" borderId="0" xfId="0" applyNumberFormat="1" applyFont="1" applyAlignment="1">
      <alignment horizontal="left" vertical="top" wrapText="1"/>
    </xf>
    <xf numFmtId="4" fontId="10" fillId="0" borderId="0" xfId="0" applyNumberFormat="1" applyFont="1" applyAlignment="1">
      <alignment horizontal="left" vertical="top" wrapText="1"/>
    </xf>
    <xf numFmtId="1" fontId="6" fillId="7" borderId="5" xfId="237" applyNumberFormat="1" applyFont="1" applyFill="1" applyBorder="1" applyAlignment="1" applyProtection="1">
      <alignment vertical="center"/>
      <protection locked="0"/>
    </xf>
    <xf numFmtId="3" fontId="6" fillId="0" borderId="0" xfId="237" applyNumberFormat="1" applyFont="1" applyAlignment="1">
      <alignment horizontal="center"/>
    </xf>
    <xf numFmtId="3" fontId="6" fillId="0" borderId="5" xfId="237" applyNumberFormat="1" applyFont="1" applyBorder="1" applyAlignment="1">
      <alignment horizontal="center"/>
    </xf>
    <xf numFmtId="0" fontId="39" fillId="0" borderId="0" xfId="0" applyFont="1"/>
    <xf numFmtId="0" fontId="19" fillId="0" borderId="0" xfId="0" applyFont="1"/>
    <xf numFmtId="0" fontId="38" fillId="0" borderId="0" xfId="0" applyFont="1"/>
    <xf numFmtId="0" fontId="34" fillId="0" borderId="0" xfId="237" applyFont="1"/>
    <xf numFmtId="0" fontId="22" fillId="0" borderId="0" xfId="0" applyFont="1"/>
    <xf numFmtId="0" fontId="43" fillId="0" borderId="0" xfId="0" applyFont="1"/>
    <xf numFmtId="0" fontId="45" fillId="0" borderId="12" xfId="0" applyFont="1" applyBorder="1" applyAlignment="1">
      <alignment horizontal="center" wrapText="1"/>
    </xf>
    <xf numFmtId="0" fontId="92" fillId="0" borderId="0" xfId="0" applyFont="1" applyAlignment="1">
      <alignment horizontal="left" vertical="top"/>
    </xf>
    <xf numFmtId="168" fontId="24" fillId="39" borderId="12" xfId="0" applyNumberFormat="1" applyFont="1" applyFill="1" applyBorder="1" applyAlignment="1">
      <alignment vertical="top" wrapText="1"/>
    </xf>
    <xf numFmtId="6" fontId="24" fillId="39" borderId="12" xfId="0" applyNumberFormat="1" applyFont="1" applyFill="1" applyBorder="1" applyAlignment="1">
      <alignment vertical="top" wrapText="1"/>
    </xf>
    <xf numFmtId="167" fontId="1" fillId="0" borderId="7" xfId="510" applyNumberFormat="1" applyFont="1" applyBorder="1"/>
    <xf numFmtId="0" fontId="10" fillId="0" borderId="7" xfId="0" applyFont="1" applyBorder="1"/>
    <xf numFmtId="0" fontId="8" fillId="0" borderId="7" xfId="0" applyFont="1" applyBorder="1"/>
    <xf numFmtId="0" fontId="11" fillId="0" borderId="7" xfId="0" applyFont="1" applyBorder="1" applyAlignment="1">
      <alignment horizontal="center"/>
    </xf>
    <xf numFmtId="0" fontId="8" fillId="0" borderId="7" xfId="0" applyFont="1" applyBorder="1" applyAlignment="1">
      <alignment vertical="top"/>
    </xf>
    <xf numFmtId="2" fontId="9" fillId="0" borderId="7" xfId="0" applyNumberFormat="1" applyFont="1" applyBorder="1" applyAlignment="1">
      <alignment horizontal="left"/>
    </xf>
    <xf numFmtId="0" fontId="9" fillId="0" borderId="7" xfId="0" applyFont="1" applyBorder="1" applyAlignment="1">
      <alignment horizontal="right"/>
    </xf>
    <xf numFmtId="2" fontId="9" fillId="0" borderId="7" xfId="0" applyNumberFormat="1" applyFont="1" applyBorder="1" applyAlignment="1">
      <alignment horizontal="right"/>
    </xf>
    <xf numFmtId="167" fontId="8" fillId="0" borderId="7" xfId="510" applyNumberFormat="1" applyFont="1" applyBorder="1"/>
    <xf numFmtId="0" fontId="1" fillId="0" borderId="7" xfId="510" applyFont="1" applyBorder="1" applyAlignment="1">
      <alignment vertical="top"/>
    </xf>
    <xf numFmtId="1" fontId="9" fillId="0" borderId="7" xfId="0" applyNumberFormat="1" applyFont="1" applyBorder="1"/>
    <xf numFmtId="164" fontId="18" fillId="0" borderId="0" xfId="0" applyNumberFormat="1" applyFont="1" applyAlignment="1">
      <alignment vertical="top" wrapText="1"/>
    </xf>
    <xf numFmtId="0" fontId="18" fillId="38" borderId="7" xfId="0" applyFont="1" applyFill="1" applyBorder="1"/>
    <xf numFmtId="0" fontId="18" fillId="38" borderId="0" xfId="0" applyFont="1" applyFill="1"/>
    <xf numFmtId="0" fontId="9" fillId="0" borderId="0" xfId="0" applyFont="1" applyAlignment="1">
      <alignment vertical="center" wrapText="1" shrinkToFit="1"/>
    </xf>
    <xf numFmtId="0" fontId="6" fillId="0" borderId="0" xfId="237" applyFont="1" applyAlignment="1">
      <alignment horizontal="right" vertical="top" wrapText="1"/>
    </xf>
    <xf numFmtId="0" fontId="56" fillId="0" borderId="0" xfId="237" applyFont="1" applyAlignment="1">
      <alignment horizontal="left" vertical="top" wrapText="1"/>
    </xf>
    <xf numFmtId="0" fontId="54" fillId="0" borderId="0" xfId="237" applyFont="1" applyAlignment="1">
      <alignment horizontal="left"/>
    </xf>
    <xf numFmtId="0" fontId="6" fillId="0" borderId="5" xfId="237" applyFont="1" applyBorder="1" applyAlignment="1">
      <alignment horizontal="left"/>
    </xf>
    <xf numFmtId="1" fontId="9" fillId="0" borderId="7" xfId="0" applyNumberFormat="1" applyFont="1" applyBorder="1" applyAlignment="1">
      <alignment horizontal="center" vertical="top"/>
    </xf>
    <xf numFmtId="0" fontId="9" fillId="0" borderId="9" xfId="0" applyFont="1" applyBorder="1"/>
    <xf numFmtId="0" fontId="18" fillId="0" borderId="4" xfId="0" applyFont="1" applyBorder="1"/>
    <xf numFmtId="0" fontId="18" fillId="0" borderId="1" xfId="0" applyFont="1" applyBorder="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18" fillId="0" borderId="9" xfId="0" applyFont="1" applyBorder="1"/>
    <xf numFmtId="0" fontId="9" fillId="0" borderId="40" xfId="0" applyFont="1" applyBorder="1"/>
    <xf numFmtId="0" fontId="9" fillId="0" borderId="41" xfId="0" applyFont="1" applyBorder="1"/>
    <xf numFmtId="1" fontId="9" fillId="0" borderId="41" xfId="0" quotePrefix="1" applyNumberFormat="1" applyFont="1" applyBorder="1" applyAlignment="1">
      <alignment horizontal="center" vertical="top"/>
    </xf>
    <xf numFmtId="0" fontId="10" fillId="0" borderId="43" xfId="0" applyFont="1" applyBorder="1"/>
    <xf numFmtId="0" fontId="0" fillId="0" borderId="46" xfId="0" applyBorder="1" applyAlignment="1">
      <alignment horizontal="center"/>
    </xf>
    <xf numFmtId="0" fontId="0" fillId="0" borderId="47" xfId="0" applyBorder="1" applyAlignment="1">
      <alignment horizontal="center"/>
    </xf>
    <xf numFmtId="1" fontId="9" fillId="0" borderId="47" xfId="0" quotePrefix="1" applyNumberFormat="1" applyFont="1" applyBorder="1" applyAlignment="1">
      <alignment horizontal="center" vertical="top"/>
    </xf>
    <xf numFmtId="0" fontId="9" fillId="0" borderId="47" xfId="0" applyFont="1" applyBorder="1" applyAlignment="1">
      <alignment vertical="top" wrapText="1"/>
    </xf>
    <xf numFmtId="0" fontId="1" fillId="0" borderId="43" xfId="510" applyFont="1" applyBorder="1"/>
    <xf numFmtId="0" fontId="9" fillId="0" borderId="44" xfId="0" applyFont="1" applyBorder="1"/>
    <xf numFmtId="0" fontId="18" fillId="0" borderId="47" xfId="0" applyFont="1" applyBorder="1" applyAlignment="1">
      <alignment vertical="center"/>
    </xf>
    <xf numFmtId="0" fontId="9" fillId="0" borderId="43" xfId="0" applyFont="1" applyBorder="1"/>
    <xf numFmtId="0" fontId="1" fillId="0" borderId="46" xfId="510" applyFont="1" applyBorder="1"/>
    <xf numFmtId="0" fontId="1" fillId="0" borderId="47" xfId="510" applyFont="1" applyBorder="1"/>
    <xf numFmtId="1" fontId="9" fillId="0" borderId="47" xfId="0" applyNumberFormat="1" applyFont="1" applyBorder="1" applyAlignment="1">
      <alignment horizontal="center" vertical="top"/>
    </xf>
    <xf numFmtId="0" fontId="9" fillId="0" borderId="47" xfId="0" applyFont="1" applyBorder="1" applyAlignment="1">
      <alignment vertical="top"/>
    </xf>
    <xf numFmtId="0" fontId="10" fillId="0" borderId="47" xfId="0" applyFont="1" applyBorder="1"/>
    <xf numFmtId="0" fontId="8" fillId="0" borderId="47" xfId="0" applyFont="1" applyBorder="1"/>
    <xf numFmtId="0" fontId="9" fillId="0" borderId="47" xfId="0" applyFont="1" applyBorder="1"/>
    <xf numFmtId="0" fontId="9" fillId="0" borderId="48" xfId="0" applyFont="1" applyBorder="1"/>
    <xf numFmtId="0" fontId="9" fillId="0" borderId="46" xfId="0" applyFont="1" applyBorder="1"/>
    <xf numFmtId="0" fontId="1" fillId="0" borderId="40" xfId="510" applyFont="1" applyBorder="1"/>
    <xf numFmtId="0" fontId="1" fillId="0" borderId="41" xfId="510" applyFont="1" applyBorder="1"/>
    <xf numFmtId="0" fontId="1" fillId="0" borderId="42" xfId="510" applyFont="1" applyBorder="1"/>
    <xf numFmtId="0" fontId="18" fillId="0" borderId="47" xfId="0" applyFont="1" applyBorder="1" applyAlignment="1">
      <alignment vertical="top"/>
    </xf>
    <xf numFmtId="0" fontId="9" fillId="0" borderId="42" xfId="0" applyFont="1" applyBorder="1"/>
    <xf numFmtId="0" fontId="10" fillId="0" borderId="43" xfId="510" applyFont="1" applyBorder="1"/>
    <xf numFmtId="0" fontId="0" fillId="0" borderId="43" xfId="0" applyBorder="1" applyAlignment="1">
      <alignment horizontal="center"/>
    </xf>
    <xf numFmtId="0" fontId="10" fillId="0" borderId="46" xfId="510" applyFont="1" applyBorder="1"/>
    <xf numFmtId="0" fontId="10" fillId="0" borderId="47" xfId="510" applyFont="1" applyBorder="1"/>
    <xf numFmtId="0" fontId="9" fillId="0" borderId="43" xfId="0" applyFont="1" applyBorder="1" applyAlignment="1">
      <alignment horizontal="left" vertical="top"/>
    </xf>
    <xf numFmtId="0" fontId="9" fillId="0" borderId="46" xfId="0" applyFont="1" applyBorder="1" applyAlignment="1">
      <alignment horizontal="left" vertical="top"/>
    </xf>
    <xf numFmtId="0" fontId="9" fillId="0" borderId="47" xfId="0" applyFont="1" applyBorder="1" applyAlignment="1">
      <alignment horizontal="center" vertical="top"/>
    </xf>
    <xf numFmtId="0" fontId="0" fillId="0" borderId="47" xfId="0" applyBorder="1"/>
    <xf numFmtId="0" fontId="9" fillId="0" borderId="47" xfId="0" applyFont="1" applyBorder="1" applyAlignment="1">
      <alignment horizontal="left" vertical="top"/>
    </xf>
    <xf numFmtId="0" fontId="8" fillId="0" borderId="47" xfId="0" applyFont="1" applyBorder="1" applyAlignment="1">
      <alignment vertical="top"/>
    </xf>
    <xf numFmtId="0" fontId="8" fillId="0" borderId="47" xfId="0" applyFont="1" applyBorder="1" applyAlignment="1">
      <alignment horizontal="left" vertical="top"/>
    </xf>
    <xf numFmtId="0" fontId="8" fillId="0" borderId="41" xfId="0" applyFont="1" applyBorder="1" applyAlignment="1">
      <alignment horizontal="left" vertical="top"/>
    </xf>
    <xf numFmtId="0" fontId="9" fillId="0" borderId="41" xfId="0" applyFont="1" applyBorder="1" applyAlignment="1">
      <alignment horizontal="left" vertical="top"/>
    </xf>
    <xf numFmtId="0" fontId="8" fillId="0" borderId="43" xfId="0" applyFont="1" applyBorder="1" applyAlignment="1">
      <alignment horizontal="left" vertical="top"/>
    </xf>
    <xf numFmtId="0" fontId="71" fillId="0" borderId="0" xfId="0" applyFont="1"/>
    <xf numFmtId="0" fontId="18" fillId="0" borderId="43" xfId="0" applyFont="1" applyBorder="1"/>
    <xf numFmtId="0" fontId="0" fillId="0" borderId="43" xfId="0" applyBorder="1"/>
    <xf numFmtId="1" fontId="8" fillId="0" borderId="47" xfId="0" applyNumberFormat="1" applyFont="1" applyBorder="1" applyAlignment="1">
      <alignment vertical="top"/>
    </xf>
    <xf numFmtId="0" fontId="8" fillId="0" borderId="40" xfId="0" applyFont="1" applyBorder="1" applyAlignment="1">
      <alignment horizontal="left" vertical="top"/>
    </xf>
    <xf numFmtId="0" fontId="24" fillId="0" borderId="41" xfId="0" applyFont="1" applyBorder="1" applyAlignment="1">
      <alignment horizontal="left" vertical="top"/>
    </xf>
    <xf numFmtId="0" fontId="10" fillId="0" borderId="41" xfId="0" quotePrefix="1" applyFont="1" applyBorder="1" applyAlignment="1">
      <alignment horizontal="center" vertical="top"/>
    </xf>
    <xf numFmtId="0" fontId="8" fillId="0" borderId="41" xfId="0" applyFont="1" applyBorder="1"/>
    <xf numFmtId="0" fontId="8" fillId="0" borderId="41" xfId="0" applyFont="1" applyBorder="1" applyAlignment="1">
      <alignment horizontal="center"/>
    </xf>
    <xf numFmtId="0" fontId="8" fillId="0" borderId="41" xfId="0" applyFont="1" applyBorder="1" applyAlignment="1">
      <alignment vertical="top"/>
    </xf>
    <xf numFmtId="0" fontId="8" fillId="0" borderId="43" xfId="0" applyFont="1" applyBorder="1"/>
    <xf numFmtId="0" fontId="10" fillId="0" borderId="46" xfId="0" applyFont="1" applyBorder="1"/>
    <xf numFmtId="0" fontId="1" fillId="0" borderId="44" xfId="510" applyFont="1" applyBorder="1"/>
    <xf numFmtId="0" fontId="1" fillId="0" borderId="41" xfId="0" quotePrefix="1" applyFont="1" applyBorder="1" applyAlignment="1">
      <alignment horizontal="center" vertical="top"/>
    </xf>
    <xf numFmtId="0" fontId="20" fillId="0" borderId="40" xfId="0" applyFont="1" applyBorder="1"/>
    <xf numFmtId="0" fontId="9" fillId="0" borderId="41" xfId="0" applyFont="1" applyBorder="1" applyAlignment="1">
      <alignment horizontal="center" vertical="top"/>
    </xf>
    <xf numFmtId="0" fontId="9" fillId="0" borderId="41" xfId="0" applyFont="1" applyBorder="1" applyAlignment="1">
      <alignment vertical="top" wrapText="1"/>
    </xf>
    <xf numFmtId="0" fontId="9" fillId="0" borderId="41" xfId="0" applyFont="1" applyBorder="1" applyAlignment="1">
      <alignment horizontal="left" vertical="top" wrapText="1"/>
    </xf>
    <xf numFmtId="0" fontId="1" fillId="0" borderId="0" xfId="237" applyFont="1"/>
    <xf numFmtId="0" fontId="6" fillId="0" borderId="0" xfId="237" applyFont="1" applyAlignment="1">
      <alignment horizontal="left" vertical="top"/>
    </xf>
    <xf numFmtId="0" fontId="6" fillId="0" borderId="0" xfId="237" applyFont="1" applyAlignment="1">
      <alignment vertical="top"/>
    </xf>
    <xf numFmtId="0" fontId="6" fillId="0" borderId="51" xfId="237" applyFont="1" applyBorder="1"/>
    <xf numFmtId="0" fontId="6" fillId="0" borderId="44" xfId="237" applyFont="1" applyBorder="1"/>
    <xf numFmtId="0" fontId="54" fillId="0" borderId="44" xfId="237" applyFont="1" applyBorder="1" applyAlignment="1">
      <alignment vertical="center" wrapText="1"/>
    </xf>
    <xf numFmtId="0" fontId="6" fillId="0" borderId="52" xfId="237" applyFont="1" applyBorder="1"/>
    <xf numFmtId="0" fontId="24" fillId="0" borderId="41" xfId="237" applyFont="1" applyBorder="1" applyAlignment="1">
      <alignment horizontal="center"/>
    </xf>
    <xf numFmtId="0" fontId="6" fillId="0" borderId="47" xfId="237" applyFont="1" applyBorder="1" applyAlignment="1">
      <alignment horizontal="center"/>
    </xf>
    <xf numFmtId="0" fontId="6" fillId="0" borderId="48" xfId="237" applyFont="1" applyBorder="1" applyAlignment="1">
      <alignment horizontal="center"/>
    </xf>
    <xf numFmtId="0" fontId="6" fillId="0" borderId="41" xfId="237" applyFont="1" applyBorder="1" applyAlignment="1">
      <alignment horizontal="center"/>
    </xf>
    <xf numFmtId="0" fontId="6" fillId="0" borderId="53" xfId="237" applyFont="1" applyBorder="1" applyAlignment="1">
      <alignment horizontal="center"/>
    </xf>
    <xf numFmtId="0" fontId="1" fillId="0" borderId="41" xfId="237" applyFont="1" applyBorder="1"/>
    <xf numFmtId="0" fontId="1" fillId="0" borderId="42" xfId="237" applyFont="1" applyBorder="1"/>
    <xf numFmtId="0" fontId="1" fillId="0" borderId="47" xfId="237" applyFont="1" applyBorder="1"/>
    <xf numFmtId="0" fontId="1" fillId="0" borderId="48" xfId="237" applyFont="1" applyBorder="1"/>
    <xf numFmtId="0" fontId="1" fillId="0" borderId="53" xfId="237" applyFont="1" applyBorder="1"/>
    <xf numFmtId="0" fontId="1" fillId="0" borderId="54" xfId="237" applyFont="1" applyBorder="1"/>
    <xf numFmtId="0" fontId="96" fillId="0" borderId="40" xfId="237" applyFont="1" applyBorder="1" applyAlignment="1">
      <alignment horizontal="left"/>
    </xf>
    <xf numFmtId="0" fontId="96" fillId="0" borderId="46" xfId="237" applyFont="1" applyBorder="1" applyAlignment="1">
      <alignment horizontal="left"/>
    </xf>
    <xf numFmtId="0" fontId="97" fillId="0" borderId="40" xfId="237" applyFont="1" applyBorder="1" applyAlignment="1">
      <alignment horizontal="left"/>
    </xf>
    <xf numFmtId="0" fontId="97" fillId="0" borderId="5" xfId="237" applyFont="1" applyBorder="1" applyAlignment="1">
      <alignment horizontal="center"/>
    </xf>
    <xf numFmtId="0" fontId="1" fillId="0" borderId="0" xfId="0" applyFont="1" applyAlignment="1">
      <alignment vertical="top" wrapText="1"/>
    </xf>
    <xf numFmtId="0" fontId="0" fillId="0" borderId="6" xfId="0" applyBorder="1"/>
    <xf numFmtId="0" fontId="8" fillId="0" borderId="0" xfId="0" applyFont="1" applyAlignment="1">
      <alignment horizontal="center" wrapText="1"/>
    </xf>
    <xf numFmtId="169" fontId="16" fillId="0" borderId="0" xfId="0" applyNumberFormat="1" applyFont="1" applyAlignment="1">
      <alignment horizontal="center" vertical="center"/>
    </xf>
    <xf numFmtId="0" fontId="98" fillId="0" borderId="0" xfId="0" applyFont="1" applyAlignment="1">
      <alignment horizontal="left" vertical="top"/>
    </xf>
    <xf numFmtId="0" fontId="8" fillId="0" borderId="44" xfId="0" applyFont="1" applyBorder="1" applyAlignment="1">
      <alignment horizontal="center"/>
    </xf>
    <xf numFmtId="0" fontId="8" fillId="0" borderId="47" xfId="0" applyFont="1" applyBorder="1" applyAlignment="1">
      <alignment horizontal="center"/>
    </xf>
    <xf numFmtId="0" fontId="8" fillId="0" borderId="48" xfId="0" applyFont="1" applyBorder="1" applyAlignment="1">
      <alignment horizontal="center"/>
    </xf>
    <xf numFmtId="0" fontId="8" fillId="0" borderId="44" xfId="0" applyFont="1" applyBorder="1" applyAlignment="1">
      <alignment horizontal="center" vertical="top"/>
    </xf>
    <xf numFmtId="0" fontId="8" fillId="0" borderId="42" xfId="0" applyFont="1" applyBorder="1" applyAlignment="1">
      <alignment horizontal="center"/>
    </xf>
    <xf numFmtId="0" fontId="51" fillId="0" borderId="0" xfId="0" applyFont="1" applyAlignment="1">
      <alignment vertical="top" wrapText="1"/>
    </xf>
    <xf numFmtId="0" fontId="10" fillId="0" borderId="41" xfId="0" applyFont="1" applyBorder="1"/>
    <xf numFmtId="0" fontId="6" fillId="0" borderId="0" xfId="237" applyFont="1" applyAlignment="1">
      <alignment wrapText="1"/>
    </xf>
    <xf numFmtId="0" fontId="55" fillId="0" borderId="0" xfId="237" applyFont="1" applyAlignment="1">
      <alignment horizontal="center" vertical="top"/>
    </xf>
    <xf numFmtId="0" fontId="90" fillId="0" borderId="41" xfId="237" applyFont="1" applyBorder="1" applyAlignment="1">
      <alignment horizontal="left"/>
    </xf>
    <xf numFmtId="0" fontId="96" fillId="0" borderId="41" xfId="237" applyFont="1" applyBorder="1" applyAlignment="1">
      <alignment horizontal="left"/>
    </xf>
    <xf numFmtId="0" fontId="1" fillId="0" borderId="55" xfId="237" applyFont="1" applyBorder="1"/>
    <xf numFmtId="4" fontId="10" fillId="0" borderId="0" xfId="0" applyNumberFormat="1" applyFont="1" applyAlignment="1">
      <alignment vertical="top" wrapText="1"/>
    </xf>
    <xf numFmtId="0" fontId="8"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1" fillId="0" borderId="0" xfId="0" applyNumberFormat="1" applyFont="1" applyAlignment="1">
      <alignment horizontal="center"/>
    </xf>
    <xf numFmtId="4" fontId="1" fillId="0" borderId="0" xfId="0" applyNumberFormat="1" applyFont="1"/>
    <xf numFmtId="0" fontId="0" fillId="42" borderId="59" xfId="0" applyFill="1" applyBorder="1"/>
    <xf numFmtId="0" fontId="0" fillId="42" borderId="60" xfId="0" applyFill="1" applyBorder="1"/>
    <xf numFmtId="0" fontId="0" fillId="42" borderId="61" xfId="0" applyFill="1" applyBorder="1"/>
    <xf numFmtId="0" fontId="0" fillId="42" borderId="62" xfId="0" applyFill="1" applyBorder="1"/>
    <xf numFmtId="0" fontId="0" fillId="42" borderId="0" xfId="0" applyFill="1"/>
    <xf numFmtId="0" fontId="0" fillId="42" borderId="63" xfId="0" applyFill="1" applyBorder="1"/>
    <xf numFmtId="0" fontId="0" fillId="42" borderId="65" xfId="0" applyFill="1" applyBorder="1"/>
    <xf numFmtId="0" fontId="0" fillId="42" borderId="66" xfId="0" applyFill="1" applyBorder="1"/>
    <xf numFmtId="0" fontId="0" fillId="42" borderId="64" xfId="0" applyFill="1" applyBorder="1"/>
    <xf numFmtId="168" fontId="0" fillId="0" borderId="3" xfId="0" applyNumberFormat="1" applyBorder="1"/>
    <xf numFmtId="168" fontId="0" fillId="0" borderId="4" xfId="0" applyNumberFormat="1" applyBorder="1"/>
    <xf numFmtId="168" fontId="0" fillId="0" borderId="8" xfId="0" applyNumberFormat="1" applyBorder="1"/>
    <xf numFmtId="0" fontId="9" fillId="0" borderId="47" xfId="0" applyFont="1" applyBorder="1" applyAlignment="1">
      <alignment horizontal="left" vertical="top" wrapText="1"/>
    </xf>
    <xf numFmtId="0" fontId="1" fillId="0" borderId="0" xfId="0" applyFont="1" applyAlignment="1">
      <alignment wrapText="1"/>
    </xf>
    <xf numFmtId="0" fontId="0" fillId="0" borderId="5" xfId="0" applyBorder="1" applyAlignment="1">
      <alignment horizontal="left" wrapText="1"/>
    </xf>
    <xf numFmtId="10" fontId="1" fillId="0" borderId="0" xfId="0" applyNumberFormat="1" applyFont="1" applyAlignment="1">
      <alignment horizontal="center"/>
    </xf>
    <xf numFmtId="168" fontId="6" fillId="43" borderId="0" xfId="0" applyNumberFormat="1" applyFont="1" applyFill="1"/>
    <xf numFmtId="2" fontId="10" fillId="0" borderId="12" xfId="237" applyNumberFormat="1" applyFont="1" applyBorder="1" applyAlignment="1">
      <alignment horizontal="center"/>
    </xf>
    <xf numFmtId="3" fontId="1" fillId="0" borderId="0" xfId="237" applyNumberFormat="1" applyFont="1"/>
    <xf numFmtId="168" fontId="1" fillId="0" borderId="0" xfId="237" applyNumberFormat="1" applyFont="1"/>
    <xf numFmtId="3" fontId="1" fillId="0" borderId="5" xfId="237" applyNumberFormat="1" applyFont="1" applyBorder="1"/>
    <xf numFmtId="168" fontId="1" fillId="0" borderId="0" xfId="0" applyNumberFormat="1" applyFont="1"/>
    <xf numFmtId="168" fontId="10" fillId="0" borderId="12" xfId="237" applyNumberFormat="1" applyFont="1" applyBorder="1" applyAlignment="1">
      <alignment horizontal="center"/>
    </xf>
    <xf numFmtId="10" fontId="10" fillId="0" borderId="12" xfId="237" applyNumberFormat="1" applyFont="1" applyBorder="1" applyAlignment="1">
      <alignment horizontal="center"/>
    </xf>
    <xf numFmtId="3" fontId="1" fillId="0" borderId="0" xfId="0" applyNumberFormat="1" applyFont="1"/>
    <xf numFmtId="3" fontId="1" fillId="0" borderId="5" xfId="0" applyNumberFormat="1" applyFont="1" applyBorder="1"/>
    <xf numFmtId="164" fontId="1" fillId="0" borderId="0" xfId="535" applyNumberFormat="1" applyFont="1" applyAlignment="1">
      <alignment vertical="top" wrapText="1"/>
    </xf>
    <xf numFmtId="0" fontId="8" fillId="0" borderId="13" xfId="0" applyFont="1" applyBorder="1"/>
    <xf numFmtId="0" fontId="9" fillId="0" borderId="13" xfId="0" applyFont="1" applyBorder="1"/>
    <xf numFmtId="0" fontId="9" fillId="0" borderId="68" xfId="0" applyFont="1" applyBorder="1"/>
    <xf numFmtId="0" fontId="8" fillId="0" borderId="48" xfId="0" applyFont="1" applyBorder="1" applyAlignment="1">
      <alignment vertical="top"/>
    </xf>
    <xf numFmtId="0" fontId="0" fillId="0" borderId="46" xfId="0" applyBorder="1"/>
    <xf numFmtId="168" fontId="1" fillId="0" borderId="0" xfId="0" applyNumberFormat="1" applyFont="1" applyAlignment="1">
      <alignment horizontal="right"/>
    </xf>
    <xf numFmtId="0" fontId="1" fillId="0" borderId="9" xfId="0" applyFont="1" applyBorder="1" applyAlignment="1">
      <alignment horizontal="left"/>
    </xf>
    <xf numFmtId="0" fontId="1" fillId="0" borderId="3" xfId="0" applyFont="1" applyBorder="1" applyAlignment="1">
      <alignment horizontal="center"/>
    </xf>
    <xf numFmtId="0" fontId="1" fillId="0" borderId="4" xfId="0" applyFont="1" applyBorder="1" applyAlignment="1">
      <alignment horizontal="center"/>
    </xf>
    <xf numFmtId="0" fontId="1" fillId="0" borderId="8" xfId="0" applyFont="1" applyBorder="1" applyAlignment="1">
      <alignment horizontal="center"/>
    </xf>
    <xf numFmtId="0" fontId="0" fillId="0" borderId="13" xfId="0" applyBorder="1" applyAlignment="1">
      <alignment horizontal="center"/>
    </xf>
    <xf numFmtId="0" fontId="1" fillId="0" borderId="9" xfId="0" applyFont="1" applyBorder="1"/>
    <xf numFmtId="0" fontId="91" fillId="0" borderId="0" xfId="0" applyFont="1"/>
    <xf numFmtId="0" fontId="1" fillId="0" borderId="12" xfId="510" applyFont="1" applyBorder="1"/>
    <xf numFmtId="0" fontId="1" fillId="0" borderId="8" xfId="510" applyFont="1" applyBorder="1"/>
    <xf numFmtId="0" fontId="8" fillId="0" borderId="8" xfId="0" applyFont="1" applyBorder="1"/>
    <xf numFmtId="0" fontId="8" fillId="0" borderId="3" xfId="535" applyFont="1" applyBorder="1"/>
    <xf numFmtId="0" fontId="8" fillId="0" borderId="4" xfId="535" applyFont="1" applyBorder="1"/>
    <xf numFmtId="0" fontId="8" fillId="0" borderId="8" xfId="535" applyFont="1" applyBorder="1"/>
    <xf numFmtId="0" fontId="8" fillId="0" borderId="0" xfId="535" applyFont="1"/>
    <xf numFmtId="0" fontId="1" fillId="0" borderId="0" xfId="535" applyFont="1"/>
    <xf numFmtId="0" fontId="9" fillId="0" borderId="0" xfId="535" applyFont="1" applyAlignment="1">
      <alignment horizontal="center"/>
    </xf>
    <xf numFmtId="0" fontId="9" fillId="0" borderId="5" xfId="535" applyFont="1" applyBorder="1" applyAlignment="1">
      <alignment horizontal="right"/>
    </xf>
    <xf numFmtId="0" fontId="9" fillId="0" borderId="5" xfId="535" applyFont="1" applyBorder="1" applyAlignment="1">
      <alignment horizontal="left"/>
    </xf>
    <xf numFmtId="1" fontId="1" fillId="0" borderId="18" xfId="535" applyNumberFormat="1" applyFont="1" applyBorder="1"/>
    <xf numFmtId="1" fontId="8" fillId="0" borderId="15" xfId="535" applyNumberFormat="1" applyFont="1" applyBorder="1"/>
    <xf numFmtId="170" fontId="8" fillId="0" borderId="12" xfId="535" applyNumberFormat="1" applyFont="1" applyBorder="1"/>
    <xf numFmtId="1" fontId="1" fillId="0" borderId="12" xfId="535" applyNumberFormat="1" applyFont="1" applyBorder="1"/>
    <xf numFmtId="170" fontId="1" fillId="0" borderId="12" xfId="535" applyNumberFormat="1" applyFont="1" applyBorder="1"/>
    <xf numFmtId="171" fontId="1" fillId="0" borderId="12" xfId="535" applyNumberFormat="1" applyFont="1" applyBorder="1"/>
    <xf numFmtId="0" fontId="20" fillId="0" borderId="11" xfId="510" applyFont="1" applyBorder="1"/>
    <xf numFmtId="0" fontId="1" fillId="0" borderId="13" xfId="510" quotePrefix="1" applyFont="1" applyBorder="1"/>
    <xf numFmtId="0" fontId="8" fillId="0" borderId="13" xfId="510" applyFont="1" applyBorder="1" applyAlignment="1">
      <alignment horizontal="center" vertical="top"/>
    </xf>
    <xf numFmtId="0" fontId="9" fillId="0" borderId="7" xfId="510" applyFont="1" applyBorder="1" applyAlignment="1">
      <alignment horizontal="left" vertical="top" wrapText="1"/>
    </xf>
    <xf numFmtId="0" fontId="9" fillId="0" borderId="13" xfId="510" applyFont="1" applyBorder="1" applyAlignment="1">
      <alignment horizontal="center" vertical="top" wrapText="1"/>
    </xf>
    <xf numFmtId="0" fontId="9" fillId="0" borderId="1" xfId="510" applyFont="1" applyBorder="1" applyAlignment="1">
      <alignment horizontal="left" vertical="top" wrapText="1"/>
    </xf>
    <xf numFmtId="0" fontId="9" fillId="0" borderId="2" xfId="510" applyFont="1" applyBorder="1" applyAlignment="1">
      <alignment horizontal="center" vertical="top" wrapText="1"/>
    </xf>
    <xf numFmtId="0" fontId="9" fillId="0" borderId="0" xfId="510" applyFont="1" applyAlignment="1">
      <alignment horizontal="center" vertical="top" wrapText="1"/>
    </xf>
    <xf numFmtId="0" fontId="9" fillId="0" borderId="9" xfId="510" applyFont="1" applyBorder="1" applyAlignment="1">
      <alignment horizontal="left" vertical="top" wrapText="1"/>
    </xf>
    <xf numFmtId="0" fontId="9" fillId="0" borderId="5" xfId="510" applyFont="1" applyBorder="1" applyAlignment="1">
      <alignment horizontal="center" vertical="top" wrapText="1"/>
    </xf>
    <xf numFmtId="0" fontId="18" fillId="0" borderId="9" xfId="510" applyFont="1" applyBorder="1" applyAlignment="1">
      <alignment horizontal="left" vertical="top" wrapText="1"/>
    </xf>
    <xf numFmtId="0" fontId="18" fillId="0" borderId="7" xfId="510" applyFont="1" applyBorder="1" applyAlignment="1">
      <alignment horizontal="left" vertical="top" wrapText="1"/>
    </xf>
    <xf numFmtId="0" fontId="18" fillId="0" borderId="0" xfId="510" applyFont="1" applyAlignment="1">
      <alignment horizontal="center" vertical="top" wrapText="1"/>
    </xf>
    <xf numFmtId="0" fontId="46" fillId="0" borderId="9" xfId="510" applyFont="1" applyBorder="1" applyAlignment="1">
      <alignment vertical="top"/>
    </xf>
    <xf numFmtId="0" fontId="28" fillId="0" borderId="7" xfId="510" applyFont="1" applyBorder="1" applyAlignment="1">
      <alignment vertical="center" wrapText="1"/>
    </xf>
    <xf numFmtId="0" fontId="28" fillId="0" borderId="0" xfId="510" applyFont="1" applyAlignment="1">
      <alignment vertical="center" wrapText="1"/>
    </xf>
    <xf numFmtId="0" fontId="28" fillId="0" borderId="13" xfId="510" applyFont="1" applyBorder="1" applyAlignment="1">
      <alignment vertical="center" wrapText="1"/>
    </xf>
    <xf numFmtId="0" fontId="28" fillId="0" borderId="9" xfId="510" applyFont="1" applyBorder="1" applyAlignment="1">
      <alignment vertical="center" wrapText="1"/>
    </xf>
    <xf numFmtId="0" fontId="28" fillId="0" borderId="5" xfId="510" applyFont="1" applyBorder="1" applyAlignment="1">
      <alignment vertical="center" wrapText="1"/>
    </xf>
    <xf numFmtId="0" fontId="28" fillId="0" borderId="10" xfId="510" applyFont="1" applyBorder="1" applyAlignment="1">
      <alignment vertical="center" wrapText="1"/>
    </xf>
    <xf numFmtId="0" fontId="8" fillId="0" borderId="11" xfId="510" applyFont="1" applyBorder="1" applyAlignment="1">
      <alignment horizontal="right"/>
    </xf>
    <xf numFmtId="0" fontId="18" fillId="0" borderId="4" xfId="510" applyFont="1" applyBorder="1" applyAlignment="1">
      <alignment horizontal="right" vertical="top" wrapText="1"/>
    </xf>
    <xf numFmtId="0" fontId="21" fillId="0" borderId="0" xfId="0" applyFont="1" applyAlignment="1">
      <alignment horizontal="left"/>
    </xf>
    <xf numFmtId="0" fontId="1" fillId="0" borderId="0" xfId="223" applyFont="1" applyAlignment="1">
      <alignment horizontal="center"/>
    </xf>
    <xf numFmtId="0" fontId="42" fillId="0" borderId="0" xfId="223" applyFont="1" applyAlignment="1">
      <alignment horizontal="center"/>
    </xf>
    <xf numFmtId="0" fontId="1" fillId="0" borderId="0" xfId="223" applyFont="1" applyAlignment="1">
      <alignment horizontal="left" vertical="top" wrapText="1"/>
    </xf>
    <xf numFmtId="0" fontId="38" fillId="2" borderId="12" xfId="535" applyFont="1" applyFill="1" applyBorder="1" applyAlignment="1">
      <alignment horizontal="left" vertical="top" wrapText="1"/>
    </xf>
    <xf numFmtId="0" fontId="24" fillId="0" borderId="12" xfId="223" applyFont="1" applyBorder="1" applyAlignment="1">
      <alignment horizontal="right" vertical="top" wrapText="1"/>
    </xf>
    <xf numFmtId="0" fontId="45" fillId="0" borderId="12" xfId="223" applyFont="1" applyBorder="1" applyAlignment="1">
      <alignment horizontal="right" vertical="top" wrapText="1"/>
    </xf>
    <xf numFmtId="0" fontId="24" fillId="0" borderId="12" xfId="223" applyFont="1" applyBorder="1" applyAlignment="1">
      <alignment horizontal="right" vertical="top"/>
    </xf>
    <xf numFmtId="0" fontId="8" fillId="0" borderId="12" xfId="535" applyFont="1" applyBorder="1" applyAlignment="1">
      <alignment horizontal="right" vertical="top" wrapText="1"/>
    </xf>
    <xf numFmtId="0" fontId="1" fillId="0" borderId="12" xfId="535" applyFont="1" applyBorder="1" applyAlignment="1">
      <alignment horizontal="right" vertical="top" wrapText="1"/>
    </xf>
    <xf numFmtId="0" fontId="1" fillId="0" borderId="12" xfId="535" applyFont="1" applyBorder="1" applyAlignment="1" applyProtection="1">
      <alignment horizontal="right" vertical="top" wrapText="1"/>
      <protection locked="0"/>
    </xf>
    <xf numFmtId="0" fontId="19" fillId="0" borderId="12" xfId="535" applyFont="1" applyBorder="1" applyAlignment="1">
      <alignment horizontal="right" vertical="top" wrapText="1"/>
    </xf>
    <xf numFmtId="0" fontId="24" fillId="0" borderId="12" xfId="535" applyFont="1" applyBorder="1" applyAlignment="1">
      <alignment horizontal="right" vertical="top"/>
    </xf>
    <xf numFmtId="0" fontId="1" fillId="7" borderId="12" xfId="535"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8" fontId="10" fillId="0" borderId="12" xfId="0" applyNumberFormat="1" applyFont="1" applyBorder="1" applyAlignment="1" applyProtection="1">
      <alignment vertical="top" wrapText="1"/>
      <protection locked="0"/>
    </xf>
    <xf numFmtId="0" fontId="100" fillId="0" borderId="0" xfId="536" applyFont="1"/>
    <xf numFmtId="0" fontId="100" fillId="0" borderId="0" xfId="536" applyFont="1" applyAlignment="1">
      <alignment wrapText="1"/>
    </xf>
    <xf numFmtId="0" fontId="101" fillId="0" borderId="0" xfId="536" applyFont="1"/>
    <xf numFmtId="172" fontId="102" fillId="0" borderId="0" xfId="537" applyNumberFormat="1" applyFont="1"/>
    <xf numFmtId="0" fontId="103" fillId="0" borderId="0" xfId="536" applyFont="1" applyAlignment="1">
      <alignment vertical="center" wrapText="1"/>
    </xf>
    <xf numFmtId="49" fontId="100" fillId="0" borderId="0" xfId="536" applyNumberFormat="1" applyFont="1" applyAlignment="1">
      <alignment horizontal="center"/>
    </xf>
    <xf numFmtId="168" fontId="100" fillId="0" borderId="0" xfId="538" applyNumberFormat="1" applyFont="1" applyAlignment="1">
      <alignment vertical="center"/>
    </xf>
    <xf numFmtId="173" fontId="100" fillId="0" borderId="0" xfId="536" applyNumberFormat="1" applyFont="1"/>
    <xf numFmtId="0" fontId="100" fillId="0" borderId="0" xfId="536" applyFont="1" applyAlignment="1">
      <alignment horizontal="center"/>
    </xf>
    <xf numFmtId="0" fontId="105" fillId="0" borderId="0" xfId="536" applyFont="1"/>
    <xf numFmtId="0" fontId="106" fillId="0" borderId="0" xfId="536" applyFont="1"/>
    <xf numFmtId="0" fontId="100" fillId="0" borderId="0" xfId="536" applyFont="1" applyAlignment="1">
      <alignment horizontal="left"/>
    </xf>
    <xf numFmtId="2" fontId="100" fillId="0" borderId="0" xfId="536" applyNumberFormat="1" applyFont="1" applyAlignment="1">
      <alignment horizontal="center"/>
    </xf>
    <xf numFmtId="172" fontId="100" fillId="0" borderId="0" xfId="536" applyNumberFormat="1" applyFont="1"/>
    <xf numFmtId="7" fontId="101" fillId="0" borderId="0" xfId="536" applyNumberFormat="1" applyFont="1"/>
    <xf numFmtId="170" fontId="102" fillId="0" borderId="0" xfId="538" applyNumberFormat="1" applyFont="1"/>
    <xf numFmtId="0" fontId="100" fillId="0" borderId="0" xfId="536" applyFont="1" applyAlignment="1">
      <alignment vertical="top" wrapText="1"/>
    </xf>
    <xf numFmtId="0" fontId="1" fillId="42" borderId="0" xfId="535" applyFont="1" applyFill="1"/>
    <xf numFmtId="0" fontId="1" fillId="42" borderId="0" xfId="727" applyFont="1" applyFill="1"/>
    <xf numFmtId="5" fontId="100" fillId="43" borderId="5" xfId="137" applyNumberFormat="1" applyFont="1" applyFill="1" applyBorder="1" applyProtection="1">
      <protection locked="0"/>
    </xf>
    <xf numFmtId="0" fontId="101" fillId="0" borderId="0" xfId="536" applyFont="1" applyAlignment="1">
      <alignment wrapText="1"/>
    </xf>
    <xf numFmtId="0" fontId="107" fillId="0" borderId="0" xfId="0" applyFont="1"/>
    <xf numFmtId="0" fontId="1" fillId="0" borderId="0" xfId="237" applyFont="1" applyAlignment="1">
      <alignment vertical="top" wrapText="1"/>
    </xf>
    <xf numFmtId="0" fontId="8" fillId="0" borderId="0" xfId="0" applyFont="1" applyAlignment="1">
      <alignment vertical="center"/>
    </xf>
    <xf numFmtId="0" fontId="1" fillId="0" borderId="0" xfId="0" applyFont="1" applyAlignment="1">
      <alignment horizontal="right"/>
    </xf>
    <xf numFmtId="1" fontId="1" fillId="0" borderId="0" xfId="0" applyNumberFormat="1" applyFont="1" applyAlignment="1">
      <alignment horizontal="center"/>
    </xf>
    <xf numFmtId="168" fontId="1" fillId="0" borderId="0" xfId="0" applyNumberFormat="1" applyFont="1" applyAlignment="1">
      <alignment horizontal="center"/>
    </xf>
    <xf numFmtId="0" fontId="1" fillId="0" borderId="0" xfId="237" applyFont="1" applyAlignment="1">
      <alignment horizontal="left"/>
    </xf>
    <xf numFmtId="0" fontId="1" fillId="0" borderId="0" xfId="0" applyFont="1" applyAlignment="1">
      <alignment vertical="top"/>
    </xf>
    <xf numFmtId="0" fontId="8" fillId="0" borderId="0" xfId="727" applyFont="1" applyAlignment="1">
      <alignment vertical="top"/>
    </xf>
    <xf numFmtId="0" fontId="8" fillId="0" borderId="0" xfId="212" applyFont="1"/>
    <xf numFmtId="0" fontId="1" fillId="0" borderId="0" xfId="727" applyFont="1" applyAlignment="1">
      <alignment vertical="top"/>
    </xf>
    <xf numFmtId="0" fontId="1" fillId="0" borderId="0" xfId="727" applyFont="1" applyAlignment="1">
      <alignment vertical="top" wrapText="1"/>
    </xf>
    <xf numFmtId="0" fontId="1" fillId="0" borderId="0" xfId="727" applyFont="1"/>
    <xf numFmtId="0" fontId="8" fillId="0" borderId="0" xfId="727" applyFont="1"/>
    <xf numFmtId="0" fontId="10" fillId="0" borderId="0" xfId="223" applyFont="1" applyAlignment="1">
      <alignment vertical="top" wrapText="1"/>
    </xf>
    <xf numFmtId="0" fontId="95" fillId="0" borderId="0" xfId="0" applyFont="1"/>
    <xf numFmtId="0" fontId="6" fillId="43" borderId="0" xfId="237" applyFont="1" applyFill="1"/>
    <xf numFmtId="3" fontId="67" fillId="43" borderId="5" xfId="237" applyNumberFormat="1" applyFont="1" applyFill="1" applyBorder="1"/>
    <xf numFmtId="0" fontId="109" fillId="0" borderId="0" xfId="0" applyFont="1"/>
    <xf numFmtId="0" fontId="111" fillId="0" borderId="0" xfId="0" applyFont="1"/>
    <xf numFmtId="0" fontId="112" fillId="0" borderId="0" xfId="0" applyFont="1" applyAlignment="1">
      <alignment horizontal="center"/>
    </xf>
    <xf numFmtId="0" fontId="10" fillId="0" borderId="0" xfId="237" applyFont="1" applyAlignment="1">
      <alignment horizontal="right"/>
    </xf>
    <xf numFmtId="0" fontId="10" fillId="43" borderId="3" xfId="223" applyFont="1" applyFill="1" applyBorder="1"/>
    <xf numFmtId="3" fontId="6" fillId="43" borderId="12" xfId="0" applyNumberFormat="1" applyFont="1" applyFill="1" applyBorder="1" applyProtection="1">
      <protection locked="0"/>
    </xf>
    <xf numFmtId="3" fontId="6" fillId="0" borderId="12" xfId="0" applyNumberFormat="1" applyFont="1" applyBorder="1" applyAlignment="1" applyProtection="1">
      <alignment horizontal="center"/>
      <protection locked="0"/>
    </xf>
    <xf numFmtId="3" fontId="6" fillId="0" borderId="12" xfId="0" applyNumberFormat="1" applyFont="1" applyBorder="1" applyAlignment="1">
      <alignment horizontal="center"/>
    </xf>
    <xf numFmtId="0" fontId="54" fillId="0" borderId="0" xfId="0" applyFont="1" applyAlignment="1">
      <alignment horizontal="center" vertical="center"/>
    </xf>
    <xf numFmtId="0" fontId="113" fillId="0" borderId="0" xfId="0" applyFont="1" applyAlignment="1">
      <alignment horizontal="center" vertical="center"/>
    </xf>
    <xf numFmtId="0" fontId="10" fillId="43" borderId="5" xfId="0" applyFont="1" applyFill="1" applyBorder="1" applyAlignment="1" applyProtection="1">
      <alignment vertical="top" wrapText="1"/>
      <protection locked="0"/>
    </xf>
    <xf numFmtId="3" fontId="33" fillId="4" borderId="0" xfId="510" applyNumberFormat="1" applyFont="1" applyFill="1" applyAlignment="1">
      <alignment vertical="center" wrapText="1"/>
    </xf>
    <xf numFmtId="168" fontId="10" fillId="0" borderId="3" xfId="237" applyNumberFormat="1" applyFont="1" applyBorder="1" applyAlignment="1">
      <alignment vertical="top"/>
    </xf>
    <xf numFmtId="168" fontId="10" fillId="0" borderId="4" xfId="237" applyNumberFormat="1" applyFont="1" applyBorder="1" applyAlignment="1">
      <alignment vertical="top"/>
    </xf>
    <xf numFmtId="2" fontId="6" fillId="0" borderId="27" xfId="237" applyNumberFormat="1" applyFont="1" applyBorder="1" applyAlignment="1">
      <alignment vertical="center"/>
    </xf>
    <xf numFmtId="0" fontId="6" fillId="0" borderId="0" xfId="0" applyFont="1" applyAlignment="1">
      <alignment vertical="center"/>
    </xf>
    <xf numFmtId="2" fontId="1" fillId="0" borderId="0" xfId="534" applyNumberFormat="1" applyFont="1"/>
    <xf numFmtId="9" fontId="1" fillId="0" borderId="0" xfId="237" applyNumberFormat="1" applyFont="1"/>
    <xf numFmtId="1" fontId="1" fillId="0" borderId="0" xfId="510" applyNumberFormat="1" applyFont="1" applyAlignment="1">
      <alignment horizontal="center"/>
    </xf>
    <xf numFmtId="0" fontId="1" fillId="0" borderId="0" xfId="510" quotePrefix="1" applyFont="1"/>
    <xf numFmtId="168" fontId="115" fillId="0" borderId="0" xfId="0" applyNumberFormat="1" applyFont="1" applyAlignment="1">
      <alignment vertical="center"/>
    </xf>
    <xf numFmtId="168" fontId="1" fillId="0" borderId="0" xfId="0" applyNumberFormat="1" applyFont="1" applyAlignment="1">
      <alignment vertical="center"/>
    </xf>
    <xf numFmtId="1" fontId="9" fillId="0" borderId="0" xfId="0" applyNumberFormat="1" applyFont="1"/>
    <xf numFmtId="0" fontId="7" fillId="0" borderId="0" xfId="0" applyFont="1" applyAlignment="1">
      <alignment vertical="center"/>
    </xf>
    <xf numFmtId="2" fontId="30" fillId="0" borderId="19" xfId="0" applyNumberFormat="1" applyFont="1" applyBorder="1"/>
    <xf numFmtId="0" fontId="99" fillId="0" borderId="7" xfId="510" applyFont="1" applyBorder="1" applyAlignment="1">
      <alignment vertical="top" wrapText="1"/>
    </xf>
    <xf numFmtId="0" fontId="99" fillId="0" borderId="0" xfId="510" applyFont="1" applyAlignment="1">
      <alignment vertical="top" wrapText="1"/>
    </xf>
    <xf numFmtId="0" fontId="41" fillId="0" borderId="0" xfId="0" applyFont="1" applyAlignment="1">
      <alignment vertical="center"/>
    </xf>
    <xf numFmtId="168" fontId="115" fillId="0" borderId="0" xfId="0" applyNumberFormat="1" applyFont="1" applyAlignment="1">
      <alignment vertical="center" wrapText="1"/>
    </xf>
    <xf numFmtId="168" fontId="115" fillId="0" borderId="13" xfId="0" applyNumberFormat="1" applyFont="1" applyBorder="1" applyAlignment="1">
      <alignment vertical="center" wrapText="1"/>
    </xf>
    <xf numFmtId="0" fontId="8" fillId="0" borderId="0" xfId="0" applyFont="1" applyAlignment="1">
      <alignment horizontal="center" vertical="center"/>
    </xf>
    <xf numFmtId="0" fontId="10" fillId="0" borderId="0" xfId="510" applyFont="1" applyAlignment="1">
      <alignment horizontal="center"/>
    </xf>
    <xf numFmtId="0" fontId="1" fillId="0" borderId="0" xfId="510" applyFont="1" applyAlignment="1">
      <alignment wrapText="1"/>
    </xf>
    <xf numFmtId="0" fontId="1" fillId="0" borderId="0" xfId="0" applyFont="1" applyAlignment="1">
      <alignment vertical="center" wrapText="1"/>
    </xf>
    <xf numFmtId="0" fontId="8" fillId="0" borderId="58" xfId="0" applyFont="1" applyBorder="1" applyAlignment="1">
      <alignment horizontal="right"/>
    </xf>
    <xf numFmtId="0" fontId="10" fillId="0" borderId="13" xfId="0" applyFont="1" applyBorder="1" applyAlignment="1">
      <alignment vertical="top" wrapText="1"/>
    </xf>
    <xf numFmtId="0" fontId="9" fillId="0" borderId="57" xfId="0" applyFont="1" applyBorder="1" applyAlignment="1">
      <alignment vertical="top" wrapText="1"/>
    </xf>
    <xf numFmtId="0" fontId="9" fillId="0" borderId="14" xfId="0" applyFont="1" applyBorder="1" applyAlignment="1">
      <alignment vertical="top" wrapText="1"/>
    </xf>
    <xf numFmtId="164" fontId="0" fillId="0" borderId="14" xfId="0" applyNumberFormat="1" applyBorder="1" applyAlignment="1">
      <alignment horizontal="right"/>
    </xf>
    <xf numFmtId="0" fontId="9" fillId="0" borderId="14" xfId="0" applyFont="1" applyBorder="1"/>
    <xf numFmtId="0" fontId="9" fillId="0" borderId="69" xfId="0" applyFont="1" applyBorder="1" applyAlignment="1">
      <alignment horizontal="left" vertical="top" wrapText="1"/>
    </xf>
    <xf numFmtId="0" fontId="2" fillId="0" borderId="0" xfId="212" applyAlignment="1">
      <alignment horizontal="left" indent="1"/>
    </xf>
    <xf numFmtId="9" fontId="30" fillId="0" borderId="0" xfId="0" applyNumberFormat="1" applyFont="1"/>
    <xf numFmtId="0" fontId="93" fillId="0" borderId="0" xfId="0" applyFont="1" applyAlignment="1">
      <alignment horizontal="left" wrapText="1"/>
    </xf>
    <xf numFmtId="0" fontId="7" fillId="5" borderId="12" xfId="0" applyFont="1" applyFill="1" applyBorder="1" applyAlignment="1">
      <alignment horizontal="left" vertical="top"/>
    </xf>
    <xf numFmtId="0" fontId="0" fillId="0" borderId="4" xfId="0" applyBorder="1"/>
    <xf numFmtId="0" fontId="0" fillId="0" borderId="8" xfId="0" applyBorder="1"/>
    <xf numFmtId="0" fontId="7" fillId="5" borderId="37" xfId="0" applyFont="1" applyFill="1" applyBorder="1" applyAlignment="1">
      <alignment horizontal="center" vertical="center" wrapText="1"/>
    </xf>
    <xf numFmtId="0" fontId="0" fillId="0" borderId="0" xfId="0"/>
    <xf numFmtId="0" fontId="0" fillId="0" borderId="13" xfId="0" applyBorder="1"/>
    <xf numFmtId="0" fontId="0" fillId="0" borderId="6" xfId="0" applyBorder="1"/>
    <xf numFmtId="0" fontId="0" fillId="0" borderId="37" xfId="0" applyBorder="1"/>
    <xf numFmtId="0" fontId="93" fillId="0" borderId="0" xfId="0" applyFont="1" applyAlignment="1">
      <alignment horizontal="left" wrapText="1"/>
    </xf>
    <xf numFmtId="0" fontId="1" fillId="0" borderId="0" xfId="0" applyFont="1" applyAlignment="1">
      <alignment horizontal="left" vertical="top" wrapText="1"/>
    </xf>
    <xf numFmtId="0" fontId="91" fillId="0" borderId="0" xfId="0" applyFont="1" applyAlignment="1">
      <alignment horizontal="left" vertical="top" wrapText="1"/>
    </xf>
    <xf numFmtId="0" fontId="10" fillId="0" borderId="0" xfId="0" applyFont="1"/>
    <xf numFmtId="0" fontId="1" fillId="0" borderId="0" xfId="0" applyFont="1" applyAlignment="1">
      <alignment vertical="top" wrapText="1"/>
    </xf>
    <xf numFmtId="0" fontId="2" fillId="0" borderId="0" xfId="212" applyAlignment="1">
      <alignment horizontal="left"/>
    </xf>
    <xf numFmtId="0" fontId="34" fillId="0" borderId="0" xfId="0" applyFont="1" applyAlignment="1">
      <alignment horizontal="left" vertical="top" wrapText="1"/>
    </xf>
    <xf numFmtId="0" fontId="8" fillId="0" borderId="0" xfId="0" applyFont="1" applyAlignment="1">
      <alignment horizontal="left" vertical="top" wrapText="1"/>
    </xf>
    <xf numFmtId="0" fontId="1" fillId="0" borderId="0" xfId="237" applyFont="1" applyAlignment="1">
      <alignment horizontal="left" vertical="top" wrapText="1"/>
    </xf>
    <xf numFmtId="0" fontId="1" fillId="0" borderId="0" xfId="0" applyFont="1" applyAlignment="1">
      <alignment horizontal="left" wrapText="1"/>
    </xf>
    <xf numFmtId="0" fontId="2" fillId="0" borderId="0" xfId="212" applyAlignment="1">
      <alignment horizontal="left" vertical="top"/>
    </xf>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8" fillId="0" borderId="0" xfId="0" applyFont="1" applyAlignment="1">
      <alignment wrapText="1"/>
    </xf>
    <xf numFmtId="0" fontId="17" fillId="0" borderId="0" xfId="0" applyFont="1" applyAlignment="1">
      <alignment horizontal="center"/>
    </xf>
    <xf numFmtId="0" fontId="20" fillId="0" borderId="0" xfId="0" applyFont="1" applyAlignment="1">
      <alignment horizontal="center"/>
    </xf>
    <xf numFmtId="0" fontId="10" fillId="0" borderId="0" xfId="0" applyFont="1" applyAlignment="1">
      <alignment horizontal="center"/>
    </xf>
    <xf numFmtId="4" fontId="20" fillId="0" borderId="0" xfId="0" applyNumberFormat="1" applyFont="1" applyAlignment="1">
      <alignment horizontal="left" vertical="top" wrapText="1"/>
    </xf>
    <xf numFmtId="0" fontId="10" fillId="0" borderId="0" xfId="0" applyFont="1" applyAlignment="1">
      <alignment horizontal="left" vertical="top"/>
    </xf>
    <xf numFmtId="0" fontId="1" fillId="0" borderId="0" xfId="242" applyFont="1" applyAlignment="1">
      <alignment horizontal="left" vertical="top" wrapText="1"/>
    </xf>
    <xf numFmtId="0" fontId="8" fillId="0" borderId="4" xfId="0" applyFont="1" applyBorder="1" applyAlignment="1">
      <alignment horizontal="left"/>
    </xf>
    <xf numFmtId="0" fontId="10" fillId="0" borderId="0" xfId="0" applyFont="1" applyAlignment="1">
      <alignment horizontal="left"/>
    </xf>
    <xf numFmtId="0" fontId="20" fillId="0" borderId="0" xfId="0" applyFont="1" applyAlignment="1">
      <alignment horizontal="left" vertical="top"/>
    </xf>
    <xf numFmtId="4" fontId="20" fillId="0" borderId="0" xfId="0" applyNumberFormat="1" applyFont="1" applyAlignment="1">
      <alignment horizontal="left"/>
    </xf>
    <xf numFmtId="4" fontId="1" fillId="0" borderId="0" xfId="0" applyNumberFormat="1" applyFont="1" applyAlignment="1">
      <alignment horizontal="left" vertical="top" wrapText="1"/>
    </xf>
    <xf numFmtId="0" fontId="10" fillId="0" borderId="0" xfId="0" applyFont="1" applyAlignment="1">
      <alignment horizontal="left" vertical="top" wrapText="1"/>
    </xf>
    <xf numFmtId="4" fontId="1" fillId="0" borderId="0" xfId="0" applyNumberFormat="1" applyFont="1" applyAlignment="1">
      <alignment horizontal="left"/>
    </xf>
    <xf numFmtId="0" fontId="20" fillId="0" borderId="0" xfId="0" applyFont="1" applyAlignment="1">
      <alignment horizontal="left"/>
    </xf>
    <xf numFmtId="0" fontId="1" fillId="0" borderId="0" xfId="0" applyFont="1" applyAlignment="1">
      <alignment horizontal="left" vertical="top"/>
    </xf>
    <xf numFmtId="0" fontId="8" fillId="0" borderId="0" xfId="0" applyFont="1" applyAlignment="1">
      <alignment horizontal="left"/>
    </xf>
    <xf numFmtId="0" fontId="8" fillId="0" borderId="0" xfId="0" applyFont="1" applyAlignment="1">
      <alignment horizontal="left" vertical="top"/>
    </xf>
    <xf numFmtId="4" fontId="10" fillId="0" borderId="0" xfId="237" applyNumberFormat="1" applyFont="1" applyAlignment="1">
      <alignment horizontal="left" vertical="top" wrapText="1"/>
    </xf>
    <xf numFmtId="4" fontId="10" fillId="0" borderId="0" xfId="0" applyNumberFormat="1" applyFont="1" applyAlignment="1">
      <alignment horizontal="left"/>
    </xf>
    <xf numFmtId="0" fontId="10" fillId="0" borderId="0" xfId="237" applyFont="1" applyAlignment="1">
      <alignment horizontal="left" vertical="top" wrapText="1"/>
    </xf>
    <xf numFmtId="0" fontId="1" fillId="0" borderId="0" xfId="223" applyFont="1" applyAlignment="1">
      <alignment horizontal="left" vertical="top" wrapText="1"/>
    </xf>
    <xf numFmtId="0" fontId="8" fillId="0" borderId="6" xfId="0" applyFont="1" applyBorder="1" applyAlignment="1">
      <alignment horizontal="left"/>
    </xf>
    <xf numFmtId="4" fontId="0" fillId="0" borderId="0" xfId="0" applyNumberFormat="1"/>
    <xf numFmtId="0" fontId="10" fillId="0" borderId="0" xfId="0" applyFont="1" applyAlignment="1">
      <alignment vertical="top"/>
    </xf>
    <xf numFmtId="0" fontId="20" fillId="0" borderId="0" xfId="0" applyFont="1" applyAlignment="1">
      <alignment horizontal="left" vertical="top" wrapText="1"/>
    </xf>
    <xf numFmtId="49" fontId="10" fillId="0" borderId="0" xfId="0" applyNumberFormat="1" applyFont="1" applyAlignment="1">
      <alignment horizontal="left" vertical="top" wrapText="1"/>
    </xf>
    <xf numFmtId="0" fontId="1" fillId="0" borderId="0" xfId="727" applyFont="1" applyAlignment="1">
      <alignment horizontal="left"/>
    </xf>
    <xf numFmtId="0" fontId="20" fillId="0" borderId="0" xfId="0" applyFont="1" applyAlignment="1">
      <alignment horizontal="center" wrapText="1"/>
    </xf>
    <xf numFmtId="0" fontId="0" fillId="0" borderId="0" xfId="0" applyAlignment="1">
      <alignment vertical="center"/>
    </xf>
    <xf numFmtId="4" fontId="10" fillId="0" borderId="0" xfId="0" applyNumberFormat="1" applyFont="1" applyAlignment="1">
      <alignment horizontal="left" vertical="top" wrapText="1"/>
    </xf>
    <xf numFmtId="0" fontId="10" fillId="0" borderId="0" xfId="237" applyFont="1" applyAlignment="1">
      <alignment horizontal="left"/>
    </xf>
    <xf numFmtId="49" fontId="1" fillId="0" borderId="0" xfId="0" applyNumberFormat="1" applyFont="1" applyAlignment="1">
      <alignment horizontal="left" vertical="top" wrapText="1"/>
    </xf>
    <xf numFmtId="0" fontId="20" fillId="0" borderId="0" xfId="0" applyFont="1" applyAlignment="1">
      <alignment horizontal="left" wrapText="1"/>
    </xf>
    <xf numFmtId="0" fontId="1" fillId="0" borderId="0" xfId="727" applyFont="1" applyAlignment="1">
      <alignment horizontal="left" vertical="top" wrapText="1"/>
    </xf>
    <xf numFmtId="0" fontId="20" fillId="0" borderId="0" xfId="223" applyFont="1" applyAlignment="1">
      <alignment horizontal="left"/>
    </xf>
    <xf numFmtId="0" fontId="1" fillId="0" borderId="0" xfId="0" quotePrefix="1" applyFont="1" applyAlignment="1">
      <alignment horizontal="left" vertical="top"/>
    </xf>
    <xf numFmtId="0" fontId="10" fillId="0" borderId="0" xfId="0" applyFont="1" applyAlignment="1">
      <alignment horizontal="left" wrapText="1"/>
    </xf>
    <xf numFmtId="0" fontId="2" fillId="0" borderId="0" xfId="212"/>
    <xf numFmtId="0" fontId="10" fillId="0" borderId="0" xfId="242" applyFont="1" applyAlignment="1">
      <alignment horizontal="left" vertical="top" wrapText="1"/>
    </xf>
    <xf numFmtId="0" fontId="1" fillId="0" borderId="0" xfId="223" applyFont="1" applyAlignment="1">
      <alignment vertical="top" wrapText="1"/>
    </xf>
    <xf numFmtId="0" fontId="10" fillId="0" borderId="0" xfId="223" applyFont="1" applyAlignment="1">
      <alignment horizontal="left" vertical="top" wrapText="1"/>
    </xf>
    <xf numFmtId="0" fontId="8" fillId="0" borderId="0" xfId="237" applyFont="1" applyAlignment="1">
      <alignment horizontal="center"/>
    </xf>
    <xf numFmtId="0" fontId="2" fillId="0" borderId="0" xfId="212" applyAlignment="1" applyProtection="1">
      <alignment horizontal="left"/>
      <protection locked="0"/>
    </xf>
    <xf numFmtId="0" fontId="0" fillId="0" borderId="0" xfId="0" applyProtection="1">
      <protection locked="0"/>
    </xf>
    <xf numFmtId="4" fontId="2" fillId="0" borderId="0" xfId="212" applyNumberFormat="1" applyAlignment="1">
      <alignment horizontal="left"/>
    </xf>
    <xf numFmtId="0" fontId="8" fillId="0" borderId="4" xfId="0" applyFont="1" applyBorder="1" applyAlignment="1">
      <alignment horizontal="left" vertical="top"/>
    </xf>
    <xf numFmtId="0" fontId="8" fillId="0" borderId="0" xfId="0" applyFont="1" applyAlignment="1">
      <alignment vertical="top" wrapText="1"/>
    </xf>
    <xf numFmtId="0" fontId="36" fillId="0" borderId="0" xfId="0" applyFont="1" applyAlignment="1">
      <alignment horizontal="left"/>
    </xf>
    <xf numFmtId="0" fontId="1" fillId="0" borderId="0" xfId="0" applyFont="1" applyAlignment="1">
      <alignment horizontal="left"/>
    </xf>
    <xf numFmtId="4" fontId="1" fillId="0" borderId="0" xfId="237" applyNumberFormat="1" applyFont="1" applyAlignment="1">
      <alignment horizontal="left" vertical="top" wrapText="1"/>
    </xf>
    <xf numFmtId="0" fontId="10" fillId="0" borderId="36" xfId="0" applyFont="1" applyBorder="1" applyAlignment="1">
      <alignment horizontal="left"/>
    </xf>
    <xf numFmtId="0" fontId="0" fillId="0" borderId="36" xfId="0" applyBorder="1"/>
    <xf numFmtId="0" fontId="10" fillId="0" borderId="0" xfId="223" applyFont="1" applyAlignment="1">
      <alignment horizontal="left"/>
    </xf>
    <xf numFmtId="4" fontId="1" fillId="0" borderId="0" xfId="242" applyNumberFormat="1" applyFont="1" applyAlignment="1">
      <alignment horizontal="left" vertical="top" wrapText="1"/>
    </xf>
    <xf numFmtId="49" fontId="8" fillId="0" borderId="0" xfId="0" applyNumberFormat="1" applyFont="1" applyAlignment="1">
      <alignment horizontal="left" vertical="top"/>
    </xf>
    <xf numFmtId="0" fontId="20" fillId="0" borderId="0" xfId="237" applyFont="1" applyAlignment="1">
      <alignment horizontal="left" vertical="top" wrapText="1"/>
    </xf>
    <xf numFmtId="0" fontId="8" fillId="0" borderId="0" xfId="237" applyFont="1" applyAlignment="1">
      <alignment horizontal="left" vertical="top" wrapText="1"/>
    </xf>
    <xf numFmtId="0" fontId="2" fillId="0" borderId="0" xfId="212" applyAlignment="1">
      <alignment horizontal="left" vertical="top" wrapText="1"/>
    </xf>
    <xf numFmtId="0" fontId="36" fillId="0" borderId="0" xfId="0" applyFont="1" applyAlignment="1">
      <alignment horizontal="left" vertical="top"/>
    </xf>
    <xf numFmtId="49" fontId="10" fillId="0" borderId="0" xfId="237" applyNumberFormat="1" applyFont="1" applyAlignment="1">
      <alignment horizontal="left" vertical="top" wrapText="1"/>
    </xf>
    <xf numFmtId="49" fontId="8" fillId="0" borderId="0" xfId="0" applyNumberFormat="1" applyFont="1" applyAlignment="1">
      <alignment horizontal="left"/>
    </xf>
    <xf numFmtId="0" fontId="2" fillId="0" borderId="0" xfId="212" quotePrefix="1" applyAlignment="1">
      <alignment horizontal="left"/>
    </xf>
    <xf numFmtId="0" fontId="10" fillId="0" borderId="0" xfId="0" quotePrefix="1" applyFont="1" applyAlignment="1">
      <alignment horizontal="left" vertical="top" wrapText="1"/>
    </xf>
    <xf numFmtId="0" fontId="20" fillId="0" borderId="0" xfId="237" applyFont="1" applyAlignment="1">
      <alignment horizontal="left"/>
    </xf>
    <xf numFmtId="0" fontId="0" fillId="7" borderId="5" xfId="0" applyFill="1" applyBorder="1" applyAlignment="1" applyProtection="1">
      <alignment horizontal="left"/>
      <protection locked="0"/>
    </xf>
    <xf numFmtId="0" fontId="0" fillId="0" borderId="5" xfId="0" applyBorder="1" applyProtection="1">
      <protection locked="0"/>
    </xf>
    <xf numFmtId="0" fontId="10" fillId="7" borderId="5" xfId="0" applyFont="1" applyFill="1" applyBorder="1" applyAlignment="1" applyProtection="1">
      <alignment horizontal="left"/>
      <protection locked="0"/>
    </xf>
    <xf numFmtId="0" fontId="0" fillId="7" borderId="8" xfId="0" applyFill="1" applyBorder="1" applyAlignment="1" applyProtection="1">
      <alignment horizontal="center"/>
      <protection locked="0"/>
    </xf>
    <xf numFmtId="0" fontId="0" fillId="0" borderId="4" xfId="0" applyBorder="1" applyProtection="1">
      <protection locked="0"/>
    </xf>
    <xf numFmtId="0" fontId="0" fillId="0" borderId="8" xfId="0" applyBorder="1" applyProtection="1">
      <protection locked="0"/>
    </xf>
    <xf numFmtId="0" fontId="10" fillId="0" borderId="12" xfId="0" applyFont="1" applyBorder="1" applyAlignment="1">
      <alignment horizontal="center"/>
    </xf>
    <xf numFmtId="0" fontId="0" fillId="7" borderId="5" xfId="0" applyFill="1" applyBorder="1" applyAlignment="1" applyProtection="1">
      <alignment horizontal="center"/>
      <protection locked="0"/>
    </xf>
    <xf numFmtId="0" fontId="10" fillId="2" borderId="12" xfId="0" applyFont="1" applyFill="1" applyBorder="1" applyAlignment="1">
      <alignment horizontal="center"/>
    </xf>
    <xf numFmtId="0" fontId="0" fillId="7" borderId="4" xfId="0" applyFill="1" applyBorder="1" applyAlignment="1" applyProtection="1">
      <alignment horizontal="left"/>
      <protection locked="0"/>
    </xf>
    <xf numFmtId="168" fontId="0" fillId="7" borderId="12" xfId="0" applyNumberFormat="1" applyFill="1" applyBorder="1" applyAlignment="1" applyProtection="1">
      <alignment horizontal="right"/>
      <protection locked="0"/>
    </xf>
    <xf numFmtId="168" fontId="0" fillId="7" borderId="12" xfId="0" applyNumberFormat="1" applyFill="1" applyBorder="1" applyAlignment="1" applyProtection="1">
      <alignment horizontal="center"/>
      <protection locked="0"/>
    </xf>
    <xf numFmtId="168" fontId="1" fillId="7" borderId="12" xfId="0" applyNumberFormat="1" applyFont="1" applyFill="1" applyBorder="1" applyAlignment="1" applyProtection="1">
      <alignment horizontal="center"/>
      <protection locked="0"/>
    </xf>
    <xf numFmtId="170" fontId="1" fillId="0" borderId="18" xfId="0" applyNumberFormat="1" applyFont="1" applyBorder="1" applyAlignment="1">
      <alignment horizontal="right"/>
    </xf>
    <xf numFmtId="0" fontId="0" fillId="0" borderId="2" xfId="0" applyBorder="1"/>
    <xf numFmtId="0" fontId="0" fillId="0" borderId="11" xfId="0" applyBorder="1"/>
    <xf numFmtId="0" fontId="21" fillId="7" borderId="12" xfId="0" applyFont="1" applyFill="1" applyBorder="1" applyAlignment="1" applyProtection="1">
      <alignment horizontal="left"/>
      <protection locked="0"/>
    </xf>
    <xf numFmtId="0" fontId="1" fillId="0" borderId="12" xfId="0" applyFont="1" applyBorder="1" applyAlignment="1">
      <alignment horizontal="center"/>
    </xf>
    <xf numFmtId="168" fontId="1" fillId="43" borderId="12"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8" fontId="9" fillId="0" borderId="0" xfId="0" applyNumberFormat="1" applyFont="1" applyAlignment="1">
      <alignment horizontal="left" vertical="top" wrapText="1"/>
    </xf>
    <xf numFmtId="9" fontId="10" fillId="0" borderId="12" xfId="0" applyNumberFormat="1" applyFont="1" applyBorder="1" applyAlignment="1">
      <alignment horizontal="center"/>
    </xf>
    <xf numFmtId="0" fontId="10" fillId="7" borderId="3" xfId="0" applyFont="1" applyFill="1" applyBorder="1" applyAlignment="1" applyProtection="1">
      <alignment horizontal="center"/>
      <protection locked="0"/>
    </xf>
    <xf numFmtId="1" fontId="1" fillId="7" borderId="12" xfId="0" applyNumberFormat="1" applyFont="1" applyFill="1" applyBorder="1" applyAlignment="1" applyProtection="1">
      <alignment horizontal="right" vertical="top"/>
      <protection locked="0"/>
    </xf>
    <xf numFmtId="0" fontId="30" fillId="0" borderId="12" xfId="0" applyFont="1" applyBorder="1" applyAlignment="1">
      <alignment horizontal="center"/>
    </xf>
    <xf numFmtId="166" fontId="10" fillId="7" borderId="4" xfId="0" applyNumberFormat="1" applyFont="1" applyFill="1" applyBorder="1" applyAlignment="1" applyProtection="1">
      <alignment horizontal="left"/>
      <protection locked="0"/>
    </xf>
    <xf numFmtId="0" fontId="1" fillId="7" borderId="12" xfId="0" applyFont="1" applyFill="1" applyBorder="1" applyAlignment="1" applyProtection="1">
      <alignment horizontal="center"/>
      <protection locked="0"/>
    </xf>
    <xf numFmtId="1" fontId="0" fillId="7" borderId="12" xfId="0" applyNumberFormat="1" applyFill="1" applyBorder="1" applyAlignment="1" applyProtection="1">
      <alignment horizontal="center"/>
      <protection locked="0"/>
    </xf>
    <xf numFmtId="164" fontId="21" fillId="7" borderId="12" xfId="0" applyNumberFormat="1" applyFont="1" applyFill="1" applyBorder="1" applyAlignment="1" applyProtection="1">
      <alignment horizontal="left"/>
      <protection locked="0"/>
    </xf>
    <xf numFmtId="168" fontId="0" fillId="0" borderId="12" xfId="0" applyNumberFormat="1" applyBorder="1" applyAlignment="1">
      <alignment horizontal="right"/>
    </xf>
    <xf numFmtId="0" fontId="0" fillId="0" borderId="12" xfId="0" applyBorder="1"/>
    <xf numFmtId="168" fontId="1" fillId="0" borderId="12" xfId="510" applyNumberFormat="1" applyFont="1" applyBorder="1" applyAlignment="1">
      <alignment horizontal="center" vertical="center"/>
    </xf>
    <xf numFmtId="0" fontId="0" fillId="0" borderId="7" xfId="0" applyBorder="1"/>
    <xf numFmtId="0" fontId="0" fillId="0" borderId="9" xfId="0" applyBorder="1"/>
    <xf numFmtId="0" fontId="0" fillId="0" borderId="5" xfId="0" applyBorder="1"/>
    <xf numFmtId="0" fontId="0" fillId="0" borderId="10" xfId="0" applyBorder="1"/>
    <xf numFmtId="168" fontId="0" fillId="7" borderId="15" xfId="0" applyNumberFormat="1" applyFill="1" applyBorder="1" applyAlignment="1" applyProtection="1">
      <alignment horizontal="right"/>
      <protection locked="0"/>
    </xf>
    <xf numFmtId="0" fontId="0" fillId="0" borderId="10" xfId="0" applyBorder="1" applyProtection="1">
      <protection locked="0"/>
    </xf>
    <xf numFmtId="0" fontId="0" fillId="7" borderId="12" xfId="0"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0" fillId="0" borderId="2" xfId="0" applyBorder="1" applyProtection="1">
      <protection locked="0"/>
    </xf>
    <xf numFmtId="0" fontId="0" fillId="0" borderId="11" xfId="0" applyBorder="1" applyProtection="1">
      <protection locked="0"/>
    </xf>
    <xf numFmtId="0" fontId="0" fillId="0" borderId="9" xfId="0" applyBorder="1" applyProtection="1">
      <protection locked="0"/>
    </xf>
    <xf numFmtId="3" fontId="0" fillId="43" borderId="12" xfId="0" applyNumberFormat="1" applyFill="1" applyBorder="1" applyAlignment="1" applyProtection="1">
      <alignment horizontal="center"/>
      <protection locked="0"/>
    </xf>
    <xf numFmtId="168" fontId="0" fillId="7" borderId="5" xfId="0" applyNumberFormat="1" applyFill="1" applyBorder="1" applyAlignment="1" applyProtection="1">
      <alignment horizontal="right"/>
      <protection locked="0"/>
    </xf>
    <xf numFmtId="170" fontId="8" fillId="0" borderId="12" xfId="535" applyNumberFormat="1" applyFont="1" applyBorder="1" applyAlignment="1">
      <alignment horizontal="center"/>
    </xf>
    <xf numFmtId="168" fontId="1" fillId="7" borderId="4" xfId="0" applyNumberFormat="1" applyFont="1" applyFill="1" applyBorder="1" applyAlignment="1" applyProtection="1">
      <alignment horizontal="right"/>
      <protection locked="0"/>
    </xf>
    <xf numFmtId="0" fontId="8" fillId="0" borderId="17" xfId="510" applyFont="1" applyBorder="1" applyAlignment="1">
      <alignment horizontal="left" vertical="center" wrapText="1"/>
    </xf>
    <xf numFmtId="0" fontId="9" fillId="7" borderId="12" xfId="0" applyFont="1" applyFill="1" applyBorder="1" applyProtection="1">
      <protection locked="0"/>
    </xf>
    <xf numFmtId="168" fontId="1" fillId="0" borderId="12" xfId="0" applyNumberFormat="1" applyFont="1" applyBorder="1" applyAlignment="1">
      <alignment horizontal="center"/>
    </xf>
    <xf numFmtId="5" fontId="9" fillId="43" borderId="12" xfId="137" applyNumberFormat="1" applyFont="1" applyFill="1" applyBorder="1" applyAlignment="1" applyProtection="1">
      <alignment horizontal="center" vertical="center" wrapText="1"/>
      <protection locked="0"/>
    </xf>
    <xf numFmtId="168" fontId="1" fillId="4" borderId="12" xfId="510" applyNumberFormat="1" applyFont="1" applyFill="1" applyBorder="1" applyAlignment="1">
      <alignment horizontal="center"/>
    </xf>
    <xf numFmtId="168" fontId="1" fillId="7" borderId="12" xfId="0" applyNumberFormat="1" applyFon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0" fillId="0" borderId="0" xfId="0" applyAlignment="1">
      <alignment horizontal="center"/>
    </xf>
    <xf numFmtId="166" fontId="10" fillId="7" borderId="5" xfId="0" applyNumberFormat="1" applyFont="1" applyFill="1" applyBorder="1" applyAlignment="1" applyProtection="1">
      <alignment horizontal="left"/>
      <protection locked="0"/>
    </xf>
    <xf numFmtId="0" fontId="8" fillId="0" borderId="0" xfId="0" applyFont="1" applyAlignment="1">
      <alignment horizontal="center" vertical="center"/>
    </xf>
    <xf numFmtId="0" fontId="1" fillId="0" borderId="12" xfId="0" applyFont="1" applyBorder="1" applyAlignment="1">
      <alignment horizontal="center" vertical="top" wrapText="1"/>
    </xf>
    <xf numFmtId="0" fontId="1" fillId="7" borderId="5" xfId="0" applyFont="1" applyFill="1" applyBorder="1" applyAlignment="1" applyProtection="1">
      <alignment horizontal="left"/>
      <protection locked="0"/>
    </xf>
    <xf numFmtId="176" fontId="1" fillId="7" borderId="4"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24" fillId="0" borderId="2" xfId="0" applyNumberFormat="1" applyFont="1" applyBorder="1" applyAlignment="1">
      <alignment horizontal="left" vertical="top" wrapText="1"/>
    </xf>
    <xf numFmtId="0" fontId="8" fillId="0" borderId="12" xfId="0" applyFont="1" applyBorder="1" applyAlignment="1">
      <alignment horizontal="center" vertical="center" wrapText="1"/>
    </xf>
    <xf numFmtId="0" fontId="10" fillId="7" borderId="9" xfId="0" applyFont="1" applyFill="1" applyBorder="1" applyAlignment="1" applyProtection="1">
      <alignment horizontal="center"/>
      <protection locked="0"/>
    </xf>
    <xf numFmtId="168" fontId="1" fillId="7" borderId="5" xfId="0" applyNumberFormat="1" applyFont="1" applyFill="1" applyBorder="1" applyAlignment="1" applyProtection="1">
      <alignment horizontal="right"/>
      <protection locked="0"/>
    </xf>
    <xf numFmtId="0" fontId="20" fillId="0" borderId="12" xfId="510" applyFont="1" applyBorder="1" applyAlignment="1">
      <alignment horizontal="center"/>
    </xf>
    <xf numFmtId="0" fontId="0" fillId="0" borderId="12" xfId="0" applyBorder="1" applyAlignment="1">
      <alignment horizontal="left"/>
    </xf>
    <xf numFmtId="0" fontId="1" fillId="7" borderId="4" xfId="0" applyFont="1" applyFill="1" applyBorder="1" applyAlignment="1" applyProtection="1">
      <alignment horizontal="left"/>
      <protection locked="0"/>
    </xf>
    <xf numFmtId="0" fontId="0" fillId="0" borderId="5" xfId="0" applyBorder="1" applyAlignment="1">
      <alignment horizontal="left"/>
    </xf>
    <xf numFmtId="0" fontId="10" fillId="7" borderId="5" xfId="0" applyFont="1" applyFill="1" applyBorder="1" applyAlignment="1" applyProtection="1">
      <alignment horizontal="center"/>
      <protection locked="0"/>
    </xf>
    <xf numFmtId="0" fontId="1" fillId="43" borderId="5" xfId="0" applyFont="1" applyFill="1" applyBorder="1" applyAlignment="1" applyProtection="1">
      <alignment horizontal="left"/>
      <protection locked="0"/>
    </xf>
    <xf numFmtId="9" fontId="1" fillId="7" borderId="12" xfId="991" applyFont="1" applyFill="1" applyBorder="1" applyAlignment="1" applyProtection="1">
      <alignment horizontal="center"/>
      <protection locked="0"/>
    </xf>
    <xf numFmtId="0" fontId="10" fillId="7" borderId="5" xfId="0" applyFont="1" applyFill="1" applyBorder="1" applyAlignment="1" applyProtection="1">
      <alignment horizontal="left" vertical="top" wrapText="1"/>
      <protection locked="0"/>
    </xf>
    <xf numFmtId="0" fontId="1" fillId="7" borderId="12" xfId="0" applyFont="1" applyFill="1" applyBorder="1" applyAlignment="1" applyProtection="1">
      <alignment horizontal="left" vertical="center"/>
      <protection locked="0"/>
    </xf>
    <xf numFmtId="1" fontId="1" fillId="7" borderId="12" xfId="0" applyNumberFormat="1" applyFont="1" applyFill="1" applyBorder="1" applyProtection="1">
      <protection locked="0"/>
    </xf>
    <xf numFmtId="0" fontId="1" fillId="7" borderId="12" xfId="0" applyFont="1" applyFill="1" applyBorder="1" applyProtection="1">
      <protection locked="0"/>
    </xf>
    <xf numFmtId="168" fontId="0" fillId="43" borderId="12" xfId="0" applyNumberFormat="1" applyFill="1" applyBorder="1" applyAlignment="1" applyProtection="1">
      <alignment horizontal="center"/>
      <protection locked="0"/>
    </xf>
    <xf numFmtId="0" fontId="21" fillId="0" borderId="2" xfId="0" applyFont="1" applyBorder="1" applyAlignment="1">
      <alignment horizontal="center"/>
    </xf>
    <xf numFmtId="1" fontId="0" fillId="7" borderId="12" xfId="0" applyNumberFormat="1" applyFill="1" applyBorder="1" applyProtection="1">
      <protection locked="0"/>
    </xf>
    <xf numFmtId="9" fontId="1"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168" fontId="1" fillId="0" borderId="12" xfId="0" applyNumberFormat="1" applyFont="1" applyBorder="1" applyAlignment="1">
      <alignment horizontal="left" vertical="top"/>
    </xf>
    <xf numFmtId="0" fontId="0" fillId="7" borderId="12" xfId="0" applyFill="1" applyBorder="1" applyAlignment="1" applyProtection="1">
      <alignment horizontal="right"/>
      <protection locked="0"/>
    </xf>
    <xf numFmtId="168" fontId="1" fillId="0" borderId="18" xfId="510" applyNumberFormat="1" applyFont="1" applyBorder="1" applyAlignment="1">
      <alignment horizontal="center" vertical="center"/>
    </xf>
    <xf numFmtId="168" fontId="1" fillId="0" borderId="12" xfId="510" applyNumberFormat="1" applyFont="1" applyBorder="1" applyAlignment="1">
      <alignment horizontal="center"/>
    </xf>
    <xf numFmtId="0" fontId="9" fillId="43" borderId="5" xfId="0" applyFon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8" fillId="0" borderId="8" xfId="510" applyFont="1" applyBorder="1" applyAlignment="1">
      <alignment horizontal="right" vertical="top" wrapText="1"/>
    </xf>
    <xf numFmtId="0" fontId="9" fillId="7" borderId="12" xfId="510" applyFont="1" applyFill="1" applyBorder="1" applyAlignment="1" applyProtection="1">
      <alignment horizontal="center"/>
      <protection locked="0"/>
    </xf>
    <xf numFmtId="0" fontId="10" fillId="0" borderId="12" xfId="0" applyFont="1" applyBorder="1" applyAlignment="1">
      <alignment horizontal="left"/>
    </xf>
    <xf numFmtId="0" fontId="7" fillId="5" borderId="0" xfId="0" applyFont="1" applyFill="1" applyAlignment="1">
      <alignment horizontal="center" vertical="center"/>
    </xf>
    <xf numFmtId="175" fontId="0" fillId="7" borderId="4" xfId="0" applyNumberFormat="1" applyFill="1" applyBorder="1" applyAlignment="1" applyProtection="1">
      <alignment horizontal="center"/>
      <protection locked="0"/>
    </xf>
    <xf numFmtId="0" fontId="10" fillId="7" borderId="5" xfId="0" applyFont="1" applyFill="1" applyBorder="1" applyAlignment="1" applyProtection="1">
      <alignment horizontal="right"/>
      <protection locked="0"/>
    </xf>
    <xf numFmtId="0" fontId="41" fillId="0" borderId="0" xfId="0" applyFont="1" applyAlignment="1">
      <alignment horizontal="center" vertical="center"/>
    </xf>
    <xf numFmtId="0" fontId="41" fillId="0" borderId="0" xfId="0" applyFont="1" applyAlignment="1">
      <alignment vertical="center"/>
    </xf>
    <xf numFmtId="0" fontId="1" fillId="0" borderId="0" xfId="0" applyFont="1" applyAlignment="1">
      <alignment horizontal="center"/>
    </xf>
    <xf numFmtId="0" fontId="1" fillId="0" borderId="0" xfId="0" applyFont="1"/>
    <xf numFmtId="1" fontId="0" fillId="43" borderId="12" xfId="0" applyNumberFormat="1" applyFill="1" applyBorder="1" applyAlignment="1" applyProtection="1">
      <alignment horizontal="center"/>
      <protection locked="0"/>
    </xf>
    <xf numFmtId="1" fontId="1" fillId="43" borderId="12" xfId="0" applyNumberFormat="1" applyFont="1" applyFill="1" applyBorder="1" applyAlignment="1" applyProtection="1">
      <alignment horizontal="center"/>
      <protection locked="0"/>
    </xf>
    <xf numFmtId="0" fontId="7" fillId="0" borderId="0" xfId="0" applyFont="1" applyAlignment="1">
      <alignment vertical="center"/>
    </xf>
    <xf numFmtId="0" fontId="8" fillId="0" borderId="12" xfId="0" applyFont="1" applyBorder="1" applyAlignment="1">
      <alignment horizontal="right"/>
    </xf>
    <xf numFmtId="168" fontId="0" fillId="39" borderId="12" xfId="0" applyNumberFormat="1" applyFill="1" applyBorder="1" applyAlignment="1">
      <alignment horizontal="right"/>
    </xf>
    <xf numFmtId="168" fontId="0" fillId="0" borderId="12" xfId="0" applyNumberFormat="1" applyBorder="1"/>
    <xf numFmtId="0" fontId="0" fillId="0" borderId="9" xfId="0" applyBorder="1" applyAlignment="1">
      <alignment horizontal="left"/>
    </xf>
    <xf numFmtId="0" fontId="8" fillId="0" borderId="18" xfId="0" applyFont="1" applyBorder="1" applyAlignment="1">
      <alignment horizontal="center"/>
    </xf>
    <xf numFmtId="0" fontId="1" fillId="7" borderId="12" xfId="510" applyFont="1" applyFill="1" applyBorder="1" applyAlignment="1" applyProtection="1">
      <alignment horizontal="left" vertical="top" wrapText="1"/>
      <protection locked="0"/>
    </xf>
    <xf numFmtId="166" fontId="1" fillId="7" borderId="5" xfId="0" applyNumberFormat="1" applyFont="1" applyFill="1" applyBorder="1" applyAlignment="1" applyProtection="1">
      <alignment horizontal="left"/>
      <protection locked="0"/>
    </xf>
    <xf numFmtId="164" fontId="9" fillId="7" borderId="12" xfId="0" applyNumberFormat="1" applyFont="1" applyFill="1" applyBorder="1" applyAlignment="1" applyProtection="1">
      <alignment horizontal="left"/>
      <protection locked="0"/>
    </xf>
    <xf numFmtId="0" fontId="8" fillId="0" borderId="18" xfId="510" applyFont="1" applyBorder="1" applyAlignment="1">
      <alignment horizontal="left" vertical="center" wrapText="1"/>
    </xf>
    <xf numFmtId="0" fontId="1" fillId="7" borderId="3" xfId="0" applyFont="1" applyFill="1" applyBorder="1" applyAlignment="1" applyProtection="1">
      <alignment horizontal="center"/>
      <protection locked="0"/>
    </xf>
    <xf numFmtId="175" fontId="1" fillId="7" borderId="12" xfId="0" applyNumberFormat="1" applyFont="1" applyFill="1" applyBorder="1" applyProtection="1">
      <protection locked="0"/>
    </xf>
    <xf numFmtId="0" fontId="1" fillId="0" borderId="15" xfId="0" applyFont="1" applyBorder="1" applyAlignment="1">
      <alignment horizontal="left" wrapText="1"/>
    </xf>
    <xf numFmtId="175" fontId="1" fillId="43" borderId="12" xfId="0" applyNumberFormat="1" applyFont="1" applyFill="1" applyBorder="1" applyAlignment="1" applyProtection="1">
      <alignment horizontal="center"/>
      <protection locked="0"/>
    </xf>
    <xf numFmtId="170" fontId="1" fillId="7" borderId="12"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8" fontId="0" fillId="0" borderId="12" xfId="0" applyNumberFormat="1" applyBorder="1" applyAlignment="1">
      <alignment horizontal="center"/>
    </xf>
    <xf numFmtId="166" fontId="1" fillId="7" borderId="4" xfId="0" applyNumberFormat="1" applyFont="1" applyFill="1" applyBorder="1" applyAlignment="1" applyProtection="1">
      <alignment horizontal="left"/>
      <protection locked="0"/>
    </xf>
    <xf numFmtId="0" fontId="108" fillId="7" borderId="5" xfId="0" applyFont="1" applyFill="1" applyBorder="1" applyAlignment="1">
      <alignment horizontal="center"/>
    </xf>
    <xf numFmtId="168" fontId="8" fillId="0" borderId="12" xfId="510" applyNumberFormat="1" applyFont="1" applyBorder="1" applyAlignment="1">
      <alignment horizontal="center" vertical="center"/>
    </xf>
    <xf numFmtId="0" fontId="8" fillId="0" borderId="8" xfId="0" applyFont="1" applyBorder="1" applyAlignment="1">
      <alignment horizontal="center" wrapText="1"/>
    </xf>
    <xf numFmtId="49" fontId="10" fillId="7" borderId="5" xfId="237" applyNumberFormat="1" applyFont="1" applyFill="1" applyBorder="1" applyAlignment="1" applyProtection="1">
      <alignment horizontal="center"/>
      <protection locked="0"/>
    </xf>
    <xf numFmtId="168" fontId="0" fillId="7" borderId="12" xfId="0" applyNumberFormat="1" applyFill="1" applyBorder="1" applyProtection="1">
      <protection locked="0"/>
    </xf>
    <xf numFmtId="0" fontId="1" fillId="0" borderId="15" xfId="510" applyFont="1" applyBorder="1" applyAlignment="1">
      <alignment horizontal="left" vertical="top" wrapText="1"/>
    </xf>
    <xf numFmtId="174" fontId="1" fillId="0" borderId="0" xfId="510" applyNumberFormat="1" applyFont="1" applyAlignment="1">
      <alignment horizontal="center"/>
    </xf>
    <xf numFmtId="0" fontId="1" fillId="0" borderId="0" xfId="510" applyFont="1"/>
    <xf numFmtId="0" fontId="8" fillId="0" borderId="0" xfId="0" applyFont="1" applyAlignment="1">
      <alignment horizontal="center"/>
    </xf>
    <xf numFmtId="0" fontId="8" fillId="0" borderId="15" xfId="0" applyFont="1" applyBorder="1" applyAlignment="1">
      <alignment horizontal="right"/>
    </xf>
    <xf numFmtId="1" fontId="10" fillId="7" borderId="12" xfId="0" applyNumberFormat="1" applyFont="1" applyFill="1" applyBorder="1" applyAlignment="1" applyProtection="1">
      <alignment horizontal="right" vertical="top"/>
      <protection locked="0"/>
    </xf>
    <xf numFmtId="0" fontId="1" fillId="7" borderId="12" xfId="0" applyFont="1" applyFill="1" applyBorder="1" applyAlignment="1" applyProtection="1">
      <alignment horizontal="left"/>
      <protection locked="0"/>
    </xf>
    <xf numFmtId="0" fontId="9" fillId="7" borderId="5" xfId="0" applyFont="1" applyFill="1" applyBorder="1" applyAlignment="1" applyProtection="1">
      <alignment horizontal="left" vertical="top" wrapText="1"/>
      <protection locked="0"/>
    </xf>
    <xf numFmtId="168" fontId="10" fillId="0" borderId="12" xfId="0" applyNumberFormat="1" applyFont="1" applyBorder="1" applyAlignment="1">
      <alignment horizontal="left" vertical="top"/>
    </xf>
    <xf numFmtId="1" fontId="1" fillId="0" borderId="0" xfId="510" applyNumberFormat="1" applyFont="1" applyAlignment="1">
      <alignment horizontal="center"/>
    </xf>
    <xf numFmtId="1" fontId="10" fillId="7" borderId="5" xfId="237"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10" fillId="0" borderId="15" xfId="0" applyFont="1" applyBorder="1" applyAlignment="1">
      <alignment horizontal="center"/>
    </xf>
    <xf numFmtId="0" fontId="10" fillId="0" borderId="0" xfId="0" applyFont="1" applyAlignment="1">
      <alignment vertical="top" wrapText="1"/>
    </xf>
    <xf numFmtId="0" fontId="0" fillId="43" borderId="12" xfId="0" applyFill="1" applyBorder="1" applyAlignment="1" applyProtection="1">
      <alignment horizontal="center"/>
      <protection locked="0"/>
    </xf>
    <xf numFmtId="0" fontId="0" fillId="0" borderId="12" xfId="0" applyBorder="1" applyAlignment="1">
      <alignment horizontal="left" wrapText="1"/>
    </xf>
    <xf numFmtId="0" fontId="8" fillId="0" borderId="12" xfId="0" applyFont="1" applyBorder="1" applyAlignment="1">
      <alignment horizontal="center"/>
    </xf>
    <xf numFmtId="0" fontId="1" fillId="7" borderId="5" xfId="0" applyFont="1" applyFill="1" applyBorder="1" applyAlignment="1" applyProtection="1">
      <alignment horizontal="left" wrapText="1"/>
      <protection locked="0"/>
    </xf>
    <xf numFmtId="0" fontId="0" fillId="7" borderId="15" xfId="0" applyFill="1" applyBorder="1" applyAlignment="1" applyProtection="1">
      <alignment horizontal="left" vertical="top"/>
      <protection locked="0"/>
    </xf>
    <xf numFmtId="0" fontId="0" fillId="0" borderId="13" xfId="0" applyBorder="1" applyProtection="1">
      <protection locked="0"/>
    </xf>
    <xf numFmtId="0" fontId="0" fillId="0" borderId="7" xfId="0" applyBorder="1" applyProtection="1">
      <protection locked="0"/>
    </xf>
    <xf numFmtId="0" fontId="1" fillId="43" borderId="12" xfId="0" applyFont="1" applyFill="1" applyBorder="1" applyAlignment="1" applyProtection="1">
      <alignment horizontal="center"/>
      <protection locked="0"/>
    </xf>
    <xf numFmtId="0" fontId="9" fillId="7" borderId="12" xfId="510" applyFont="1" applyFill="1" applyBorder="1" applyAlignment="1" applyProtection="1">
      <alignment horizontal="center" vertical="top"/>
      <protection locked="0"/>
    </xf>
    <xf numFmtId="0" fontId="0" fillId="7" borderId="12" xfId="0" applyFill="1" applyBorder="1" applyAlignment="1" applyProtection="1">
      <alignment horizontal="left" vertical="top"/>
      <protection locked="0"/>
    </xf>
    <xf numFmtId="0" fontId="1" fillId="7" borderId="4" xfId="0" applyFont="1" applyFill="1" applyBorder="1" applyAlignment="1" applyProtection="1">
      <alignment vertical="center"/>
      <protection locked="0"/>
    </xf>
    <xf numFmtId="0" fontId="0" fillId="7" borderId="4" xfId="0" applyFill="1" applyBorder="1" applyAlignment="1" applyProtection="1">
      <alignment horizontal="center"/>
      <protection locked="0"/>
    </xf>
    <xf numFmtId="168" fontId="10" fillId="0" borderId="5" xfId="0" applyNumberFormat="1" applyFont="1" applyBorder="1" applyAlignment="1">
      <alignment horizontal="center"/>
    </xf>
    <xf numFmtId="0" fontId="0" fillId="0" borderId="13" xfId="0" applyBorder="1" applyAlignment="1">
      <alignment horizontal="center"/>
    </xf>
    <xf numFmtId="0" fontId="1" fillId="0" borderId="12" xfId="0" applyFont="1" applyBorder="1" applyAlignment="1">
      <alignment horizontal="center" wrapText="1"/>
    </xf>
    <xf numFmtId="0" fontId="0" fillId="43" borderId="5" xfId="0" applyFill="1" applyBorder="1" applyAlignment="1" applyProtection="1">
      <alignment horizontal="left"/>
      <protection locked="0"/>
    </xf>
    <xf numFmtId="1" fontId="0" fillId="7" borderId="8" xfId="0" applyNumberFormat="1" applyFill="1" applyBorder="1" applyAlignment="1" applyProtection="1">
      <alignment horizontal="center"/>
      <protection locked="0"/>
    </xf>
    <xf numFmtId="1" fontId="10" fillId="7" borderId="12" xfId="0" quotePrefix="1" applyNumberFormat="1" applyFont="1" applyFill="1" applyBorder="1" applyAlignment="1" applyProtection="1">
      <alignment horizontal="center"/>
      <protection locked="0"/>
    </xf>
    <xf numFmtId="0" fontId="19" fillId="0" borderId="0" xfId="0" applyFont="1" applyAlignment="1">
      <alignment horizontal="center"/>
    </xf>
    <xf numFmtId="0" fontId="19" fillId="0" borderId="0" xfId="0" applyFont="1"/>
    <xf numFmtId="0" fontId="0" fillId="7" borderId="5" xfId="0" applyFill="1" applyBorder="1" applyAlignment="1" applyProtection="1">
      <alignment horizontal="left" vertical="top" wrapText="1"/>
      <protection locked="0"/>
    </xf>
    <xf numFmtId="0" fontId="1" fillId="7" borderId="5" xfId="212" applyFont="1" applyFill="1" applyBorder="1" applyAlignment="1" applyProtection="1">
      <alignment horizontal="left"/>
      <protection locked="0"/>
    </xf>
    <xf numFmtId="0" fontId="1" fillId="0" borderId="12" xfId="0" applyFont="1" applyBorder="1" applyAlignment="1">
      <alignment horizontal="left"/>
    </xf>
    <xf numFmtId="0" fontId="1" fillId="7" borderId="5" xfId="0" applyFont="1" applyFill="1" applyBorder="1" applyAlignment="1" applyProtection="1">
      <alignment horizontal="left" vertical="top" wrapText="1"/>
      <protection locked="0"/>
    </xf>
    <xf numFmtId="0" fontId="0" fillId="0" borderId="3" xfId="0" applyBorder="1" applyAlignment="1">
      <alignment horizontal="left"/>
    </xf>
    <xf numFmtId="0" fontId="1" fillId="43" borderId="10" xfId="0" applyFont="1" applyFill="1" applyBorder="1" applyAlignment="1" applyProtection="1">
      <alignment horizontal="left"/>
      <protection locked="0"/>
    </xf>
    <xf numFmtId="3" fontId="10" fillId="7" borderId="12" xfId="0" applyNumberFormat="1" applyFont="1" applyFill="1" applyBorder="1" applyAlignment="1" applyProtection="1">
      <alignment horizontal="center"/>
      <protection locked="0"/>
    </xf>
    <xf numFmtId="0" fontId="0" fillId="0" borderId="12" xfId="0" applyBorder="1" applyAlignment="1" applyProtection="1">
      <alignment horizontal="left"/>
      <protection locked="0"/>
    </xf>
    <xf numFmtId="3" fontId="0" fillId="0" borderId="5" xfId="0" applyNumberFormat="1" applyBorder="1" applyAlignment="1">
      <alignment horizontal="right"/>
    </xf>
    <xf numFmtId="177" fontId="0" fillId="7" borderId="5" xfId="0" applyNumberFormat="1" applyFill="1" applyBorder="1" applyAlignment="1" applyProtection="1">
      <alignment horizontal="center"/>
      <protection locked="0"/>
    </xf>
    <xf numFmtId="168" fontId="10" fillId="0" borderId="0" xfId="510" applyNumberFormat="1" applyFont="1" applyAlignment="1">
      <alignment horizontal="right" vertical="center" wrapText="1"/>
    </xf>
    <xf numFmtId="0" fontId="8" fillId="0" borderId="18" xfId="0" applyFont="1" applyBorder="1" applyAlignment="1">
      <alignment horizontal="center" vertical="center" wrapText="1"/>
    </xf>
    <xf numFmtId="0" fontId="9" fillId="7" borderId="15" xfId="510" applyFont="1" applyFill="1" applyBorder="1" applyAlignment="1" applyProtection="1">
      <alignment horizontal="center"/>
      <protection locked="0"/>
    </xf>
    <xf numFmtId="168" fontId="0" fillId="0" borderId="58" xfId="0" applyNumberFormat="1" applyBorder="1" applyAlignment="1">
      <alignment horizontal="right"/>
    </xf>
    <xf numFmtId="0" fontId="0" fillId="0" borderId="14" xfId="0" applyBorder="1"/>
    <xf numFmtId="0" fontId="0" fillId="0" borderId="58" xfId="0" applyBorder="1"/>
    <xf numFmtId="0" fontId="8" fillId="0" borderId="56" xfId="0" applyFont="1" applyBorder="1" applyAlignment="1">
      <alignment horizontal="right"/>
    </xf>
    <xf numFmtId="168" fontId="0" fillId="0" borderId="0" xfId="0" applyNumberFormat="1" applyAlignment="1">
      <alignment horizontal="right"/>
    </xf>
    <xf numFmtId="0" fontId="44" fillId="0" borderId="12" xfId="0" applyFont="1" applyBorder="1"/>
    <xf numFmtId="10" fontId="1" fillId="7" borderId="4" xfId="0" applyNumberFormat="1" applyFont="1" applyFill="1" applyBorder="1" applyAlignment="1" applyProtection="1">
      <alignment horizontal="right"/>
      <protection locked="0"/>
    </xf>
    <xf numFmtId="0" fontId="10" fillId="0" borderId="5" xfId="0" applyFont="1" applyBorder="1" applyAlignment="1">
      <alignment horizontal="left" wrapText="1"/>
    </xf>
    <xf numFmtId="0" fontId="1" fillId="7" borderId="5" xfId="0" applyFont="1" applyFill="1" applyBorder="1" applyAlignment="1" applyProtection="1">
      <alignment horizontal="center"/>
      <protection locked="0"/>
    </xf>
    <xf numFmtId="0" fontId="1" fillId="0" borderId="0" xfId="0" applyFont="1" applyAlignment="1">
      <alignment horizontal="center" vertical="top"/>
    </xf>
    <xf numFmtId="0" fontId="1" fillId="0" borderId="0" xfId="0" applyFont="1" applyAlignment="1">
      <alignment vertical="top"/>
    </xf>
    <xf numFmtId="168" fontId="115" fillId="0" borderId="0" xfId="0" applyNumberFormat="1" applyFont="1" applyAlignment="1">
      <alignment horizontal="center" vertical="center" wrapText="1"/>
    </xf>
    <xf numFmtId="0" fontId="9" fillId="0" borderId="0" xfId="0" applyFont="1" applyAlignment="1">
      <alignment horizontal="center"/>
    </xf>
    <xf numFmtId="175" fontId="10" fillId="0" borderId="12" xfId="510" applyNumberFormat="1" applyFont="1" applyBorder="1" applyAlignment="1">
      <alignment horizontal="center" vertical="center" wrapText="1"/>
    </xf>
    <xf numFmtId="0" fontId="1" fillId="2" borderId="12" xfId="510" applyFont="1" applyFill="1" applyBorder="1" applyAlignment="1">
      <alignment horizontal="center"/>
    </xf>
    <xf numFmtId="3" fontId="0" fillId="7" borderId="12" xfId="0" applyNumberFormat="1" applyFill="1" applyBorder="1" applyAlignment="1" applyProtection="1">
      <alignment horizontal="right"/>
      <protection locked="0"/>
    </xf>
    <xf numFmtId="0" fontId="7" fillId="5" borderId="0" xfId="0" applyFont="1" applyFill="1" applyAlignment="1">
      <alignment horizontal="center" vertical="center" wrapText="1"/>
    </xf>
    <xf numFmtId="167" fontId="8" fillId="0" borderId="8" xfId="0" applyNumberFormat="1" applyFont="1" applyBorder="1" applyAlignment="1">
      <alignment horizontal="center" vertical="center" wrapText="1"/>
    </xf>
    <xf numFmtId="0" fontId="0" fillId="7" borderId="12" xfId="0" applyFill="1" applyBorder="1" applyAlignment="1" applyProtection="1">
      <alignment horizontal="left"/>
      <protection locked="0"/>
    </xf>
    <xf numFmtId="168" fontId="0" fillId="7" borderId="10" xfId="0" applyNumberFormat="1" applyFill="1" applyBorder="1" applyAlignment="1" applyProtection="1">
      <alignment horizontal="right"/>
      <protection locked="0"/>
    </xf>
    <xf numFmtId="0" fontId="1" fillId="0" borderId="18" xfId="0" applyFont="1" applyBorder="1" applyAlignment="1">
      <alignment horizontal="center" wrapText="1"/>
    </xf>
    <xf numFmtId="9" fontId="9" fillId="0" borderId="12" xfId="0" applyNumberFormat="1" applyFont="1" applyBorder="1" applyAlignment="1">
      <alignment horizontal="center"/>
    </xf>
    <xf numFmtId="3" fontId="0" fillId="0" borderId="12" xfId="0" applyNumberFormat="1" applyBorder="1" applyAlignment="1">
      <alignment horizontal="right"/>
    </xf>
    <xf numFmtId="0" fontId="99" fillId="0" borderId="15" xfId="510" applyFont="1" applyBorder="1" applyAlignment="1">
      <alignment horizontal="center" vertical="center" wrapText="1"/>
    </xf>
    <xf numFmtId="10" fontId="0" fillId="7" borderId="12" xfId="0" applyNumberFormat="1" applyFill="1" applyBorder="1" applyAlignment="1" applyProtection="1">
      <alignment horizontal="right"/>
      <protection locked="0"/>
    </xf>
    <xf numFmtId="0" fontId="8" fillId="0" borderId="3" xfId="0" applyFont="1" applyBorder="1" applyAlignment="1">
      <alignment horizontal="center" wrapText="1"/>
    </xf>
    <xf numFmtId="0" fontId="1" fillId="0" borderId="12" xfId="510" applyFont="1" applyBorder="1" applyAlignment="1">
      <alignment horizontal="center"/>
    </xf>
    <xf numFmtId="1" fontId="1" fillId="0" borderId="12" xfId="510" applyNumberFormat="1" applyFont="1" applyBorder="1" applyAlignment="1">
      <alignment horizontal="center"/>
    </xf>
    <xf numFmtId="0" fontId="1" fillId="0" borderId="12" xfId="0" applyFont="1" applyBorder="1"/>
    <xf numFmtId="0" fontId="1" fillId="0" borderId="0" xfId="510" applyFont="1" applyAlignment="1">
      <alignment wrapText="1"/>
    </xf>
    <xf numFmtId="168" fontId="0" fillId="0" borderId="5" xfId="0" applyNumberFormat="1" applyBorder="1" applyAlignment="1">
      <alignment horizontal="center"/>
    </xf>
    <xf numFmtId="0" fontId="0" fillId="7" borderId="5" xfId="0" applyFill="1" applyBorder="1" applyProtection="1">
      <protection locked="0"/>
    </xf>
    <xf numFmtId="0" fontId="99" fillId="0" borderId="15" xfId="510" applyFont="1" applyBorder="1" applyAlignment="1">
      <alignment horizontal="center" vertical="top" wrapText="1"/>
    </xf>
    <xf numFmtId="0" fontId="8" fillId="4" borderId="12" xfId="510" applyFont="1" applyFill="1" applyBorder="1" applyAlignment="1">
      <alignment horizontal="center"/>
    </xf>
    <xf numFmtId="0" fontId="8" fillId="0" borderId="18" xfId="510" applyFont="1" applyBorder="1" applyAlignment="1">
      <alignment horizontal="left" vertical="top" wrapText="1"/>
    </xf>
    <xf numFmtId="3" fontId="10" fillId="0" borderId="12" xfId="0" applyNumberFormat="1" applyFont="1" applyBorder="1" applyAlignment="1">
      <alignment horizontal="center"/>
    </xf>
    <xf numFmtId="0" fontId="10" fillId="7" borderId="5" xfId="0" applyFont="1" applyFill="1" applyBorder="1" applyProtection="1">
      <protection locked="0"/>
    </xf>
    <xf numFmtId="165" fontId="0" fillId="7" borderId="5" xfId="0" applyNumberFormat="1" applyFill="1" applyBorder="1" applyAlignment="1" applyProtection="1">
      <alignment horizontal="left"/>
      <protection locked="0"/>
    </xf>
    <xf numFmtId="1" fontId="0" fillId="43" borderId="4" xfId="0" applyNumberFormat="1" applyFill="1" applyBorder="1" applyAlignment="1" applyProtection="1">
      <alignment horizontal="center"/>
      <protection locked="0"/>
    </xf>
    <xf numFmtId="0" fontId="18" fillId="0" borderId="12" xfId="0" applyFont="1" applyBorder="1" applyAlignment="1">
      <alignment horizontal="center" vertical="center" wrapText="1"/>
    </xf>
    <xf numFmtId="0" fontId="1" fillId="7" borderId="4" xfId="0" applyFont="1" applyFill="1" applyBorder="1" applyAlignment="1" applyProtection="1">
      <alignment horizontal="center"/>
      <protection locked="0"/>
    </xf>
    <xf numFmtId="2" fontId="0" fillId="0" borderId="5" xfId="0" applyNumberFormat="1" applyBorder="1" applyAlignment="1">
      <alignment horizontal="center"/>
    </xf>
    <xf numFmtId="49" fontId="1" fillId="7" borderId="12" xfId="510" applyNumberFormat="1" applyFont="1" applyFill="1" applyBorder="1" applyAlignment="1">
      <alignment horizontal="center"/>
    </xf>
    <xf numFmtId="0" fontId="8" fillId="0" borderId="15" xfId="0" applyFont="1" applyBorder="1" applyAlignment="1">
      <alignment horizontal="center" wrapText="1"/>
    </xf>
    <xf numFmtId="178" fontId="0" fillId="7" borderId="4" xfId="0" applyNumberFormat="1" applyFill="1" applyBorder="1" applyAlignment="1" applyProtection="1">
      <alignment horizontal="left"/>
      <protection locked="0"/>
    </xf>
    <xf numFmtId="0" fontId="10" fillId="0" borderId="3" xfId="0" applyFont="1" applyBorder="1" applyAlignment="1">
      <alignment horizontal="left"/>
    </xf>
    <xf numFmtId="0" fontId="0" fillId="7" borderId="12" xfId="0" quotePrefix="1" applyFill="1" applyBorder="1" applyAlignment="1" applyProtection="1">
      <alignment horizontal="right"/>
      <protection locked="0"/>
    </xf>
    <xf numFmtId="0" fontId="45" fillId="0" borderId="12" xfId="0" applyFont="1" applyBorder="1" applyAlignment="1">
      <alignment horizontal="center" vertical="center" wrapText="1"/>
    </xf>
    <xf numFmtId="0" fontId="10" fillId="0" borderId="12" xfId="0" applyFont="1" applyBorder="1"/>
    <xf numFmtId="1" fontId="0" fillId="7" borderId="4" xfId="0" applyNumberFormat="1" applyFill="1" applyBorder="1" applyAlignment="1" applyProtection="1">
      <alignment horizontal="center" vertical="top" wrapText="1"/>
      <protection locked="0"/>
    </xf>
    <xf numFmtId="0" fontId="9" fillId="7" borderId="12" xfId="510" applyFont="1" applyFill="1" applyBorder="1" applyAlignment="1" applyProtection="1">
      <alignment horizontal="left" vertical="top" wrapText="1"/>
      <protection locked="0"/>
    </xf>
    <xf numFmtId="168" fontId="0" fillId="7" borderId="8" xfId="0" applyNumberFormat="1" applyFill="1" applyBorder="1" applyAlignment="1" applyProtection="1">
      <alignment horizontal="right"/>
      <protection locked="0"/>
    </xf>
    <xf numFmtId="168" fontId="10" fillId="7" borderId="15" xfId="0" applyNumberFormat="1" applyFont="1" applyFill="1" applyBorder="1" applyAlignment="1" applyProtection="1">
      <alignment horizontal="right"/>
      <protection locked="0"/>
    </xf>
    <xf numFmtId="168" fontId="0" fillId="43" borderId="5" xfId="0" applyNumberFormat="1" applyFill="1" applyBorder="1" applyAlignment="1" applyProtection="1">
      <alignment horizontal="right"/>
      <protection locked="0"/>
    </xf>
    <xf numFmtId="0" fontId="111" fillId="0" borderId="0" xfId="0" applyFont="1" applyAlignment="1" applyProtection="1">
      <alignment horizontal="left" vertical="top" wrapText="1"/>
      <protection locked="0"/>
    </xf>
    <xf numFmtId="0" fontId="8" fillId="0" borderId="3" xfId="0" applyFont="1" applyBorder="1" applyAlignment="1">
      <alignment horizontal="center" vertical="center"/>
    </xf>
    <xf numFmtId="0" fontId="10" fillId="0" borderId="4" xfId="0" applyFont="1" applyBorder="1" applyAlignment="1" applyProtection="1">
      <alignment horizontal="left"/>
      <protection locked="0"/>
    </xf>
    <xf numFmtId="0" fontId="1" fillId="43" borderId="4" xfId="0" applyFont="1" applyFill="1" applyBorder="1" applyAlignment="1" applyProtection="1">
      <alignment horizontal="left" wrapText="1"/>
      <protection locked="0"/>
    </xf>
    <xf numFmtId="0" fontId="1" fillId="0" borderId="15" xfId="510" applyFont="1" applyBorder="1" applyAlignment="1">
      <alignment horizontal="left" vertical="center" wrapText="1"/>
    </xf>
    <xf numFmtId="0" fontId="8" fillId="0" borderId="0" xfId="510" applyFont="1" applyAlignment="1">
      <alignment horizontal="left" vertical="center" wrapText="1"/>
    </xf>
    <xf numFmtId="168" fontId="1" fillId="7" borderId="15" xfId="0" applyNumberFormat="1" applyFont="1" applyFill="1" applyBorder="1" applyAlignment="1" applyProtection="1">
      <alignment horizontal="right"/>
      <protection locked="0"/>
    </xf>
    <xf numFmtId="14" fontId="0" fillId="7" borderId="5" xfId="0" applyNumberFormat="1" applyFill="1" applyBorder="1" applyAlignment="1" applyProtection="1">
      <alignment horizontal="center"/>
      <protection locked="0"/>
    </xf>
    <xf numFmtId="14" fontId="0" fillId="7" borderId="12" xfId="0" applyNumberFormat="1" applyFill="1" applyBorder="1" applyAlignment="1" applyProtection="1">
      <alignment horizontal="right"/>
      <protection locked="0"/>
    </xf>
    <xf numFmtId="0" fontId="8" fillId="0" borderId="18" xfId="510" applyFont="1" applyBorder="1" applyAlignment="1">
      <alignment horizontal="right"/>
    </xf>
    <xf numFmtId="1" fontId="1" fillId="0" borderId="12" xfId="0" applyNumberFormat="1" applyFont="1" applyBorder="1" applyAlignment="1">
      <alignment horizontal="center"/>
    </xf>
    <xf numFmtId="1" fontId="1" fillId="7" borderId="5" xfId="0" applyNumberFormat="1" applyFont="1" applyFill="1" applyBorder="1" applyAlignment="1" applyProtection="1">
      <alignment horizontal="right"/>
      <protection locked="0"/>
    </xf>
    <xf numFmtId="0" fontId="21" fillId="7" borderId="12" xfId="510" applyFont="1" applyFill="1" applyBorder="1" applyAlignment="1">
      <alignment horizontal="center"/>
    </xf>
    <xf numFmtId="0" fontId="1" fillId="7" borderId="9" xfId="0" applyFont="1" applyFill="1" applyBorder="1" applyAlignment="1" applyProtection="1">
      <alignment horizontal="center"/>
      <protection locked="0"/>
    </xf>
    <xf numFmtId="0" fontId="0" fillId="0" borderId="0" xfId="0" applyAlignment="1">
      <alignment vertical="top" wrapText="1"/>
    </xf>
    <xf numFmtId="0" fontId="8" fillId="0" borderId="12" xfId="510" applyFont="1" applyBorder="1" applyAlignment="1">
      <alignment horizontal="right"/>
    </xf>
    <xf numFmtId="0" fontId="24" fillId="7" borderId="12" xfId="0" applyFont="1" applyFill="1" applyBorder="1" applyAlignment="1" applyProtection="1">
      <alignment horizontal="left"/>
      <protection locked="0"/>
    </xf>
    <xf numFmtId="0" fontId="0" fillId="7" borderId="12" xfId="0" applyFill="1" applyBorder="1" applyAlignment="1" applyProtection="1">
      <alignment horizontal="center" vertical="top"/>
      <protection locked="0"/>
    </xf>
    <xf numFmtId="168" fontId="1" fillId="7" borderId="8" xfId="0" applyNumberFormat="1" applyFont="1" applyFill="1" applyBorder="1" applyAlignment="1" applyProtection="1">
      <alignment horizontal="right"/>
      <protection locked="0"/>
    </xf>
    <xf numFmtId="0" fontId="8" fillId="0" borderId="3" xfId="0" applyFont="1" applyBorder="1" applyAlignment="1">
      <alignment horizontal="center" vertical="center" wrapText="1"/>
    </xf>
    <xf numFmtId="0" fontId="8" fillId="7" borderId="12" xfId="0" applyFont="1" applyFill="1" applyBorder="1" applyAlignment="1" applyProtection="1">
      <alignment horizontal="right"/>
      <protection locked="0"/>
    </xf>
    <xf numFmtId="3" fontId="10" fillId="0" borderId="0" xfId="0" applyNumberFormat="1" applyFont="1" applyAlignment="1">
      <alignment horizontal="center"/>
    </xf>
    <xf numFmtId="0" fontId="1" fillId="0" borderId="17" xfId="510" applyFont="1" applyBorder="1" applyAlignment="1">
      <alignment horizontal="left" vertical="center" wrapText="1"/>
    </xf>
    <xf numFmtId="169" fontId="0" fillId="0" borderId="5" xfId="0" applyNumberFormat="1" applyBorder="1" applyAlignment="1">
      <alignment horizontal="center"/>
    </xf>
    <xf numFmtId="1" fontId="0" fillId="7" borderId="4" xfId="0" applyNumberForma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10" fillId="7" borderId="5" xfId="237" applyFont="1" applyFill="1" applyBorder="1" applyProtection="1">
      <protection locked="0"/>
    </xf>
    <xf numFmtId="0" fontId="10" fillId="7" borderId="5" xfId="237"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8" fontId="10" fillId="7" borderId="5" xfId="237" applyNumberFormat="1" applyFont="1" applyFill="1" applyBorder="1" applyAlignment="1" applyProtection="1">
      <alignment horizontal="right"/>
      <protection locked="0"/>
    </xf>
    <xf numFmtId="0" fontId="8" fillId="0" borderId="3" xfId="0" applyFont="1" applyBorder="1" applyAlignment="1">
      <alignment horizontal="center"/>
    </xf>
    <xf numFmtId="0" fontId="28" fillId="0" borderId="15" xfId="510" applyFont="1" applyBorder="1" applyAlignment="1">
      <alignment horizontal="center" vertical="center"/>
    </xf>
    <xf numFmtId="0" fontId="99" fillId="0" borderId="17" xfId="510" applyFont="1" applyBorder="1" applyAlignment="1">
      <alignment horizontal="center" vertical="center" wrapText="1"/>
    </xf>
    <xf numFmtId="1" fontId="0" fillId="7" borderId="12"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4" fontId="1" fillId="7" borderId="4" xfId="0" applyNumberFormat="1" applyFont="1" applyFill="1" applyBorder="1" applyAlignment="1" applyProtection="1">
      <alignment horizontal="right"/>
      <protection locked="0"/>
    </xf>
    <xf numFmtId="168" fontId="10" fillId="0" borderId="12" xfId="0" applyNumberFormat="1" applyFont="1" applyBorder="1" applyAlignment="1">
      <alignment horizontal="center"/>
    </xf>
    <xf numFmtId="167"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0" fontId="10" fillId="0" borderId="5" xfId="0" applyFont="1" applyBorder="1" applyAlignment="1">
      <alignment horizontal="left"/>
    </xf>
    <xf numFmtId="0" fontId="1" fillId="0" borderId="17" xfId="510" applyFont="1" applyBorder="1" applyAlignment="1">
      <alignment horizontal="left" vertical="top" wrapText="1"/>
    </xf>
    <xf numFmtId="14" fontId="0" fillId="7" borderId="12" xfId="0" quotePrefix="1" applyNumberFormat="1" applyFill="1" applyBorder="1" applyAlignment="1" applyProtection="1">
      <alignment horizontal="right"/>
      <protection locked="0"/>
    </xf>
    <xf numFmtId="0" fontId="1" fillId="7" borderId="12" xfId="0" applyFont="1" applyFill="1" applyBorder="1" applyAlignment="1" applyProtection="1">
      <alignment horizontal="right"/>
      <protection locked="0"/>
    </xf>
    <xf numFmtId="0" fontId="8" fillId="0" borderId="8" xfId="0" applyFont="1" applyBorder="1" applyAlignment="1">
      <alignment horizontal="center"/>
    </xf>
    <xf numFmtId="0" fontId="8" fillId="0" borderId="5" xfId="0" applyFont="1" applyBorder="1" applyAlignment="1">
      <alignment horizontal="center"/>
    </xf>
    <xf numFmtId="0" fontId="0" fillId="0" borderId="10" xfId="0" applyBorder="1" applyAlignment="1">
      <alignment horizontal="center"/>
    </xf>
    <xf numFmtId="168" fontId="1" fillId="7" borderId="12" xfId="0" applyNumberFormat="1" applyFont="1" applyFill="1" applyBorder="1" applyAlignment="1" applyProtection="1">
      <alignment horizontal="left" vertical="top"/>
      <protection locked="0"/>
    </xf>
    <xf numFmtId="1" fontId="9" fillId="7" borderId="5" xfId="0" applyNumberFormat="1" applyFont="1" applyFill="1" applyBorder="1" applyAlignment="1" applyProtection="1">
      <alignment horizontal="center"/>
      <protection locked="0"/>
    </xf>
    <xf numFmtId="3" fontId="33" fillId="4" borderId="0" xfId="510" applyNumberFormat="1" applyFont="1" applyFill="1" applyAlignment="1">
      <alignment horizontal="left" vertical="center" wrapText="1"/>
    </xf>
    <xf numFmtId="0" fontId="49" fillId="2" borderId="12" xfId="0" applyFont="1" applyFill="1" applyBorder="1" applyAlignment="1">
      <alignment horizontal="center" vertical="top"/>
    </xf>
    <xf numFmtId="0" fontId="10" fillId="0" borderId="5" xfId="0" applyFont="1" applyBorder="1" applyAlignment="1">
      <alignment vertical="top" wrapText="1"/>
    </xf>
    <xf numFmtId="179" fontId="10" fillId="7" borderId="5" xfId="0" applyNumberFormat="1" applyFont="1" applyFill="1" applyBorder="1" applyAlignment="1" applyProtection="1">
      <alignment horizontal="left" vertical="top" wrapText="1"/>
      <protection locked="0"/>
    </xf>
    <xf numFmtId="0" fontId="10" fillId="0" borderId="2" xfId="0" applyFont="1" applyBorder="1" applyAlignment="1">
      <alignment horizontal="left" vertical="top" wrapText="1"/>
    </xf>
    <xf numFmtId="0" fontId="24" fillId="0" borderId="0" xfId="0" applyFont="1" applyAlignment="1">
      <alignment vertical="top" wrapText="1"/>
    </xf>
    <xf numFmtId="0" fontId="10" fillId="0" borderId="2" xfId="0" applyFont="1" applyBorder="1" applyAlignment="1">
      <alignment vertical="top" wrapText="1"/>
    </xf>
    <xf numFmtId="0" fontId="45" fillId="0" borderId="0" xfId="0" applyFont="1" applyAlignment="1">
      <alignment vertical="top" wrapText="1"/>
    </xf>
    <xf numFmtId="0" fontId="10" fillId="0" borderId="5" xfId="0" applyFont="1" applyBorder="1" applyAlignment="1">
      <alignment horizontal="right" vertical="top" wrapText="1"/>
    </xf>
    <xf numFmtId="0" fontId="8" fillId="0" borderId="0" xfId="0" applyFont="1" applyAlignment="1">
      <alignment horizontal="center" wrapText="1"/>
    </xf>
    <xf numFmtId="9" fontId="0" fillId="0" borderId="8" xfId="0" applyNumberFormat="1" applyBorder="1" applyAlignment="1">
      <alignment horizontal="center"/>
    </xf>
    <xf numFmtId="168" fontId="0" fillId="7" borderId="8" xfId="0" applyNumberFormat="1" applyFill="1" applyBorder="1" applyAlignment="1" applyProtection="1">
      <alignment horizontal="center"/>
      <protection locked="0"/>
    </xf>
    <xf numFmtId="0" fontId="9" fillId="7" borderId="8" xfId="0" applyFont="1" applyFill="1" applyBorder="1" applyAlignment="1" applyProtection="1">
      <alignment horizontal="left"/>
      <protection locked="0"/>
    </xf>
    <xf numFmtId="168" fontId="0" fillId="0" borderId="8" xfId="0" applyNumberFormat="1" applyBorder="1" applyAlignment="1">
      <alignment horizontal="center"/>
    </xf>
    <xf numFmtId="0" fontId="24" fillId="0" borderId="0" xfId="0" applyFont="1" applyAlignment="1">
      <alignment horizontal="left" vertical="center" wrapText="1"/>
    </xf>
    <xf numFmtId="168" fontId="1" fillId="0" borderId="8" xfId="0" applyNumberFormat="1" applyFont="1" applyBorder="1" applyAlignment="1">
      <alignment horizontal="center"/>
    </xf>
    <xf numFmtId="0" fontId="71" fillId="0" borderId="0" xfId="0" applyFont="1" applyAlignment="1">
      <alignment horizontal="left" vertical="top" wrapText="1"/>
    </xf>
    <xf numFmtId="0" fontId="71" fillId="0" borderId="0" xfId="0" applyFont="1" applyAlignment="1">
      <alignment horizontal="left" wrapText="1"/>
    </xf>
    <xf numFmtId="180" fontId="0" fillId="7" borderId="12" xfId="0" applyNumberFormat="1" applyFill="1" applyBorder="1" applyAlignment="1" applyProtection="1">
      <alignment horizontal="right"/>
      <protection locked="0"/>
    </xf>
    <xf numFmtId="9" fontId="0" fillId="0" borderId="15" xfId="0" applyNumberFormat="1" applyBorder="1" applyAlignment="1">
      <alignment horizontal="center" vertical="center"/>
    </xf>
    <xf numFmtId="0" fontId="9" fillId="0" borderId="2" xfId="0" applyFont="1" applyBorder="1" applyAlignment="1">
      <alignment horizontal="left"/>
    </xf>
    <xf numFmtId="9" fontId="0" fillId="0" borderId="9" xfId="0" applyNumberFormat="1" applyBorder="1" applyAlignment="1">
      <alignment horizontal="center" vertical="center"/>
    </xf>
    <xf numFmtId="10" fontId="0" fillId="0" borderId="12" xfId="0" applyNumberFormat="1" applyBorder="1" applyAlignment="1">
      <alignment horizontal="center"/>
    </xf>
    <xf numFmtId="9" fontId="0" fillId="0" borderId="18" xfId="0" applyNumberFormat="1" applyBorder="1" applyAlignment="1">
      <alignment horizontal="center"/>
    </xf>
    <xf numFmtId="168" fontId="0" fillId="0" borderId="12" xfId="0" applyNumberFormat="1" applyBorder="1" applyAlignment="1">
      <alignment wrapText="1"/>
    </xf>
    <xf numFmtId="0" fontId="21" fillId="0" borderId="12" xfId="0" applyFont="1" applyBorder="1" applyAlignment="1">
      <alignment horizontal="right"/>
    </xf>
    <xf numFmtId="0" fontId="8" fillId="0" borderId="12" xfId="0" applyFont="1" applyBorder="1" applyAlignment="1">
      <alignment horizontal="center" wrapText="1"/>
    </xf>
    <xf numFmtId="0" fontId="21" fillId="0" borderId="8" xfId="0" applyFont="1" applyBorder="1" applyAlignment="1">
      <alignment horizontal="left"/>
    </xf>
    <xf numFmtId="168" fontId="0" fillId="2" borderId="12" xfId="0" applyNumberFormat="1" applyFill="1" applyBorder="1" applyAlignment="1">
      <alignment horizontal="center"/>
    </xf>
    <xf numFmtId="168" fontId="0" fillId="7" borderId="10" xfId="0" applyNumberFormat="1" applyFill="1" applyBorder="1" applyAlignment="1" applyProtection="1">
      <alignment horizontal="center"/>
      <protection locked="0"/>
    </xf>
    <xf numFmtId="5" fontId="0" fillId="0" borderId="8" xfId="0" applyNumberFormat="1" applyBorder="1" applyAlignment="1">
      <alignment horizontal="center"/>
    </xf>
    <xf numFmtId="0" fontId="9" fillId="0" borderId="12" xfId="0" applyFont="1" applyBorder="1" applyAlignment="1">
      <alignment horizontal="right"/>
    </xf>
    <xf numFmtId="0" fontId="9" fillId="0" borderId="8" xfId="0" applyFont="1" applyBorder="1" applyAlignment="1">
      <alignment horizontal="left"/>
    </xf>
    <xf numFmtId="0" fontId="8" fillId="0" borderId="12" xfId="0" applyFont="1" applyBorder="1" applyAlignment="1">
      <alignment horizontal="left"/>
    </xf>
    <xf numFmtId="0" fontId="7" fillId="5" borderId="14" xfId="0" applyFont="1" applyFill="1" applyBorder="1" applyAlignment="1">
      <alignment horizontal="center" vertical="center" wrapText="1"/>
    </xf>
    <xf numFmtId="0" fontId="9" fillId="0" borderId="0" xfId="0" applyFont="1" applyAlignment="1">
      <alignment horizontal="left"/>
    </xf>
    <xf numFmtId="168" fontId="1" fillId="0" borderId="11" xfId="0" applyNumberFormat="1" applyFont="1" applyBorder="1" applyAlignment="1">
      <alignment horizontal="center"/>
    </xf>
    <xf numFmtId="168" fontId="0" fillId="0" borderId="18" xfId="0" applyNumberFormat="1" applyBorder="1" applyAlignment="1">
      <alignment horizontal="center"/>
    </xf>
    <xf numFmtId="168" fontId="0" fillId="0" borderId="11" xfId="0" applyNumberFormat="1" applyBorder="1" applyAlignment="1">
      <alignment horizontal="center"/>
    </xf>
    <xf numFmtId="168" fontId="0" fillId="7" borderId="15" xfId="0" applyNumberFormat="1" applyFill="1" applyBorder="1" applyAlignment="1" applyProtection="1">
      <alignment horizontal="center"/>
      <protection locked="0"/>
    </xf>
    <xf numFmtId="0" fontId="8" fillId="0" borderId="6" xfId="0" applyFont="1" applyBorder="1" applyAlignment="1">
      <alignment horizontal="center" wrapText="1"/>
    </xf>
    <xf numFmtId="0" fontId="24" fillId="0" borderId="2" xfId="0" applyFont="1" applyBorder="1" applyAlignment="1">
      <alignment horizontal="left" vertical="top"/>
    </xf>
    <xf numFmtId="0" fontId="9" fillId="0" borderId="0" xfId="0" applyFont="1" applyAlignment="1">
      <alignment horizontal="left" vertical="center" wrapText="1" shrinkToFit="1"/>
    </xf>
    <xf numFmtId="0" fontId="18" fillId="0" borderId="0" xfId="0" applyFont="1"/>
    <xf numFmtId="0" fontId="9" fillId="0" borderId="0" xfId="0" applyFont="1"/>
    <xf numFmtId="0" fontId="0" fillId="7" borderId="45" xfId="0" applyFill="1" applyBorder="1" applyAlignment="1" applyProtection="1">
      <alignment horizontal="center"/>
      <protection locked="0"/>
    </xf>
    <xf numFmtId="9" fontId="18" fillId="0" borderId="12" xfId="0" applyNumberFormat="1" applyFont="1" applyBorder="1" applyAlignment="1">
      <alignment horizontal="center"/>
    </xf>
    <xf numFmtId="1" fontId="9" fillId="0" borderId="20" xfId="0" applyNumberFormat="1" applyFont="1" applyBorder="1" applyAlignment="1">
      <alignment horizontal="center"/>
    </xf>
    <xf numFmtId="0" fontId="10" fillId="0" borderId="13" xfId="0" applyFont="1" applyBorder="1" applyAlignment="1">
      <alignment horizontal="left" vertical="top" wrapText="1"/>
    </xf>
    <xf numFmtId="0" fontId="9" fillId="7" borderId="5" xfId="0" applyFont="1" applyFill="1" applyBorder="1" applyAlignment="1" applyProtection="1">
      <alignment horizontal="left"/>
      <protection locked="0"/>
    </xf>
    <xf numFmtId="168" fontId="115" fillId="0" borderId="13" xfId="0" applyNumberFormat="1" applyFont="1" applyBorder="1" applyAlignment="1">
      <alignment horizontal="center" vertical="center" wrapText="1"/>
    </xf>
    <xf numFmtId="0" fontId="33" fillId="0" borderId="12" xfId="0" applyFont="1" applyBorder="1" applyAlignment="1">
      <alignment horizontal="center"/>
    </xf>
    <xf numFmtId="1" fontId="10" fillId="0" borderId="12" xfId="0" applyNumberFormat="1" applyFont="1" applyBorder="1" applyAlignment="1">
      <alignment horizontal="center"/>
    </xf>
    <xf numFmtId="0" fontId="46" fillId="0" borderId="8" xfId="0" applyFont="1" applyBorder="1" applyAlignment="1">
      <alignment horizontal="left"/>
    </xf>
    <xf numFmtId="0" fontId="0" fillId="7" borderId="40" xfId="0" applyFill="1" applyBorder="1" applyAlignment="1" applyProtection="1">
      <alignment horizontal="center"/>
      <protection locked="0"/>
    </xf>
    <xf numFmtId="0" fontId="0" fillId="0" borderId="41" xfId="0" applyBorder="1" applyProtection="1">
      <protection locked="0"/>
    </xf>
    <xf numFmtId="1" fontId="9" fillId="0" borderId="12" xfId="0" applyNumberFormat="1" applyFont="1" applyBorder="1" applyAlignment="1">
      <alignment horizontal="center"/>
    </xf>
    <xf numFmtId="0" fontId="18" fillId="4" borderId="12" xfId="0" applyFont="1" applyFill="1" applyBorder="1" applyAlignment="1">
      <alignment horizontal="right"/>
    </xf>
    <xf numFmtId="169" fontId="9" fillId="0" borderId="12" xfId="0" applyNumberFormat="1" applyFont="1" applyBorder="1" applyAlignment="1">
      <alignment horizontal="center"/>
    </xf>
    <xf numFmtId="167" fontId="1" fillId="0" borderId="12" xfId="510" applyNumberFormat="1" applyFont="1" applyBorder="1" applyAlignment="1">
      <alignment horizontal="center"/>
    </xf>
    <xf numFmtId="0" fontId="9" fillId="0" borderId="12" xfId="0" applyFont="1" applyBorder="1" applyAlignment="1">
      <alignment horizontal="center"/>
    </xf>
    <xf numFmtId="1" fontId="35" fillId="0" borderId="12" xfId="0" quotePrefix="1" applyNumberFormat="1" applyFont="1" applyBorder="1" applyAlignment="1">
      <alignment horizontal="center" wrapText="1"/>
    </xf>
    <xf numFmtId="1" fontId="10" fillId="12" borderId="12" xfId="0" applyNumberFormat="1" applyFont="1" applyFill="1" applyBorder="1" applyAlignment="1">
      <alignment horizontal="center"/>
    </xf>
    <xf numFmtId="0" fontId="0" fillId="13" borderId="12" xfId="0" applyFill="1" applyBorder="1" applyAlignment="1">
      <alignment horizontal="center"/>
    </xf>
    <xf numFmtId="0" fontId="33" fillId="2" borderId="12" xfId="0" applyFont="1" applyFill="1" applyBorder="1" applyAlignment="1">
      <alignment horizontal="center"/>
    </xf>
    <xf numFmtId="0" fontId="9" fillId="0" borderId="5" xfId="0" applyFont="1" applyBorder="1" applyAlignment="1">
      <alignment horizontal="left" vertical="top" wrapText="1"/>
    </xf>
    <xf numFmtId="169" fontId="9" fillId="0" borderId="21" xfId="0" applyNumberFormat="1" applyFont="1" applyBorder="1" applyAlignment="1">
      <alignment horizontal="center"/>
    </xf>
    <xf numFmtId="0" fontId="0" fillId="0" borderId="39" xfId="0" applyBorder="1"/>
    <xf numFmtId="0" fontId="9" fillId="4" borderId="12" xfId="0" applyFont="1" applyFill="1" applyBorder="1" applyAlignment="1">
      <alignment horizontal="center"/>
    </xf>
    <xf numFmtId="2" fontId="9" fillId="0" borderId="12" xfId="0" applyNumberFormat="1" applyFont="1" applyBorder="1" applyAlignment="1">
      <alignment horizontal="center"/>
    </xf>
    <xf numFmtId="1" fontId="9" fillId="0" borderId="24" xfId="0" applyNumberFormat="1" applyFont="1" applyBorder="1" applyAlignment="1">
      <alignment horizontal="center"/>
    </xf>
    <xf numFmtId="0" fontId="0" fillId="0" borderId="38" xfId="0" applyBorder="1"/>
    <xf numFmtId="0" fontId="9" fillId="0" borderId="0" xfId="0" applyFont="1" applyAlignment="1">
      <alignment horizontal="left" vertical="top" wrapText="1"/>
    </xf>
    <xf numFmtId="1" fontId="10" fillId="0" borderId="56" xfId="0" applyNumberFormat="1" applyFont="1" applyBorder="1" applyAlignment="1">
      <alignment horizontal="center"/>
    </xf>
    <xf numFmtId="44" fontId="9" fillId="0" borderId="0" xfId="137" applyFont="1" applyAlignment="1">
      <alignment horizontal="left" vertical="top" wrapText="1"/>
    </xf>
    <xf numFmtId="0" fontId="9" fillId="0" borderId="41" xfId="0" applyFont="1" applyBorder="1" applyAlignment="1">
      <alignment horizontal="left" vertical="top" wrapText="1"/>
    </xf>
    <xf numFmtId="0" fontId="0" fillId="0" borderId="41" xfId="0" applyBorder="1"/>
    <xf numFmtId="0" fontId="9" fillId="7" borderId="5" xfId="0" applyFont="1" applyFill="1" applyBorder="1" applyAlignment="1" applyProtection="1">
      <alignment horizontal="center" vertical="center" wrapText="1" shrinkToFit="1"/>
      <protection locked="0"/>
    </xf>
    <xf numFmtId="0" fontId="0" fillId="0" borderId="12" xfId="0" applyBorder="1" applyAlignment="1">
      <alignment horizontal="center"/>
    </xf>
    <xf numFmtId="0" fontId="10" fillId="0" borderId="3" xfId="0" applyFont="1" applyBorder="1" applyAlignment="1">
      <alignment horizontal="center"/>
    </xf>
    <xf numFmtId="0" fontId="0" fillId="2" borderId="12" xfId="0" applyFill="1" applyBorder="1" applyAlignment="1">
      <alignment horizontal="center"/>
    </xf>
    <xf numFmtId="0" fontId="0" fillId="11" borderId="12" xfId="0" applyFill="1" applyBorder="1" applyAlignment="1">
      <alignment horizontal="center"/>
    </xf>
    <xf numFmtId="9" fontId="18" fillId="0" borderId="17" xfId="0" applyNumberFormat="1" applyFont="1" applyBorder="1" applyAlignment="1">
      <alignment horizontal="center"/>
    </xf>
    <xf numFmtId="0" fontId="21" fillId="7" borderId="5" xfId="0" applyFont="1" applyFill="1" applyBorder="1" applyAlignment="1" applyProtection="1">
      <alignment horizontal="center"/>
      <protection locked="0"/>
    </xf>
    <xf numFmtId="0" fontId="8" fillId="0" borderId="44" xfId="0" applyFont="1" applyBorder="1" applyAlignment="1">
      <alignment horizontal="center" vertical="top"/>
    </xf>
    <xf numFmtId="0" fontId="0" fillId="0" borderId="44" xfId="0" applyBorder="1"/>
    <xf numFmtId="2" fontId="9" fillId="38" borderId="12" xfId="0" applyNumberFormat="1" applyFont="1" applyFill="1" applyBorder="1" applyAlignment="1">
      <alignment horizontal="center"/>
    </xf>
    <xf numFmtId="10" fontId="9" fillId="0" borderId="12" xfId="534" applyNumberFormat="1" applyFont="1" applyBorder="1" applyAlignment="1">
      <alignment horizontal="center"/>
    </xf>
    <xf numFmtId="0" fontId="45" fillId="0" borderId="8" xfId="0" applyFont="1" applyBorder="1" applyAlignment="1">
      <alignment horizontal="left"/>
    </xf>
    <xf numFmtId="169" fontId="9" fillId="38" borderId="12" xfId="0" applyNumberFormat="1" applyFont="1" applyFill="1" applyBorder="1" applyAlignment="1">
      <alignment horizontal="center"/>
    </xf>
    <xf numFmtId="0" fontId="9" fillId="0" borderId="12" xfId="0" quotePrefix="1" applyFont="1" applyBorder="1" applyAlignment="1">
      <alignment horizontal="center" wrapText="1"/>
    </xf>
    <xf numFmtId="0" fontId="18" fillId="0" borderId="12" xfId="510" applyFont="1" applyBorder="1" applyAlignment="1">
      <alignment horizontal="center"/>
    </xf>
    <xf numFmtId="0" fontId="9" fillId="38" borderId="12" xfId="0" applyFont="1" applyFill="1" applyBorder="1" applyAlignment="1" applyProtection="1">
      <alignment horizontal="center"/>
      <protection locked="0"/>
    </xf>
    <xf numFmtId="1" fontId="10" fillId="11" borderId="12" xfId="0" applyNumberFormat="1" applyFont="1" applyFill="1" applyBorder="1" applyAlignment="1">
      <alignment horizontal="center" vertical="center"/>
    </xf>
    <xf numFmtId="9" fontId="9" fillId="7" borderId="5" xfId="0" applyNumberFormat="1" applyFont="1" applyFill="1" applyBorder="1" applyAlignment="1" applyProtection="1">
      <alignment horizontal="left"/>
      <protection locked="0"/>
    </xf>
    <xf numFmtId="0" fontId="18" fillId="0" borderId="7" xfId="0" applyFont="1" applyBorder="1" applyAlignment="1">
      <alignment horizontal="center" wrapText="1"/>
    </xf>
    <xf numFmtId="0" fontId="8" fillId="0" borderId="0" xfId="0" applyFont="1"/>
    <xf numFmtId="0" fontId="9" fillId="11" borderId="12" xfId="0" applyFont="1" applyFill="1" applyBorder="1" applyAlignment="1">
      <alignment horizontal="center"/>
    </xf>
    <xf numFmtId="0" fontId="8" fillId="11" borderId="4" xfId="0" applyFont="1" applyFill="1" applyBorder="1" applyAlignment="1">
      <alignment horizontal="center"/>
    </xf>
    <xf numFmtId="168" fontId="1" fillId="0" borderId="0" xfId="510" applyNumberFormat="1" applyFont="1"/>
    <xf numFmtId="0" fontId="18" fillId="10" borderId="7" xfId="0" applyFont="1" applyFill="1" applyBorder="1" applyAlignment="1">
      <alignment horizontal="center" wrapText="1"/>
    </xf>
    <xf numFmtId="0" fontId="21" fillId="0" borderId="12" xfId="0" applyFont="1" applyBorder="1" applyAlignment="1">
      <alignment horizontal="center"/>
    </xf>
    <xf numFmtId="0" fontId="9" fillId="0" borderId="12" xfId="0" applyFont="1" applyBorder="1" applyAlignment="1">
      <alignment horizontal="center" vertical="center"/>
    </xf>
    <xf numFmtId="0" fontId="8" fillId="0" borderId="0" xfId="0" applyFont="1" applyAlignment="1">
      <alignment horizontal="right"/>
    </xf>
    <xf numFmtId="0" fontId="8" fillId="0" borderId="42" xfId="0" applyFont="1" applyBorder="1" applyAlignment="1">
      <alignment horizontal="center" vertical="top"/>
    </xf>
    <xf numFmtId="0" fontId="0" fillId="0" borderId="42" xfId="0" applyBorder="1"/>
    <xf numFmtId="0" fontId="51" fillId="0" borderId="0" xfId="0" applyFont="1" applyAlignment="1">
      <alignment horizontal="left" vertical="top" wrapText="1"/>
    </xf>
    <xf numFmtId="0" fontId="0" fillId="7" borderId="4" xfId="0" applyFill="1" applyBorder="1" applyAlignment="1" applyProtection="1">
      <alignment horizontal="left" wrapText="1"/>
      <protection locked="0"/>
    </xf>
    <xf numFmtId="174" fontId="1" fillId="0" borderId="12" xfId="510" applyNumberFormat="1" applyFont="1" applyBorder="1" applyAlignment="1">
      <alignment horizontal="center"/>
    </xf>
    <xf numFmtId="1" fontId="9" fillId="0" borderId="23" xfId="0" applyNumberFormat="1" applyFont="1" applyBorder="1" applyAlignment="1">
      <alignment horizontal="center"/>
    </xf>
    <xf numFmtId="169" fontId="9" fillId="0" borderId="24" xfId="0" applyNumberFormat="1" applyFont="1" applyBorder="1" applyAlignment="1">
      <alignment horizontal="center"/>
    </xf>
    <xf numFmtId="0" fontId="9" fillId="0" borderId="0" xfId="535" applyFont="1" applyAlignment="1">
      <alignment horizontal="left" vertical="top" wrapText="1"/>
    </xf>
    <xf numFmtId="0" fontId="9" fillId="0" borderId="41" xfId="535" applyFont="1" applyBorder="1" applyAlignment="1">
      <alignment horizontal="left" vertical="top" wrapText="1"/>
    </xf>
    <xf numFmtId="169" fontId="9" fillId="0" borderId="8" xfId="0" applyNumberFormat="1" applyFont="1" applyBorder="1" applyAlignment="1">
      <alignment horizontal="center"/>
    </xf>
    <xf numFmtId="0" fontId="18" fillId="0" borderId="12" xfId="0" applyFont="1" applyBorder="1" applyAlignment="1">
      <alignment horizontal="center" wrapText="1"/>
    </xf>
    <xf numFmtId="0" fontId="8" fillId="0" borderId="44" xfId="0" applyFont="1" applyBorder="1" applyAlignment="1">
      <alignment horizontal="center"/>
    </xf>
    <xf numFmtId="0" fontId="9" fillId="7" borderId="47" xfId="0" applyFont="1" applyFill="1" applyBorder="1" applyAlignment="1" applyProtection="1">
      <alignment horizontal="left" vertical="top" wrapText="1"/>
      <protection locked="0"/>
    </xf>
    <xf numFmtId="0" fontId="0" fillId="0" borderId="47" xfId="0" applyBorder="1" applyProtection="1">
      <protection locked="0"/>
    </xf>
    <xf numFmtId="0" fontId="45" fillId="0" borderId="12" xfId="0" applyFont="1" applyBorder="1" applyAlignment="1">
      <alignment horizontal="left"/>
    </xf>
    <xf numFmtId="0" fontId="9" fillId="0" borderId="0" xfId="0" applyFont="1" applyAlignment="1">
      <alignment vertical="center" wrapText="1"/>
    </xf>
    <xf numFmtId="0" fontId="8" fillId="0" borderId="0" xfId="0" applyFont="1" applyAlignment="1">
      <alignment horizontal="center" vertical="top"/>
    </xf>
    <xf numFmtId="0" fontId="9" fillId="0" borderId="47" xfId="0" applyFont="1" applyBorder="1" applyAlignment="1">
      <alignment horizontal="left" vertical="top" wrapText="1"/>
    </xf>
    <xf numFmtId="0" fontId="0" fillId="0" borderId="47" xfId="0" applyBorder="1"/>
    <xf numFmtId="0" fontId="9" fillId="38" borderId="3" xfId="0" applyFont="1" applyFill="1" applyBorder="1" applyAlignment="1">
      <alignment horizontal="right"/>
    </xf>
    <xf numFmtId="0" fontId="0" fillId="0" borderId="43" xfId="0" applyBorder="1" applyAlignment="1">
      <alignment horizontal="center"/>
    </xf>
    <xf numFmtId="0" fontId="18" fillId="38" borderId="17" xfId="0" applyFont="1" applyFill="1" applyBorder="1" applyAlignment="1">
      <alignment horizontal="center"/>
    </xf>
    <xf numFmtId="1" fontId="9" fillId="0" borderId="8" xfId="0" applyNumberFormat="1" applyFont="1" applyBorder="1" applyAlignment="1">
      <alignment horizontal="center"/>
    </xf>
    <xf numFmtId="0" fontId="9" fillId="39" borderId="5" xfId="0" applyFont="1" applyFill="1" applyBorder="1" applyAlignment="1">
      <alignment horizontal="left"/>
    </xf>
    <xf numFmtId="0" fontId="1" fillId="40" borderId="12" xfId="0" applyFont="1" applyFill="1" applyBorder="1" applyAlignment="1">
      <alignment horizontal="center"/>
    </xf>
    <xf numFmtId="0" fontId="24" fillId="0" borderId="41" xfId="0" applyFont="1" applyBorder="1" applyAlignment="1">
      <alignment horizontal="left" vertical="top" wrapText="1"/>
    </xf>
    <xf numFmtId="0" fontId="8" fillId="0" borderId="0" xfId="0" applyFont="1" applyAlignment="1">
      <alignment horizontal="center" vertical="center" wrapText="1"/>
    </xf>
    <xf numFmtId="49" fontId="9" fillId="38" borderId="8" xfId="0" applyNumberFormat="1" applyFont="1" applyFill="1" applyBorder="1" applyAlignment="1">
      <alignment horizontal="left"/>
    </xf>
    <xf numFmtId="0" fontId="9" fillId="7" borderId="47" xfId="0" applyFont="1" applyFill="1" applyBorder="1" applyAlignment="1" applyProtection="1">
      <alignment horizontal="left"/>
      <protection locked="0"/>
    </xf>
    <xf numFmtId="0" fontId="18" fillId="0" borderId="18" xfId="0" applyFont="1" applyBorder="1" applyAlignment="1">
      <alignment horizontal="center" vertical="center" wrapText="1"/>
    </xf>
    <xf numFmtId="0" fontId="9" fillId="0" borderId="53" xfId="0" applyFont="1" applyBorder="1" applyAlignment="1">
      <alignment horizontal="left" vertical="top" wrapText="1"/>
    </xf>
    <xf numFmtId="9" fontId="9" fillId="7" borderId="47" xfId="0" applyNumberFormat="1" applyFont="1" applyFill="1" applyBorder="1" applyAlignment="1" applyProtection="1">
      <alignment horizontal="left"/>
      <protection locked="0"/>
    </xf>
    <xf numFmtId="0" fontId="9" fillId="7" borderId="12" xfId="0" applyFont="1" applyFill="1" applyBorder="1" applyAlignment="1" applyProtection="1">
      <alignment horizontal="center"/>
      <protection locked="0"/>
    </xf>
    <xf numFmtId="1" fontId="9" fillId="0" borderId="22" xfId="0" applyNumberFormat="1" applyFont="1" applyBorder="1" applyAlignment="1">
      <alignment horizontal="center"/>
    </xf>
    <xf numFmtId="0" fontId="24" fillId="0" borderId="41" xfId="0" applyFont="1" applyBorder="1" applyAlignment="1">
      <alignment horizontal="left" wrapText="1"/>
    </xf>
    <xf numFmtId="0" fontId="0" fillId="7" borderId="49" xfId="0" applyFill="1" applyBorder="1" applyAlignment="1" applyProtection="1">
      <alignment horizontal="center"/>
      <protection locked="0"/>
    </xf>
    <xf numFmtId="0" fontId="0" fillId="0" borderId="50" xfId="0" applyBorder="1" applyProtection="1">
      <protection locked="0"/>
    </xf>
    <xf numFmtId="0" fontId="0" fillId="7" borderId="43" xfId="0" applyFill="1" applyBorder="1" applyAlignment="1" applyProtection="1">
      <alignment horizontal="center"/>
      <protection locked="0"/>
    </xf>
    <xf numFmtId="0" fontId="9" fillId="0" borderId="0" xfId="0" applyFont="1" applyAlignment="1">
      <alignment horizontal="left" wrapText="1"/>
    </xf>
    <xf numFmtId="0" fontId="9" fillId="0" borderId="0" xfId="0" applyFont="1" applyAlignment="1">
      <alignment horizontal="left" vertical="top" wrapText="1" shrinkToFit="1"/>
    </xf>
    <xf numFmtId="164" fontId="18" fillId="0" borderId="0" xfId="0" applyNumberFormat="1" applyFont="1" applyAlignment="1">
      <alignment horizontal="left" vertical="top" wrapText="1"/>
    </xf>
    <xf numFmtId="1" fontId="9" fillId="38" borderId="15" xfId="0" applyNumberFormat="1" applyFont="1" applyFill="1" applyBorder="1" applyAlignment="1">
      <alignment horizontal="center"/>
    </xf>
    <xf numFmtId="0" fontId="18" fillId="0" borderId="15" xfId="0" applyFont="1" applyBorder="1" applyAlignment="1">
      <alignment horizontal="center" vertical="center" wrapText="1"/>
    </xf>
    <xf numFmtId="0" fontId="31" fillId="0" borderId="18" xfId="0" applyFont="1" applyBorder="1" applyAlignment="1">
      <alignment horizontal="center" vertical="center" wrapText="1"/>
    </xf>
    <xf numFmtId="164" fontId="9" fillId="0" borderId="0" xfId="0" applyNumberFormat="1" applyFont="1" applyAlignment="1">
      <alignment horizontal="left" vertical="top" wrapText="1"/>
    </xf>
    <xf numFmtId="0" fontId="9" fillId="0" borderId="5" xfId="0" applyFont="1" applyBorder="1" applyAlignment="1">
      <alignment horizontal="left"/>
    </xf>
    <xf numFmtId="0" fontId="18" fillId="40" borderId="5" xfId="0" applyFont="1" applyFill="1" applyBorder="1" applyAlignment="1">
      <alignment horizontal="center"/>
    </xf>
    <xf numFmtId="0" fontId="1" fillId="7" borderId="4" xfId="0" applyFont="1" applyFill="1" applyBorder="1" applyAlignment="1" applyProtection="1">
      <alignment horizontal="left" wrapText="1"/>
      <protection locked="0"/>
    </xf>
    <xf numFmtId="0" fontId="9" fillId="7" borderId="5" xfId="0" applyFont="1" applyFill="1" applyBorder="1" applyAlignment="1" applyProtection="1">
      <alignment horizontal="left" wrapText="1" shrinkToFit="1"/>
      <protection locked="0"/>
    </xf>
    <xf numFmtId="0" fontId="110" fillId="0" borderId="0" xfId="0" applyFont="1" applyAlignment="1" applyProtection="1">
      <alignment horizontal="left"/>
      <protection locked="0"/>
    </xf>
    <xf numFmtId="169" fontId="9" fillId="0" borderId="15" xfId="0" applyNumberFormat="1" applyFont="1" applyBorder="1" applyAlignment="1">
      <alignment horizontal="center"/>
    </xf>
    <xf numFmtId="1" fontId="9" fillId="0" borderId="26" xfId="0" applyNumberFormat="1" applyFont="1" applyBorder="1" applyAlignment="1">
      <alignment horizontal="center"/>
    </xf>
    <xf numFmtId="1" fontId="9" fillId="0" borderId="25" xfId="0" applyNumberFormat="1" applyFont="1" applyBorder="1" applyAlignment="1">
      <alignment horizontal="center"/>
    </xf>
    <xf numFmtId="0" fontId="0" fillId="0" borderId="70" xfId="0" applyBorder="1"/>
    <xf numFmtId="1" fontId="8" fillId="0" borderId="12" xfId="0" applyNumberFormat="1" applyFont="1" applyBorder="1" applyAlignment="1">
      <alignment horizontal="center"/>
    </xf>
    <xf numFmtId="169" fontId="8" fillId="0" borderId="8" xfId="0" applyNumberFormat="1" applyFont="1" applyBorder="1" applyAlignment="1">
      <alignment horizontal="center"/>
    </xf>
    <xf numFmtId="169" fontId="10" fillId="0" borderId="15" xfId="0" applyNumberFormat="1" applyFont="1" applyBorder="1" applyAlignment="1">
      <alignment horizontal="center"/>
    </xf>
    <xf numFmtId="169" fontId="8" fillId="0" borderId="12" xfId="0" applyNumberFormat="1" applyFont="1" applyBorder="1" applyAlignment="1">
      <alignment horizontal="center"/>
    </xf>
    <xf numFmtId="0" fontId="18" fillId="0" borderId="18" xfId="0" applyFont="1" applyBorder="1" applyAlignment="1">
      <alignment horizontal="center" wrapText="1"/>
    </xf>
    <xf numFmtId="0" fontId="8" fillId="4" borderId="12" xfId="0" applyFont="1" applyFill="1" applyBorder="1" applyAlignment="1">
      <alignment horizontal="center" wrapText="1"/>
    </xf>
    <xf numFmtId="1" fontId="10" fillId="12" borderId="15" xfId="0" applyNumberFormat="1" applyFont="1" applyFill="1" applyBorder="1" applyAlignment="1">
      <alignment horizontal="center"/>
    </xf>
    <xf numFmtId="49" fontId="7" fillId="5" borderId="2" xfId="0" applyNumberFormat="1" applyFont="1" applyFill="1" applyBorder="1" applyAlignment="1">
      <alignment horizontal="center" vertical="center"/>
    </xf>
    <xf numFmtId="164" fontId="9" fillId="0" borderId="55" xfId="0" applyNumberFormat="1" applyFont="1" applyBorder="1" applyAlignment="1">
      <alignment horizontal="center" vertical="center" wrapText="1"/>
    </xf>
    <xf numFmtId="0" fontId="0" fillId="0" borderId="43" xfId="0" applyBorder="1"/>
    <xf numFmtId="0" fontId="0" fillId="0" borderId="46" xfId="0" applyBorder="1"/>
    <xf numFmtId="0" fontId="0" fillId="0" borderId="48" xfId="0" applyBorder="1"/>
    <xf numFmtId="10" fontId="18" fillId="0" borderId="12" xfId="534" applyNumberFormat="1" applyFont="1" applyBorder="1" applyAlignment="1">
      <alignment horizontal="center"/>
    </xf>
    <xf numFmtId="0" fontId="7" fillId="5" borderId="14" xfId="0" applyFont="1" applyFill="1" applyBorder="1" applyAlignment="1">
      <alignment horizontal="center" vertical="center"/>
    </xf>
    <xf numFmtId="0" fontId="18" fillId="0" borderId="0" xfId="0" applyFont="1" applyAlignment="1">
      <alignment horizontal="left" vertical="top" wrapText="1"/>
    </xf>
    <xf numFmtId="0" fontId="9" fillId="7" borderId="5" xfId="0" applyFont="1" applyFill="1" applyBorder="1" applyAlignment="1" applyProtection="1">
      <alignment horizontal="center"/>
      <protection locked="0"/>
    </xf>
    <xf numFmtId="0" fontId="18" fillId="40" borderId="2" xfId="0" applyFont="1" applyFill="1" applyBorder="1" applyAlignment="1">
      <alignment horizontal="center"/>
    </xf>
    <xf numFmtId="0" fontId="8" fillId="0" borderId="12" xfId="0" applyFont="1" applyBorder="1" applyAlignment="1">
      <alignment horizontal="right" vertical="center" wrapText="1"/>
    </xf>
    <xf numFmtId="0" fontId="0" fillId="3" borderId="12" xfId="0" applyFill="1" applyBorder="1" applyAlignment="1">
      <alignment horizontal="center"/>
    </xf>
    <xf numFmtId="0" fontId="0" fillId="0" borderId="12" xfId="0" applyBorder="1" applyAlignment="1">
      <alignment horizontal="center" wrapText="1"/>
    </xf>
    <xf numFmtId="0" fontId="1" fillId="0" borderId="0" xfId="510" applyFont="1" applyAlignment="1">
      <alignment vertical="top"/>
    </xf>
    <xf numFmtId="0" fontId="10" fillId="0" borderId="12" xfId="0" applyFont="1" applyBorder="1" applyAlignment="1">
      <alignment horizontal="center" wrapText="1"/>
    </xf>
    <xf numFmtId="169" fontId="16" fillId="0" borderId="12" xfId="0" applyNumberFormat="1" applyFont="1" applyBorder="1" applyAlignment="1">
      <alignment horizontal="center" vertical="center"/>
    </xf>
    <xf numFmtId="169" fontId="9" fillId="0" borderId="39" xfId="0" applyNumberFormat="1" applyFont="1" applyBorder="1" applyAlignment="1">
      <alignment horizontal="center"/>
    </xf>
    <xf numFmtId="164" fontId="16" fillId="0" borderId="12" xfId="0" applyNumberFormat="1" applyFont="1" applyBorder="1" applyAlignment="1">
      <alignment horizontal="right" vertical="center"/>
    </xf>
    <xf numFmtId="1" fontId="9" fillId="0" borderId="38" xfId="0" applyNumberFormat="1" applyFont="1" applyBorder="1" applyAlignment="1">
      <alignment horizontal="center"/>
    </xf>
    <xf numFmtId="1" fontId="9" fillId="0" borderId="15" xfId="0" applyNumberFormat="1" applyFont="1" applyBorder="1" applyAlignment="1">
      <alignment horizontal="center"/>
    </xf>
    <xf numFmtId="1" fontId="9" fillId="0" borderId="10" xfId="0" applyNumberFormat="1" applyFont="1" applyBorder="1" applyAlignment="1">
      <alignment horizontal="center"/>
    </xf>
    <xf numFmtId="0" fontId="9" fillId="7" borderId="0" xfId="0" applyFont="1" applyFill="1" applyAlignment="1" applyProtection="1">
      <alignment horizontal="left" vertical="top"/>
      <protection locked="0"/>
    </xf>
    <xf numFmtId="44" fontId="101" fillId="0" borderId="12" xfId="137" applyFont="1" applyBorder="1" applyAlignment="1">
      <alignment horizontal="center"/>
    </xf>
    <xf numFmtId="2" fontId="100" fillId="0" borderId="0" xfId="536" applyNumberFormat="1" applyFont="1" applyAlignment="1">
      <alignment horizontal="center"/>
    </xf>
    <xf numFmtId="0" fontId="100" fillId="0" borderId="0" xfId="536" applyFont="1"/>
    <xf numFmtId="173" fontId="100" fillId="0" borderId="0" xfId="536" applyNumberFormat="1" applyFont="1" applyAlignment="1">
      <alignment horizontal="center"/>
    </xf>
    <xf numFmtId="2" fontId="100" fillId="0" borderId="2" xfId="536" applyNumberFormat="1" applyFont="1" applyBorder="1" applyAlignment="1">
      <alignment horizontal="center"/>
    </xf>
    <xf numFmtId="181" fontId="101" fillId="0" borderId="12" xfId="536" applyNumberFormat="1" applyFont="1" applyBorder="1" applyAlignment="1">
      <alignment horizontal="center"/>
    </xf>
    <xf numFmtId="1" fontId="100" fillId="0" borderId="0" xfId="536" applyNumberFormat="1" applyFont="1" applyAlignment="1">
      <alignment horizontal="center"/>
    </xf>
    <xf numFmtId="0" fontId="100" fillId="0" borderId="0" xfId="536" applyFont="1" applyAlignment="1">
      <alignment horizontal="center"/>
    </xf>
    <xf numFmtId="1" fontId="100" fillId="0" borderId="5" xfId="536" applyNumberFormat="1" applyFont="1" applyBorder="1" applyAlignment="1">
      <alignment horizontal="center"/>
    </xf>
    <xf numFmtId="2" fontId="100" fillId="0" borderId="5" xfId="536" applyNumberFormat="1" applyFont="1" applyBorder="1" applyAlignment="1">
      <alignment horizontal="center"/>
    </xf>
    <xf numFmtId="1" fontId="100" fillId="0" borderId="2" xfId="536" applyNumberFormat="1" applyFont="1" applyBorder="1" applyAlignment="1">
      <alignment horizontal="center"/>
    </xf>
    <xf numFmtId="0" fontId="100" fillId="0" borderId="5" xfId="536" applyFont="1" applyBorder="1" applyAlignment="1">
      <alignment horizontal="center"/>
    </xf>
    <xf numFmtId="49" fontId="7" fillId="5" borderId="0" xfId="242" applyNumberFormat="1" applyFont="1" applyFill="1" applyAlignment="1">
      <alignment horizontal="center" vertical="center"/>
    </xf>
    <xf numFmtId="0" fontId="100" fillId="0" borderId="0" xfId="536" applyFont="1" applyAlignment="1">
      <alignment wrapText="1"/>
    </xf>
    <xf numFmtId="0" fontId="100" fillId="43" borderId="5" xfId="536" applyFont="1" applyFill="1" applyBorder="1" applyAlignment="1" applyProtection="1">
      <alignment horizontal="left"/>
      <protection locked="0"/>
    </xf>
    <xf numFmtId="175" fontId="100" fillId="0" borderId="5" xfId="536" applyNumberFormat="1" applyFont="1" applyBorder="1" applyAlignment="1">
      <alignment horizontal="center"/>
    </xf>
    <xf numFmtId="0" fontId="104" fillId="44" borderId="0" xfId="536" applyFont="1" applyFill="1" applyAlignment="1">
      <alignment horizontal="center"/>
    </xf>
    <xf numFmtId="0" fontId="100" fillId="43" borderId="5" xfId="536" applyFont="1" applyFill="1" applyBorder="1" applyAlignment="1" applyProtection="1">
      <alignment horizontal="center"/>
      <protection locked="0"/>
    </xf>
    <xf numFmtId="168" fontId="100" fillId="0" borderId="0" xfId="538" applyNumberFormat="1" applyFont="1" applyAlignment="1">
      <alignment horizontal="center" vertical="center"/>
    </xf>
    <xf numFmtId="49" fontId="100" fillId="43" borderId="5" xfId="536" applyNumberFormat="1" applyFont="1" applyFill="1" applyBorder="1" applyAlignment="1" applyProtection="1">
      <alignment horizontal="center"/>
      <protection locked="0"/>
    </xf>
    <xf numFmtId="168" fontId="6" fillId="0" borderId="4" xfId="237" applyNumberFormat="1" applyFont="1" applyBorder="1" applyAlignment="1">
      <alignment horizontal="right"/>
    </xf>
    <xf numFmtId="168" fontId="6" fillId="7" borderId="4" xfId="237" applyNumberFormat="1" applyFont="1" applyFill="1" applyBorder="1" applyAlignment="1" applyProtection="1">
      <alignment horizontal="right"/>
      <protection locked="0"/>
    </xf>
    <xf numFmtId="2" fontId="54" fillId="41" borderId="19" xfId="237" applyNumberFormat="1" applyFont="1" applyFill="1" applyBorder="1" applyAlignment="1">
      <alignment horizontal="center" vertical="center"/>
    </xf>
    <xf numFmtId="0" fontId="0" fillId="0" borderId="28" xfId="0" applyBorder="1"/>
    <xf numFmtId="0" fontId="6" fillId="0" borderId="5" xfId="237" applyFont="1" applyBorder="1" applyAlignment="1">
      <alignment horizontal="left"/>
    </xf>
    <xf numFmtId="0" fontId="54" fillId="0" borderId="67" xfId="237" applyFont="1" applyBorder="1" applyAlignment="1">
      <alignment horizontal="left" vertical="center" wrapText="1"/>
    </xf>
    <xf numFmtId="0" fontId="1" fillId="0" borderId="0" xfId="237" applyFont="1"/>
    <xf numFmtId="0" fontId="6" fillId="0" borderId="12" xfId="237" applyFont="1" applyBorder="1" applyAlignment="1">
      <alignment horizontal="center"/>
    </xf>
    <xf numFmtId="168" fontId="6" fillId="7" borderId="5" xfId="237" applyNumberFormat="1" applyFont="1" applyFill="1" applyBorder="1" applyAlignment="1" applyProtection="1">
      <alignment horizontal="right"/>
      <protection locked="0"/>
    </xf>
    <xf numFmtId="0" fontId="52" fillId="0" borderId="0" xfId="237" applyFont="1" applyAlignment="1">
      <alignment horizontal="center" vertical="center"/>
    </xf>
    <xf numFmtId="3" fontId="6" fillId="0" borderId="5" xfId="237" applyNumberFormat="1" applyFont="1" applyBorder="1" applyAlignment="1">
      <alignment horizontal="center"/>
    </xf>
    <xf numFmtId="0" fontId="54" fillId="0" borderId="0" xfId="237" applyFont="1" applyAlignment="1">
      <alignment horizontal="left" vertical="center"/>
    </xf>
    <xf numFmtId="0" fontId="6" fillId="0" borderId="0" xfId="237" applyFont="1" applyAlignment="1">
      <alignment horizontal="center" vertical="center"/>
    </xf>
    <xf numFmtId="168" fontId="6" fillId="0" borderId="0" xfId="237" applyNumberFormat="1" applyFont="1" applyAlignment="1">
      <alignment horizontal="right"/>
    </xf>
    <xf numFmtId="168" fontId="6" fillId="0" borderId="5" xfId="237" applyNumberFormat="1" applyFont="1" applyBorder="1" applyAlignment="1">
      <alignment horizontal="right"/>
    </xf>
    <xf numFmtId="0" fontId="63" fillId="0" borderId="0" xfId="237" applyFont="1" applyAlignment="1">
      <alignment horizontal="right" vertical="center"/>
    </xf>
    <xf numFmtId="0" fontId="54" fillId="0" borderId="0" xfId="237" applyFont="1" applyAlignment="1">
      <alignment horizontal="left" vertical="top" wrapText="1"/>
    </xf>
    <xf numFmtId="0" fontId="6" fillId="0" borderId="0" xfId="237" applyFont="1" applyAlignment="1">
      <alignment horizontal="left"/>
    </xf>
    <xf numFmtId="175" fontId="54" fillId="0" borderId="19" xfId="534" applyNumberFormat="1" applyFont="1" applyBorder="1" applyAlignment="1">
      <alignment horizontal="center" vertical="center"/>
    </xf>
    <xf numFmtId="0" fontId="54" fillId="0" borderId="0" xfId="237" applyFont="1" applyAlignment="1">
      <alignment vertical="center" wrapText="1"/>
    </xf>
    <xf numFmtId="0" fontId="54" fillId="0" borderId="0" xfId="237" applyFont="1" applyAlignment="1">
      <alignment horizontal="left"/>
    </xf>
    <xf numFmtId="3" fontId="6" fillId="0" borderId="2" xfId="237" applyNumberFormat="1" applyFont="1" applyBorder="1" applyAlignment="1">
      <alignment horizontal="center"/>
    </xf>
    <xf numFmtId="1" fontId="6" fillId="7" borderId="4" xfId="237" applyNumberFormat="1" applyFont="1" applyFill="1" applyBorder="1" applyAlignment="1" applyProtection="1">
      <alignment horizontal="right"/>
      <protection locked="0"/>
    </xf>
    <xf numFmtId="1" fontId="6" fillId="7" borderId="45" xfId="237" applyNumberFormat="1" applyFont="1" applyFill="1" applyBorder="1" applyAlignment="1" applyProtection="1">
      <alignment horizontal="left" vertical="center"/>
      <protection locked="0"/>
    </xf>
    <xf numFmtId="168" fontId="54" fillId="0" borderId="5" xfId="237" applyNumberFormat="1" applyFont="1" applyBorder="1" applyAlignment="1">
      <alignment horizontal="right"/>
    </xf>
    <xf numFmtId="0" fontId="6" fillId="0" borderId="4" xfId="237" applyFont="1" applyBorder="1" applyAlignment="1">
      <alignment horizontal="left"/>
    </xf>
    <xf numFmtId="0" fontId="6" fillId="7" borderId="4" xfId="237" applyFont="1" applyFill="1" applyBorder="1" applyAlignment="1" applyProtection="1">
      <alignment horizontal="left"/>
      <protection locked="0"/>
    </xf>
    <xf numFmtId="0" fontId="6" fillId="0" borderId="0" xfId="237" applyFont="1" applyAlignment="1">
      <alignment horizontal="right" vertical="center"/>
    </xf>
    <xf numFmtId="0" fontId="6" fillId="0" borderId="2" xfId="237" applyFont="1" applyBorder="1" applyAlignment="1">
      <alignment horizontal="center" vertical="center"/>
    </xf>
    <xf numFmtId="0" fontId="6" fillId="0" borderId="5" xfId="237" applyFont="1" applyBorder="1" applyAlignment="1">
      <alignment horizontal="center" wrapText="1"/>
    </xf>
    <xf numFmtId="0" fontId="56" fillId="0" borderId="2" xfId="237" applyFont="1" applyBorder="1" applyAlignment="1">
      <alignment horizontal="left"/>
    </xf>
    <xf numFmtId="0" fontId="6" fillId="0" borderId="5" xfId="0" applyFont="1" applyBorder="1" applyAlignment="1" applyProtection="1">
      <alignment horizontal="center" wrapText="1"/>
      <protection locked="0"/>
    </xf>
    <xf numFmtId="168" fontId="6" fillId="0" borderId="0" xfId="237" applyNumberFormat="1" applyFont="1" applyAlignment="1">
      <alignment horizontal="left"/>
    </xf>
    <xf numFmtId="49" fontId="53" fillId="5" borderId="0" xfId="237" applyNumberFormat="1" applyFont="1" applyFill="1" applyAlignment="1">
      <alignment horizontal="center" vertical="center"/>
    </xf>
    <xf numFmtId="1" fontId="6" fillId="7" borderId="5" xfId="237" applyNumberFormat="1" applyFont="1" applyFill="1" applyBorder="1" applyAlignment="1" applyProtection="1">
      <alignment horizontal="left" vertical="center"/>
      <protection locked="0"/>
    </xf>
    <xf numFmtId="0" fontId="6" fillId="0" borderId="5" xfId="0" applyFont="1" applyBorder="1" applyAlignment="1">
      <alignment horizontal="center"/>
    </xf>
    <xf numFmtId="3" fontId="10" fillId="0" borderId="0" xfId="237" applyNumberFormat="1" applyFon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8" fontId="0" fillId="0" borderId="12" xfId="0" applyNumberFormat="1" applyBorder="1" applyAlignment="1" applyProtection="1">
      <alignment horizontal="right"/>
      <protection locked="0"/>
    </xf>
  </cellXfs>
  <cellStyles count="993">
    <cellStyle name="20% - Accent1 2" xfId="1" xr:uid="{00000000-0005-0000-0000-000002000000}"/>
    <cellStyle name="20% - Accent1 2 2" xfId="2" xr:uid="{00000000-0005-0000-0000-000003000000}"/>
    <cellStyle name="20% - Accent1 2 2 2" xfId="3" xr:uid="{00000000-0005-0000-0000-000004000000}"/>
    <cellStyle name="20% - Accent1 2 2 2 2" xfId="542" xr:uid="{00000000-0005-0000-0000-000045020000}"/>
    <cellStyle name="20% - Accent1 2 2 3" xfId="541" xr:uid="{00000000-0005-0000-0000-000044020000}"/>
    <cellStyle name="20% - Accent1 2 3" xfId="4" xr:uid="{00000000-0005-0000-0000-000005000000}"/>
    <cellStyle name="20% - Accent1 2 3 2" xfId="543" xr:uid="{00000000-0005-0000-0000-000046020000}"/>
    <cellStyle name="20% - Accent1 2 4" xfId="540" xr:uid="{00000000-0005-0000-0000-000043020000}"/>
    <cellStyle name="20% - Accent1 3" xfId="5" xr:uid="{00000000-0005-0000-0000-000006000000}"/>
    <cellStyle name="20% - Accent1 3 2" xfId="6" xr:uid="{00000000-0005-0000-0000-000007000000}"/>
    <cellStyle name="20% - Accent1 3 2 2" xfId="545" xr:uid="{00000000-0005-0000-0000-000048020000}"/>
    <cellStyle name="20% - Accent1 3 3" xfId="544" xr:uid="{00000000-0005-0000-0000-000047020000}"/>
    <cellStyle name="20% - Accent1 4" xfId="7" xr:uid="{00000000-0005-0000-0000-000008000000}"/>
    <cellStyle name="20% - Accent1 4 2" xfId="546" xr:uid="{00000000-0005-0000-0000-000049020000}"/>
    <cellStyle name="20% - Accent1 5" xfId="539" xr:uid="{00000000-0005-0000-0000-000042020000}"/>
    <cellStyle name="20% - Accent2 2" xfId="8" xr:uid="{00000000-0005-0000-0000-00000A000000}"/>
    <cellStyle name="20% - Accent2 2 2" xfId="9" xr:uid="{00000000-0005-0000-0000-00000B000000}"/>
    <cellStyle name="20% - Accent2 2 2 2" xfId="10" xr:uid="{00000000-0005-0000-0000-00000C000000}"/>
    <cellStyle name="20% - Accent2 2 2 2 2" xfId="550" xr:uid="{00000000-0005-0000-0000-00004D020000}"/>
    <cellStyle name="20% - Accent2 2 2 3" xfId="549" xr:uid="{00000000-0005-0000-0000-00004C020000}"/>
    <cellStyle name="20% - Accent2 2 3" xfId="11" xr:uid="{00000000-0005-0000-0000-00000D000000}"/>
    <cellStyle name="20% - Accent2 2 3 2" xfId="551" xr:uid="{00000000-0005-0000-0000-00004E020000}"/>
    <cellStyle name="20% - Accent2 2 4" xfId="548" xr:uid="{00000000-0005-0000-0000-00004B020000}"/>
    <cellStyle name="20% - Accent2 3" xfId="12" xr:uid="{00000000-0005-0000-0000-00000E000000}"/>
    <cellStyle name="20% - Accent2 3 2" xfId="13" xr:uid="{00000000-0005-0000-0000-00000F000000}"/>
    <cellStyle name="20% - Accent2 3 2 2" xfId="553" xr:uid="{00000000-0005-0000-0000-000050020000}"/>
    <cellStyle name="20% - Accent2 3 3" xfId="552" xr:uid="{00000000-0005-0000-0000-00004F020000}"/>
    <cellStyle name="20% - Accent2 4" xfId="14" xr:uid="{00000000-0005-0000-0000-000010000000}"/>
    <cellStyle name="20% - Accent2 4 2" xfId="554" xr:uid="{00000000-0005-0000-0000-000051020000}"/>
    <cellStyle name="20% - Accent2 5" xfId="547" xr:uid="{00000000-0005-0000-0000-00004A020000}"/>
    <cellStyle name="20% - Accent3 2" xfId="15" xr:uid="{00000000-0005-0000-0000-000012000000}"/>
    <cellStyle name="20% - Accent3 2 2" xfId="16" xr:uid="{00000000-0005-0000-0000-000013000000}"/>
    <cellStyle name="20% - Accent3 2 2 2" xfId="17" xr:uid="{00000000-0005-0000-0000-000014000000}"/>
    <cellStyle name="20% - Accent3 2 2 2 2" xfId="558" xr:uid="{00000000-0005-0000-0000-000055020000}"/>
    <cellStyle name="20% - Accent3 2 2 3" xfId="557" xr:uid="{00000000-0005-0000-0000-000054020000}"/>
    <cellStyle name="20% - Accent3 2 3" xfId="18" xr:uid="{00000000-0005-0000-0000-000015000000}"/>
    <cellStyle name="20% - Accent3 2 3 2" xfId="559" xr:uid="{00000000-0005-0000-0000-000056020000}"/>
    <cellStyle name="20% - Accent3 2 4" xfId="556" xr:uid="{00000000-0005-0000-0000-000053020000}"/>
    <cellStyle name="20% - Accent3 3" xfId="19" xr:uid="{00000000-0005-0000-0000-000016000000}"/>
    <cellStyle name="20% - Accent3 3 2" xfId="20" xr:uid="{00000000-0005-0000-0000-000017000000}"/>
    <cellStyle name="20% - Accent3 3 2 2" xfId="561" xr:uid="{00000000-0005-0000-0000-000058020000}"/>
    <cellStyle name="20% - Accent3 3 3" xfId="560" xr:uid="{00000000-0005-0000-0000-000057020000}"/>
    <cellStyle name="20% - Accent3 4" xfId="21" xr:uid="{00000000-0005-0000-0000-000018000000}"/>
    <cellStyle name="20% - Accent3 4 2" xfId="562" xr:uid="{00000000-0005-0000-0000-000059020000}"/>
    <cellStyle name="20% - Accent3 5" xfId="555" xr:uid="{00000000-0005-0000-0000-000052020000}"/>
    <cellStyle name="20% - Accent4 2" xfId="22" xr:uid="{00000000-0005-0000-0000-00001A000000}"/>
    <cellStyle name="20% - Accent4 2 2" xfId="23" xr:uid="{00000000-0005-0000-0000-00001B000000}"/>
    <cellStyle name="20% - Accent4 2 2 2" xfId="24" xr:uid="{00000000-0005-0000-0000-00001C000000}"/>
    <cellStyle name="20% - Accent4 2 2 2 2" xfId="566" xr:uid="{00000000-0005-0000-0000-00005D020000}"/>
    <cellStyle name="20% - Accent4 2 2 3" xfId="565" xr:uid="{00000000-0005-0000-0000-00005C020000}"/>
    <cellStyle name="20% - Accent4 2 3" xfId="25" xr:uid="{00000000-0005-0000-0000-00001D000000}"/>
    <cellStyle name="20% - Accent4 2 3 2" xfId="567" xr:uid="{00000000-0005-0000-0000-00005E020000}"/>
    <cellStyle name="20% - Accent4 2 4" xfId="564" xr:uid="{00000000-0005-0000-0000-00005B020000}"/>
    <cellStyle name="20% - Accent4 3" xfId="26" xr:uid="{00000000-0005-0000-0000-00001E000000}"/>
    <cellStyle name="20% - Accent4 3 2" xfId="27" xr:uid="{00000000-0005-0000-0000-00001F000000}"/>
    <cellStyle name="20% - Accent4 3 2 2" xfId="569" xr:uid="{00000000-0005-0000-0000-000060020000}"/>
    <cellStyle name="20% - Accent4 3 3" xfId="568" xr:uid="{00000000-0005-0000-0000-00005F020000}"/>
    <cellStyle name="20% - Accent4 4" xfId="28" xr:uid="{00000000-0005-0000-0000-000020000000}"/>
    <cellStyle name="20% - Accent4 4 2" xfId="570" xr:uid="{00000000-0005-0000-0000-000061020000}"/>
    <cellStyle name="20% - Accent4 5" xfId="563" xr:uid="{00000000-0005-0000-0000-00005A020000}"/>
    <cellStyle name="20% - Accent5 2" xfId="29" xr:uid="{00000000-0005-0000-0000-000022000000}"/>
    <cellStyle name="20% - Accent5 2 2" xfId="30" xr:uid="{00000000-0005-0000-0000-000023000000}"/>
    <cellStyle name="20% - Accent5 2 2 2" xfId="31" xr:uid="{00000000-0005-0000-0000-000024000000}"/>
    <cellStyle name="20% - Accent5 2 2 2 2" xfId="574" xr:uid="{00000000-0005-0000-0000-000065020000}"/>
    <cellStyle name="20% - Accent5 2 2 3" xfId="573" xr:uid="{00000000-0005-0000-0000-000064020000}"/>
    <cellStyle name="20% - Accent5 2 3" xfId="32" xr:uid="{00000000-0005-0000-0000-000025000000}"/>
    <cellStyle name="20% - Accent5 2 3 2" xfId="575" xr:uid="{00000000-0005-0000-0000-000066020000}"/>
    <cellStyle name="20% - Accent5 2 4" xfId="572" xr:uid="{00000000-0005-0000-0000-000063020000}"/>
    <cellStyle name="20% - Accent5 3" xfId="33" xr:uid="{00000000-0005-0000-0000-000026000000}"/>
    <cellStyle name="20% - Accent5 3 2" xfId="34" xr:uid="{00000000-0005-0000-0000-000027000000}"/>
    <cellStyle name="20% - Accent5 3 2 2" xfId="577" xr:uid="{00000000-0005-0000-0000-000068020000}"/>
    <cellStyle name="20% - Accent5 3 3" xfId="576" xr:uid="{00000000-0005-0000-0000-000067020000}"/>
    <cellStyle name="20% - Accent5 4" xfId="35" xr:uid="{00000000-0005-0000-0000-000028000000}"/>
    <cellStyle name="20% - Accent5 4 2" xfId="578" xr:uid="{00000000-0005-0000-0000-000069020000}"/>
    <cellStyle name="20% - Accent5 5" xfId="571" xr:uid="{00000000-0005-0000-0000-000062020000}"/>
    <cellStyle name="20% - Accent6 2" xfId="36" xr:uid="{00000000-0005-0000-0000-00002A000000}"/>
    <cellStyle name="20% - Accent6 2 2" xfId="37" xr:uid="{00000000-0005-0000-0000-00002B000000}"/>
    <cellStyle name="20% - Accent6 2 2 2" xfId="38" xr:uid="{00000000-0005-0000-0000-00002C000000}"/>
    <cellStyle name="20% - Accent6 2 2 2 2" xfId="582" xr:uid="{00000000-0005-0000-0000-00006D020000}"/>
    <cellStyle name="20% - Accent6 2 2 3" xfId="581" xr:uid="{00000000-0005-0000-0000-00006C020000}"/>
    <cellStyle name="20% - Accent6 2 3" xfId="39" xr:uid="{00000000-0005-0000-0000-00002D000000}"/>
    <cellStyle name="20% - Accent6 2 3 2" xfId="583" xr:uid="{00000000-0005-0000-0000-00006E020000}"/>
    <cellStyle name="20% - Accent6 2 4" xfId="580" xr:uid="{00000000-0005-0000-0000-00006B020000}"/>
    <cellStyle name="20% - Accent6 3" xfId="40" xr:uid="{00000000-0005-0000-0000-00002E000000}"/>
    <cellStyle name="20% - Accent6 3 2" xfId="41" xr:uid="{00000000-0005-0000-0000-00002F000000}"/>
    <cellStyle name="20% - Accent6 3 2 2" xfId="585" xr:uid="{00000000-0005-0000-0000-000070020000}"/>
    <cellStyle name="20% - Accent6 3 3" xfId="584" xr:uid="{00000000-0005-0000-0000-00006F020000}"/>
    <cellStyle name="20% - Accent6 4" xfId="42" xr:uid="{00000000-0005-0000-0000-000030000000}"/>
    <cellStyle name="20% - Accent6 4 2" xfId="586" xr:uid="{00000000-0005-0000-0000-000071020000}"/>
    <cellStyle name="20% - Accent6 5" xfId="579" xr:uid="{00000000-0005-0000-0000-00006A020000}"/>
    <cellStyle name="40% - Accent1 2" xfId="43" xr:uid="{00000000-0005-0000-0000-000032000000}"/>
    <cellStyle name="40% - Accent1 2 2" xfId="44" xr:uid="{00000000-0005-0000-0000-000033000000}"/>
    <cellStyle name="40% - Accent1 2 2 2" xfId="45" xr:uid="{00000000-0005-0000-0000-000034000000}"/>
    <cellStyle name="40% - Accent1 2 2 2 2" xfId="590" xr:uid="{00000000-0005-0000-0000-000075020000}"/>
    <cellStyle name="40% - Accent1 2 2 3" xfId="589" xr:uid="{00000000-0005-0000-0000-000074020000}"/>
    <cellStyle name="40% - Accent1 2 3" xfId="46" xr:uid="{00000000-0005-0000-0000-000035000000}"/>
    <cellStyle name="40% - Accent1 2 3 2" xfId="591" xr:uid="{00000000-0005-0000-0000-000076020000}"/>
    <cellStyle name="40% - Accent1 2 4" xfId="588" xr:uid="{00000000-0005-0000-0000-000073020000}"/>
    <cellStyle name="40% - Accent1 3" xfId="47" xr:uid="{00000000-0005-0000-0000-000036000000}"/>
    <cellStyle name="40% - Accent1 3 2" xfId="48" xr:uid="{00000000-0005-0000-0000-000037000000}"/>
    <cellStyle name="40% - Accent1 3 2 2" xfId="593" xr:uid="{00000000-0005-0000-0000-000078020000}"/>
    <cellStyle name="40% - Accent1 3 3" xfId="592" xr:uid="{00000000-0005-0000-0000-000077020000}"/>
    <cellStyle name="40% - Accent1 4" xfId="49" xr:uid="{00000000-0005-0000-0000-000038000000}"/>
    <cellStyle name="40% - Accent1 4 2" xfId="594" xr:uid="{00000000-0005-0000-0000-000079020000}"/>
    <cellStyle name="40% - Accent1 5" xfId="587" xr:uid="{00000000-0005-0000-0000-000072020000}"/>
    <cellStyle name="40% - Accent2 2" xfId="50" xr:uid="{00000000-0005-0000-0000-00003A000000}"/>
    <cellStyle name="40% - Accent2 2 2" xfId="51" xr:uid="{00000000-0005-0000-0000-00003B000000}"/>
    <cellStyle name="40% - Accent2 2 2 2" xfId="52" xr:uid="{00000000-0005-0000-0000-00003C000000}"/>
    <cellStyle name="40% - Accent2 2 2 2 2" xfId="598" xr:uid="{00000000-0005-0000-0000-00007D020000}"/>
    <cellStyle name="40% - Accent2 2 2 3" xfId="597" xr:uid="{00000000-0005-0000-0000-00007C020000}"/>
    <cellStyle name="40% - Accent2 2 3" xfId="53" xr:uid="{00000000-0005-0000-0000-00003D000000}"/>
    <cellStyle name="40% - Accent2 2 3 2" xfId="599" xr:uid="{00000000-0005-0000-0000-00007E020000}"/>
    <cellStyle name="40% - Accent2 2 4" xfId="596" xr:uid="{00000000-0005-0000-0000-00007B020000}"/>
    <cellStyle name="40% - Accent2 3" xfId="54" xr:uid="{00000000-0005-0000-0000-00003E000000}"/>
    <cellStyle name="40% - Accent2 3 2" xfId="55" xr:uid="{00000000-0005-0000-0000-00003F000000}"/>
    <cellStyle name="40% - Accent2 3 2 2" xfId="601" xr:uid="{00000000-0005-0000-0000-000080020000}"/>
    <cellStyle name="40% - Accent2 3 3" xfId="600" xr:uid="{00000000-0005-0000-0000-00007F020000}"/>
    <cellStyle name="40% - Accent2 4" xfId="56" xr:uid="{00000000-0005-0000-0000-000040000000}"/>
    <cellStyle name="40% - Accent2 4 2" xfId="602" xr:uid="{00000000-0005-0000-0000-000081020000}"/>
    <cellStyle name="40% - Accent2 5" xfId="595" xr:uid="{00000000-0005-0000-0000-00007A020000}"/>
    <cellStyle name="40% - Accent3 2" xfId="57" xr:uid="{00000000-0005-0000-0000-000042000000}"/>
    <cellStyle name="40% - Accent3 2 2" xfId="58" xr:uid="{00000000-0005-0000-0000-000043000000}"/>
    <cellStyle name="40% - Accent3 2 2 2" xfId="59" xr:uid="{00000000-0005-0000-0000-000044000000}"/>
    <cellStyle name="40% - Accent3 2 2 2 2" xfId="606" xr:uid="{00000000-0005-0000-0000-000085020000}"/>
    <cellStyle name="40% - Accent3 2 2 3" xfId="605" xr:uid="{00000000-0005-0000-0000-000084020000}"/>
    <cellStyle name="40% - Accent3 2 3" xfId="60" xr:uid="{00000000-0005-0000-0000-000045000000}"/>
    <cellStyle name="40% - Accent3 2 3 2" xfId="607" xr:uid="{00000000-0005-0000-0000-000086020000}"/>
    <cellStyle name="40% - Accent3 2 4" xfId="604" xr:uid="{00000000-0005-0000-0000-000083020000}"/>
    <cellStyle name="40% - Accent3 3" xfId="61" xr:uid="{00000000-0005-0000-0000-000046000000}"/>
    <cellStyle name="40% - Accent3 3 2" xfId="62" xr:uid="{00000000-0005-0000-0000-000047000000}"/>
    <cellStyle name="40% - Accent3 3 2 2" xfId="609" xr:uid="{00000000-0005-0000-0000-000088020000}"/>
    <cellStyle name="40% - Accent3 3 3" xfId="608" xr:uid="{00000000-0005-0000-0000-000087020000}"/>
    <cellStyle name="40% - Accent3 4" xfId="63" xr:uid="{00000000-0005-0000-0000-000048000000}"/>
    <cellStyle name="40% - Accent3 4 2" xfId="610" xr:uid="{00000000-0005-0000-0000-000089020000}"/>
    <cellStyle name="40% - Accent3 5" xfId="603" xr:uid="{00000000-0005-0000-0000-000082020000}"/>
    <cellStyle name="40% - Accent4 2" xfId="64" xr:uid="{00000000-0005-0000-0000-00004A000000}"/>
    <cellStyle name="40% - Accent4 2 2" xfId="65" xr:uid="{00000000-0005-0000-0000-00004B000000}"/>
    <cellStyle name="40% - Accent4 2 2 2" xfId="66" xr:uid="{00000000-0005-0000-0000-00004C000000}"/>
    <cellStyle name="40% - Accent4 2 2 2 2" xfId="614" xr:uid="{00000000-0005-0000-0000-00008D020000}"/>
    <cellStyle name="40% - Accent4 2 2 3" xfId="613" xr:uid="{00000000-0005-0000-0000-00008C020000}"/>
    <cellStyle name="40% - Accent4 2 3" xfId="67" xr:uid="{00000000-0005-0000-0000-00004D000000}"/>
    <cellStyle name="40% - Accent4 2 3 2" xfId="615" xr:uid="{00000000-0005-0000-0000-00008E020000}"/>
    <cellStyle name="40% - Accent4 2 4" xfId="612" xr:uid="{00000000-0005-0000-0000-00008B020000}"/>
    <cellStyle name="40% - Accent4 3" xfId="68" xr:uid="{00000000-0005-0000-0000-00004E000000}"/>
    <cellStyle name="40% - Accent4 3 2" xfId="69" xr:uid="{00000000-0005-0000-0000-00004F000000}"/>
    <cellStyle name="40% - Accent4 3 2 2" xfId="617" xr:uid="{00000000-0005-0000-0000-000090020000}"/>
    <cellStyle name="40% - Accent4 3 3" xfId="616" xr:uid="{00000000-0005-0000-0000-00008F020000}"/>
    <cellStyle name="40% - Accent4 4" xfId="70" xr:uid="{00000000-0005-0000-0000-000050000000}"/>
    <cellStyle name="40% - Accent4 4 2" xfId="618" xr:uid="{00000000-0005-0000-0000-000091020000}"/>
    <cellStyle name="40% - Accent4 5" xfId="611" xr:uid="{00000000-0005-0000-0000-00008A020000}"/>
    <cellStyle name="40% - Accent5 2" xfId="71" xr:uid="{00000000-0005-0000-0000-000052000000}"/>
    <cellStyle name="40% - Accent5 2 2" xfId="72" xr:uid="{00000000-0005-0000-0000-000053000000}"/>
    <cellStyle name="40% - Accent5 2 2 2" xfId="73" xr:uid="{00000000-0005-0000-0000-000054000000}"/>
    <cellStyle name="40% - Accent5 2 2 2 2" xfId="622" xr:uid="{00000000-0005-0000-0000-000095020000}"/>
    <cellStyle name="40% - Accent5 2 2 3" xfId="621" xr:uid="{00000000-0005-0000-0000-000094020000}"/>
    <cellStyle name="40% - Accent5 2 3" xfId="74" xr:uid="{00000000-0005-0000-0000-000055000000}"/>
    <cellStyle name="40% - Accent5 2 3 2" xfId="623" xr:uid="{00000000-0005-0000-0000-000096020000}"/>
    <cellStyle name="40% - Accent5 2 4" xfId="620" xr:uid="{00000000-0005-0000-0000-000093020000}"/>
    <cellStyle name="40% - Accent5 3" xfId="75" xr:uid="{00000000-0005-0000-0000-000056000000}"/>
    <cellStyle name="40% - Accent5 3 2" xfId="76" xr:uid="{00000000-0005-0000-0000-000057000000}"/>
    <cellStyle name="40% - Accent5 3 2 2" xfId="625" xr:uid="{00000000-0005-0000-0000-000098020000}"/>
    <cellStyle name="40% - Accent5 3 3" xfId="624" xr:uid="{00000000-0005-0000-0000-000097020000}"/>
    <cellStyle name="40% - Accent5 4" xfId="77" xr:uid="{00000000-0005-0000-0000-000058000000}"/>
    <cellStyle name="40% - Accent5 4 2" xfId="626" xr:uid="{00000000-0005-0000-0000-000099020000}"/>
    <cellStyle name="40% - Accent5 5" xfId="619" xr:uid="{00000000-0005-0000-0000-000092020000}"/>
    <cellStyle name="40% - Accent6 2" xfId="78" xr:uid="{00000000-0005-0000-0000-00005A000000}"/>
    <cellStyle name="40% - Accent6 2 2" xfId="79" xr:uid="{00000000-0005-0000-0000-00005B000000}"/>
    <cellStyle name="40% - Accent6 2 2 2" xfId="80" xr:uid="{00000000-0005-0000-0000-00005C000000}"/>
    <cellStyle name="40% - Accent6 2 2 2 2" xfId="630" xr:uid="{00000000-0005-0000-0000-00009D020000}"/>
    <cellStyle name="40% - Accent6 2 2 3" xfId="629" xr:uid="{00000000-0005-0000-0000-00009C020000}"/>
    <cellStyle name="40% - Accent6 2 3" xfId="81" xr:uid="{00000000-0005-0000-0000-00005D000000}"/>
    <cellStyle name="40% - Accent6 2 3 2" xfId="631" xr:uid="{00000000-0005-0000-0000-00009E020000}"/>
    <cellStyle name="40% - Accent6 2 4" xfId="628" xr:uid="{00000000-0005-0000-0000-00009B020000}"/>
    <cellStyle name="40% - Accent6 3" xfId="82" xr:uid="{00000000-0005-0000-0000-00005E000000}"/>
    <cellStyle name="40% - Accent6 3 2" xfId="83" xr:uid="{00000000-0005-0000-0000-00005F000000}"/>
    <cellStyle name="40% - Accent6 3 2 2" xfId="633" xr:uid="{00000000-0005-0000-0000-0000A0020000}"/>
    <cellStyle name="40% - Accent6 3 3" xfId="632" xr:uid="{00000000-0005-0000-0000-00009F020000}"/>
    <cellStyle name="40% - Accent6 4" xfId="84" xr:uid="{00000000-0005-0000-0000-000060000000}"/>
    <cellStyle name="40% - Accent6 4 2" xfId="634" xr:uid="{00000000-0005-0000-0000-0000A1020000}"/>
    <cellStyle name="40% - Accent6 5" xfId="627" xr:uid="{00000000-0005-0000-0000-00009A020000}"/>
    <cellStyle name="60% - Accent1 2" xfId="85" xr:uid="{00000000-0005-0000-0000-000062000000}"/>
    <cellStyle name="60% - Accent3 2" xfId="86" xr:uid="{00000000-0005-0000-0000-000065000000}"/>
    <cellStyle name="60% - Accent4 2" xfId="87" xr:uid="{00000000-0005-0000-0000-000067000000}"/>
    <cellStyle name="60% - Accent6 2" xfId="88" xr:uid="{00000000-0005-0000-0000-00006A000000}"/>
    <cellStyle name="Accent1 2" xfId="89" xr:uid="{00000000-0005-0000-0000-00006C000000}"/>
    <cellStyle name="Accent2 2" xfId="90" xr:uid="{00000000-0005-0000-0000-00006E000000}"/>
    <cellStyle name="Accent3 2" xfId="91" xr:uid="{00000000-0005-0000-0000-000070000000}"/>
    <cellStyle name="Accent4 2" xfId="92" xr:uid="{00000000-0005-0000-0000-000072000000}"/>
    <cellStyle name="Bad 2" xfId="93" xr:uid="{00000000-0005-0000-0000-000076000000}"/>
    <cellStyle name="Calculation 2" xfId="94" xr:uid="{00000000-0005-0000-0000-000078000000}"/>
    <cellStyle name="Comma 2" xfId="95" xr:uid="{00000000-0005-0000-0000-00007A000000}"/>
    <cellStyle name="Comma 2 2" xfId="96" xr:uid="{00000000-0005-0000-0000-00007B000000}"/>
    <cellStyle name="Comma 3" xfId="97" xr:uid="{00000000-0005-0000-0000-00007C000000}"/>
    <cellStyle name="Comma 4" xfId="98" xr:uid="{00000000-0005-0000-0000-00007D000000}"/>
    <cellStyle name="Comma 4 2" xfId="99" xr:uid="{00000000-0005-0000-0000-00007E000000}"/>
    <cellStyle name="Comma 4 2 2" xfId="100" xr:uid="{00000000-0005-0000-0000-00007F000000}"/>
    <cellStyle name="Comma 4 2 2 2" xfId="101" xr:uid="{00000000-0005-0000-0000-000080000000}"/>
    <cellStyle name="Comma 4 2 2 2 2" xfId="102" xr:uid="{00000000-0005-0000-0000-000081000000}"/>
    <cellStyle name="Comma 4 2 2 2 2 2" xfId="103" xr:uid="{00000000-0005-0000-0000-000082000000}"/>
    <cellStyle name="Comma 4 2 2 2 2 2 2" xfId="637" xr:uid="{00000000-0005-0000-0000-0000A4020000}"/>
    <cellStyle name="Comma 4 2 2 2 2 3" xfId="636" xr:uid="{00000000-0005-0000-0000-0000A3020000}"/>
    <cellStyle name="Comma 4 2 2 2 3" xfId="104" xr:uid="{00000000-0005-0000-0000-000083000000}"/>
    <cellStyle name="Comma 4 2 2 2 3 2" xfId="638" xr:uid="{00000000-0005-0000-0000-0000A5020000}"/>
    <cellStyle name="Comma 4 2 2 2 4" xfId="635" xr:uid="{00000000-0005-0000-0000-0000A2020000}"/>
    <cellStyle name="Comma 4 2 2 3" xfId="105" xr:uid="{00000000-0005-0000-0000-000084000000}"/>
    <cellStyle name="Comma 4 2 2 3 2" xfId="106" xr:uid="{00000000-0005-0000-0000-000085000000}"/>
    <cellStyle name="Comma 4 2 2 3 2 2" xfId="640" xr:uid="{00000000-0005-0000-0000-0000A7020000}"/>
    <cellStyle name="Comma 4 2 2 3 3" xfId="639" xr:uid="{00000000-0005-0000-0000-0000A6020000}"/>
    <cellStyle name="Comma 4 2 2 4" xfId="107" xr:uid="{00000000-0005-0000-0000-000086000000}"/>
    <cellStyle name="Comma 4 2 2 4 2" xfId="641" xr:uid="{00000000-0005-0000-0000-0000A8020000}"/>
    <cellStyle name="Comma 4 2 2 5" xfId="108" xr:uid="{00000000-0005-0000-0000-000087000000}"/>
    <cellStyle name="Comma 4 2 2 5 2" xfId="642" xr:uid="{00000000-0005-0000-0000-0000A9020000}"/>
    <cellStyle name="Comma 4 2 3" xfId="109" xr:uid="{00000000-0005-0000-0000-000088000000}"/>
    <cellStyle name="Comma 4 2 3 2" xfId="110" xr:uid="{00000000-0005-0000-0000-000089000000}"/>
    <cellStyle name="Comma 4 2 3 2 2" xfId="111" xr:uid="{00000000-0005-0000-0000-00008A000000}"/>
    <cellStyle name="Comma 4 2 3 2 2 2" xfId="645" xr:uid="{00000000-0005-0000-0000-0000AC020000}"/>
    <cellStyle name="Comma 4 2 3 2 3" xfId="644" xr:uid="{00000000-0005-0000-0000-0000AB020000}"/>
    <cellStyle name="Comma 4 2 3 3" xfId="112" xr:uid="{00000000-0005-0000-0000-00008B000000}"/>
    <cellStyle name="Comma 4 2 3 3 2" xfId="646" xr:uid="{00000000-0005-0000-0000-0000AD020000}"/>
    <cellStyle name="Comma 4 2 3 4" xfId="643" xr:uid="{00000000-0005-0000-0000-0000AA020000}"/>
    <cellStyle name="Comma 4 2 4" xfId="113" xr:uid="{00000000-0005-0000-0000-00008C000000}"/>
    <cellStyle name="Comma 4 2 4 2" xfId="114" xr:uid="{00000000-0005-0000-0000-00008D000000}"/>
    <cellStyle name="Comma 4 2 4 2 2" xfId="648" xr:uid="{00000000-0005-0000-0000-0000AF020000}"/>
    <cellStyle name="Comma 4 2 4 3" xfId="647" xr:uid="{00000000-0005-0000-0000-0000AE020000}"/>
    <cellStyle name="Comma 4 2 5" xfId="115" xr:uid="{00000000-0005-0000-0000-00008E000000}"/>
    <cellStyle name="Comma 4 2 5 2" xfId="649" xr:uid="{00000000-0005-0000-0000-0000B0020000}"/>
    <cellStyle name="Comma 4 2 6" xfId="116" xr:uid="{00000000-0005-0000-0000-00008F000000}"/>
    <cellStyle name="Comma 4 2 6 2" xfId="650" xr:uid="{00000000-0005-0000-0000-0000B1020000}"/>
    <cellStyle name="Comma 4 3" xfId="117" xr:uid="{00000000-0005-0000-0000-000090000000}"/>
    <cellStyle name="Comma 4 3 2" xfId="118" xr:uid="{00000000-0005-0000-0000-000091000000}"/>
    <cellStyle name="Comma 4 3 2 2" xfId="119" xr:uid="{00000000-0005-0000-0000-000092000000}"/>
    <cellStyle name="Comma 4 3 2 2 2" xfId="120" xr:uid="{00000000-0005-0000-0000-000093000000}"/>
    <cellStyle name="Comma 4 3 2 2 2 2" xfId="653" xr:uid="{00000000-0005-0000-0000-0000B4020000}"/>
    <cellStyle name="Comma 4 3 2 2 3" xfId="652" xr:uid="{00000000-0005-0000-0000-0000B3020000}"/>
    <cellStyle name="Comma 4 3 2 3" xfId="121" xr:uid="{00000000-0005-0000-0000-000094000000}"/>
    <cellStyle name="Comma 4 3 2 3 2" xfId="654" xr:uid="{00000000-0005-0000-0000-0000B5020000}"/>
    <cellStyle name="Comma 4 3 2 4" xfId="651" xr:uid="{00000000-0005-0000-0000-0000B2020000}"/>
    <cellStyle name="Comma 4 3 3" xfId="122" xr:uid="{00000000-0005-0000-0000-000095000000}"/>
    <cellStyle name="Comma 4 3 3 2" xfId="123" xr:uid="{00000000-0005-0000-0000-000096000000}"/>
    <cellStyle name="Comma 4 3 3 2 2" xfId="656" xr:uid="{00000000-0005-0000-0000-0000B7020000}"/>
    <cellStyle name="Comma 4 3 3 3" xfId="655" xr:uid="{00000000-0005-0000-0000-0000B6020000}"/>
    <cellStyle name="Comma 4 3 4" xfId="124" xr:uid="{00000000-0005-0000-0000-000097000000}"/>
    <cellStyle name="Comma 4 3 4 2" xfId="657" xr:uid="{00000000-0005-0000-0000-0000B8020000}"/>
    <cellStyle name="Comma 4 3 5" xfId="125" xr:uid="{00000000-0005-0000-0000-000098000000}"/>
    <cellStyle name="Comma 4 3 5 2" xfId="658" xr:uid="{00000000-0005-0000-0000-0000B9020000}"/>
    <cellStyle name="Comma 4 4" xfId="126" xr:uid="{00000000-0005-0000-0000-000099000000}"/>
    <cellStyle name="Comma 4 4 2" xfId="127" xr:uid="{00000000-0005-0000-0000-00009A000000}"/>
    <cellStyle name="Comma 4 4 2 2" xfId="128" xr:uid="{00000000-0005-0000-0000-00009B000000}"/>
    <cellStyle name="Comma 4 4 2 2 2" xfId="661" xr:uid="{00000000-0005-0000-0000-0000BC020000}"/>
    <cellStyle name="Comma 4 4 2 3" xfId="660" xr:uid="{00000000-0005-0000-0000-0000BB020000}"/>
    <cellStyle name="Comma 4 4 3" xfId="129" xr:uid="{00000000-0005-0000-0000-00009C000000}"/>
    <cellStyle name="Comma 4 4 3 2" xfId="662" xr:uid="{00000000-0005-0000-0000-0000BD020000}"/>
    <cellStyle name="Comma 4 4 4" xfId="659" xr:uid="{00000000-0005-0000-0000-0000BA020000}"/>
    <cellStyle name="Comma 4 5" xfId="130" xr:uid="{00000000-0005-0000-0000-00009D000000}"/>
    <cellStyle name="Comma 4 5 2" xfId="131" xr:uid="{00000000-0005-0000-0000-00009E000000}"/>
    <cellStyle name="Comma 4 5 2 2" xfId="664" xr:uid="{00000000-0005-0000-0000-0000BF020000}"/>
    <cellStyle name="Comma 4 5 3" xfId="663" xr:uid="{00000000-0005-0000-0000-0000BE020000}"/>
    <cellStyle name="Comma 4 6" xfId="132" xr:uid="{00000000-0005-0000-0000-00009F000000}"/>
    <cellStyle name="Comma 4 6 2" xfId="665" xr:uid="{00000000-0005-0000-0000-0000C0020000}"/>
    <cellStyle name="Comma 4 7" xfId="133" xr:uid="{00000000-0005-0000-0000-0000A0000000}"/>
    <cellStyle name="Comma 4 7 2" xfId="666" xr:uid="{00000000-0005-0000-0000-0000C1020000}"/>
    <cellStyle name="Comma 5" xfId="134" xr:uid="{00000000-0005-0000-0000-0000A1000000}"/>
    <cellStyle name="Comma 5 2" xfId="135" xr:uid="{00000000-0005-0000-0000-0000A2000000}"/>
    <cellStyle name="Comma 5 2 2" xfId="667" xr:uid="{00000000-0005-0000-0000-0000C2020000}"/>
    <cellStyle name="Comma 6" xfId="136" xr:uid="{00000000-0005-0000-0000-0000A3000000}"/>
    <cellStyle name="Comma 7" xfId="537" xr:uid="{00000000-0005-0000-0000-000040020000}"/>
    <cellStyle name="Currency" xfId="137" builtinId="4"/>
    <cellStyle name="Currency 10" xfId="138" xr:uid="{00000000-0005-0000-0000-0000A5000000}"/>
    <cellStyle name="Currency 10 2" xfId="139" xr:uid="{00000000-0005-0000-0000-0000A6000000}"/>
    <cellStyle name="Currency 10 2 2" xfId="669" xr:uid="{00000000-0005-0000-0000-0000C4020000}"/>
    <cellStyle name="Currency 10 3" xfId="140" xr:uid="{00000000-0005-0000-0000-0000A7000000}"/>
    <cellStyle name="Currency 10 3 2" xfId="670" xr:uid="{00000000-0005-0000-0000-0000C5020000}"/>
    <cellStyle name="Currency 10 4" xfId="141" xr:uid="{00000000-0005-0000-0000-0000A8000000}"/>
    <cellStyle name="Currency 10 5" xfId="668" xr:uid="{00000000-0005-0000-0000-0000C3020000}"/>
    <cellStyle name="Currency 11" xfId="142" xr:uid="{00000000-0005-0000-0000-0000A9000000}"/>
    <cellStyle name="Currency 11 2" xfId="143" xr:uid="{00000000-0005-0000-0000-0000AA000000}"/>
    <cellStyle name="Currency 11 2 2" xfId="672" xr:uid="{00000000-0005-0000-0000-0000C7020000}"/>
    <cellStyle name="Currency 11 3" xfId="671" xr:uid="{00000000-0005-0000-0000-0000C6020000}"/>
    <cellStyle name="Currency 12" xfId="144" xr:uid="{00000000-0005-0000-0000-0000AB000000}"/>
    <cellStyle name="Currency 12 2" xfId="673" xr:uid="{00000000-0005-0000-0000-0000C8020000}"/>
    <cellStyle name="Currency 2" xfId="145" xr:uid="{00000000-0005-0000-0000-0000AC000000}"/>
    <cellStyle name="Currency 2 2" xfId="146" xr:uid="{00000000-0005-0000-0000-0000AD000000}"/>
    <cellStyle name="Currency 2 3" xfId="147" xr:uid="{00000000-0005-0000-0000-0000AE000000}"/>
    <cellStyle name="Currency 2 3 2" xfId="148" xr:uid="{00000000-0005-0000-0000-0000AF000000}"/>
    <cellStyle name="Currency 2 3 2 2" xfId="675" xr:uid="{00000000-0005-0000-0000-0000CA020000}"/>
    <cellStyle name="Currency 2 3 3" xfId="149" xr:uid="{00000000-0005-0000-0000-0000B0000000}"/>
    <cellStyle name="Currency 2 4" xfId="674" xr:uid="{00000000-0005-0000-0000-0000C9020000}"/>
    <cellStyle name="Currency 3" xfId="150" xr:uid="{00000000-0005-0000-0000-0000B1000000}"/>
    <cellStyle name="Currency 3 2" xfId="151" xr:uid="{00000000-0005-0000-0000-0000B2000000}"/>
    <cellStyle name="Currency 3 2 2" xfId="152" xr:uid="{00000000-0005-0000-0000-0000B3000000}"/>
    <cellStyle name="Currency 3 2 2 2" xfId="153" xr:uid="{00000000-0005-0000-0000-0000B4000000}"/>
    <cellStyle name="Currency 3 2 2 2 2" xfId="154" xr:uid="{00000000-0005-0000-0000-0000B5000000}"/>
    <cellStyle name="Currency 3 2 2 2 2 2" xfId="678" xr:uid="{00000000-0005-0000-0000-0000CD020000}"/>
    <cellStyle name="Currency 3 2 2 2 3" xfId="677" xr:uid="{00000000-0005-0000-0000-0000CC020000}"/>
    <cellStyle name="Currency 3 2 2 3" xfId="155" xr:uid="{00000000-0005-0000-0000-0000B6000000}"/>
    <cellStyle name="Currency 3 2 2 3 2" xfId="679" xr:uid="{00000000-0005-0000-0000-0000CE020000}"/>
    <cellStyle name="Currency 3 2 2 4" xfId="676" xr:uid="{00000000-0005-0000-0000-0000CB020000}"/>
    <cellStyle name="Currency 3 2 3" xfId="156" xr:uid="{00000000-0005-0000-0000-0000B7000000}"/>
    <cellStyle name="Currency 3 2 3 2" xfId="157" xr:uid="{00000000-0005-0000-0000-0000B8000000}"/>
    <cellStyle name="Currency 3 2 3 2 2" xfId="681" xr:uid="{00000000-0005-0000-0000-0000D0020000}"/>
    <cellStyle name="Currency 3 2 3 3" xfId="680" xr:uid="{00000000-0005-0000-0000-0000CF020000}"/>
    <cellStyle name="Currency 3 2 4" xfId="158" xr:uid="{00000000-0005-0000-0000-0000B9000000}"/>
    <cellStyle name="Currency 3 2 4 2" xfId="682" xr:uid="{00000000-0005-0000-0000-0000D1020000}"/>
    <cellStyle name="Currency 3 2 5" xfId="159" xr:uid="{00000000-0005-0000-0000-0000BA000000}"/>
    <cellStyle name="Currency 3 2 5 2" xfId="683" xr:uid="{00000000-0005-0000-0000-0000D2020000}"/>
    <cellStyle name="Currency 3 3" xfId="160" xr:uid="{00000000-0005-0000-0000-0000BB000000}"/>
    <cellStyle name="Currency 4" xfId="161" xr:uid="{00000000-0005-0000-0000-0000BC000000}"/>
    <cellStyle name="Currency 4 2" xfId="162" xr:uid="{00000000-0005-0000-0000-0000BD000000}"/>
    <cellStyle name="Currency 4 2 2" xfId="685" xr:uid="{00000000-0005-0000-0000-0000D4020000}"/>
    <cellStyle name="Currency 4 3" xfId="163" xr:uid="{00000000-0005-0000-0000-0000BE000000}"/>
    <cellStyle name="Currency 4 3 2" xfId="164" xr:uid="{00000000-0005-0000-0000-0000BF000000}"/>
    <cellStyle name="Currency 4 3 2 2" xfId="687" xr:uid="{00000000-0005-0000-0000-0000D6020000}"/>
    <cellStyle name="Currency 4 3 3" xfId="686" xr:uid="{00000000-0005-0000-0000-0000D5020000}"/>
    <cellStyle name="Currency 4 4" xfId="165" xr:uid="{00000000-0005-0000-0000-0000C0000000}"/>
    <cellStyle name="Currency 4 5" xfId="166" xr:uid="{00000000-0005-0000-0000-0000C1000000}"/>
    <cellStyle name="Currency 4 5 2" xfId="688" xr:uid="{00000000-0005-0000-0000-0000D7020000}"/>
    <cellStyle name="Currency 4 6" xfId="684" xr:uid="{00000000-0005-0000-0000-0000D3020000}"/>
    <cellStyle name="Currency 5" xfId="167" xr:uid="{00000000-0005-0000-0000-0000C2000000}"/>
    <cellStyle name="Currency 5 2" xfId="168" xr:uid="{00000000-0005-0000-0000-0000C3000000}"/>
    <cellStyle name="Currency 5 2 2" xfId="169" xr:uid="{00000000-0005-0000-0000-0000C4000000}"/>
    <cellStyle name="Currency 5 2 2 2" xfId="170" xr:uid="{00000000-0005-0000-0000-0000C5000000}"/>
    <cellStyle name="Currency 5 2 2 2 2" xfId="171" xr:uid="{00000000-0005-0000-0000-0000C6000000}"/>
    <cellStyle name="Currency 5 2 2 2 2 2" xfId="172" xr:uid="{00000000-0005-0000-0000-0000C7000000}"/>
    <cellStyle name="Currency 5 2 2 2 2 2 2" xfId="693" xr:uid="{00000000-0005-0000-0000-0000DC020000}"/>
    <cellStyle name="Currency 5 2 2 2 2 3" xfId="692" xr:uid="{00000000-0005-0000-0000-0000DB020000}"/>
    <cellStyle name="Currency 5 2 2 2 3" xfId="173" xr:uid="{00000000-0005-0000-0000-0000C8000000}"/>
    <cellStyle name="Currency 5 2 2 2 3 2" xfId="694" xr:uid="{00000000-0005-0000-0000-0000DD020000}"/>
    <cellStyle name="Currency 5 2 2 2 4" xfId="691" xr:uid="{00000000-0005-0000-0000-0000DA020000}"/>
    <cellStyle name="Currency 5 2 2 3" xfId="174" xr:uid="{00000000-0005-0000-0000-0000C9000000}"/>
    <cellStyle name="Currency 5 2 2 3 2" xfId="175" xr:uid="{00000000-0005-0000-0000-0000CA000000}"/>
    <cellStyle name="Currency 5 2 2 3 2 2" xfId="696" xr:uid="{00000000-0005-0000-0000-0000DF020000}"/>
    <cellStyle name="Currency 5 2 2 3 3" xfId="695" xr:uid="{00000000-0005-0000-0000-0000DE020000}"/>
    <cellStyle name="Currency 5 2 2 4" xfId="176" xr:uid="{00000000-0005-0000-0000-0000CB000000}"/>
    <cellStyle name="Currency 5 2 2 4 2" xfId="697" xr:uid="{00000000-0005-0000-0000-0000E0020000}"/>
    <cellStyle name="Currency 5 2 2 5" xfId="177" xr:uid="{00000000-0005-0000-0000-0000CC000000}"/>
    <cellStyle name="Currency 5 2 2 5 2" xfId="698" xr:uid="{00000000-0005-0000-0000-0000E1020000}"/>
    <cellStyle name="Currency 5 2 3" xfId="178" xr:uid="{00000000-0005-0000-0000-0000CD000000}"/>
    <cellStyle name="Currency 5 2 3 2" xfId="699" xr:uid="{00000000-0005-0000-0000-0000E2020000}"/>
    <cellStyle name="Currency 5 2 4" xfId="179" xr:uid="{00000000-0005-0000-0000-0000CE000000}"/>
    <cellStyle name="Currency 5 2 4 2" xfId="180" xr:uid="{00000000-0005-0000-0000-0000CF000000}"/>
    <cellStyle name="Currency 5 2 4 2 2" xfId="701" xr:uid="{00000000-0005-0000-0000-0000E4020000}"/>
    <cellStyle name="Currency 5 2 4 3" xfId="700" xr:uid="{00000000-0005-0000-0000-0000E3020000}"/>
    <cellStyle name="Currency 5 2 5" xfId="181" xr:uid="{00000000-0005-0000-0000-0000D0000000}"/>
    <cellStyle name="Currency 5 2 5 2" xfId="702" xr:uid="{00000000-0005-0000-0000-0000E5020000}"/>
    <cellStyle name="Currency 5 2 6" xfId="182" xr:uid="{00000000-0005-0000-0000-0000D1000000}"/>
    <cellStyle name="Currency 5 2 6 2" xfId="703" xr:uid="{00000000-0005-0000-0000-0000E6020000}"/>
    <cellStyle name="Currency 5 2 7" xfId="690" xr:uid="{00000000-0005-0000-0000-0000D9020000}"/>
    <cellStyle name="Currency 5 3" xfId="183" xr:uid="{00000000-0005-0000-0000-0000D2000000}"/>
    <cellStyle name="Currency 5 3 2" xfId="184" xr:uid="{00000000-0005-0000-0000-0000D3000000}"/>
    <cellStyle name="Currency 5 3 2 2" xfId="185" xr:uid="{00000000-0005-0000-0000-0000D4000000}"/>
    <cellStyle name="Currency 5 3 2 2 2" xfId="186" xr:uid="{00000000-0005-0000-0000-0000D5000000}"/>
    <cellStyle name="Currency 5 3 2 2 2 2" xfId="706" xr:uid="{00000000-0005-0000-0000-0000E9020000}"/>
    <cellStyle name="Currency 5 3 2 2 3" xfId="705" xr:uid="{00000000-0005-0000-0000-0000E8020000}"/>
    <cellStyle name="Currency 5 3 2 3" xfId="187" xr:uid="{00000000-0005-0000-0000-0000D6000000}"/>
    <cellStyle name="Currency 5 3 2 3 2" xfId="707" xr:uid="{00000000-0005-0000-0000-0000EA020000}"/>
    <cellStyle name="Currency 5 3 2 4" xfId="704" xr:uid="{00000000-0005-0000-0000-0000E7020000}"/>
    <cellStyle name="Currency 5 3 3" xfId="188" xr:uid="{00000000-0005-0000-0000-0000D7000000}"/>
    <cellStyle name="Currency 5 3 3 2" xfId="189" xr:uid="{00000000-0005-0000-0000-0000D8000000}"/>
    <cellStyle name="Currency 5 3 3 2 2" xfId="709" xr:uid="{00000000-0005-0000-0000-0000EC020000}"/>
    <cellStyle name="Currency 5 3 3 3" xfId="708" xr:uid="{00000000-0005-0000-0000-0000EB020000}"/>
    <cellStyle name="Currency 5 3 4" xfId="190" xr:uid="{00000000-0005-0000-0000-0000D9000000}"/>
    <cellStyle name="Currency 5 3 4 2" xfId="710" xr:uid="{00000000-0005-0000-0000-0000ED020000}"/>
    <cellStyle name="Currency 5 3 5" xfId="191" xr:uid="{00000000-0005-0000-0000-0000DA000000}"/>
    <cellStyle name="Currency 5 3 5 2" xfId="711" xr:uid="{00000000-0005-0000-0000-0000EE020000}"/>
    <cellStyle name="Currency 5 4" xfId="192" xr:uid="{00000000-0005-0000-0000-0000DB000000}"/>
    <cellStyle name="Currency 5 4 2" xfId="712" xr:uid="{00000000-0005-0000-0000-0000EF020000}"/>
    <cellStyle name="Currency 5 5" xfId="193" xr:uid="{00000000-0005-0000-0000-0000DC000000}"/>
    <cellStyle name="Currency 5 5 2" xfId="194" xr:uid="{00000000-0005-0000-0000-0000DD000000}"/>
    <cellStyle name="Currency 5 5 2 2" xfId="714" xr:uid="{00000000-0005-0000-0000-0000F1020000}"/>
    <cellStyle name="Currency 5 5 3" xfId="713" xr:uid="{00000000-0005-0000-0000-0000F0020000}"/>
    <cellStyle name="Currency 5 6" xfId="195" xr:uid="{00000000-0005-0000-0000-0000DE000000}"/>
    <cellStyle name="Currency 5 6 2" xfId="715" xr:uid="{00000000-0005-0000-0000-0000F2020000}"/>
    <cellStyle name="Currency 5 7" xfId="196" xr:uid="{00000000-0005-0000-0000-0000DF000000}"/>
    <cellStyle name="Currency 5 7 2" xfId="716" xr:uid="{00000000-0005-0000-0000-0000F3020000}"/>
    <cellStyle name="Currency 5 8" xfId="689" xr:uid="{00000000-0005-0000-0000-0000D8020000}"/>
    <cellStyle name="Currency 6" xfId="197" xr:uid="{00000000-0005-0000-0000-0000E0000000}"/>
    <cellStyle name="Currency 6 2" xfId="198" xr:uid="{00000000-0005-0000-0000-0000E1000000}"/>
    <cellStyle name="Currency 6 3" xfId="199" xr:uid="{00000000-0005-0000-0000-0000E2000000}"/>
    <cellStyle name="Currency 6 3 2" xfId="718" xr:uid="{00000000-0005-0000-0000-0000F5020000}"/>
    <cellStyle name="Currency 6 4" xfId="717" xr:uid="{00000000-0005-0000-0000-0000F4020000}"/>
    <cellStyle name="Currency 7" xfId="200" xr:uid="{00000000-0005-0000-0000-0000E3000000}"/>
    <cellStyle name="Currency 7 2" xfId="201" xr:uid="{00000000-0005-0000-0000-0000E4000000}"/>
    <cellStyle name="Currency 7 2 2" xfId="720" xr:uid="{00000000-0005-0000-0000-0000F7020000}"/>
    <cellStyle name="Currency 7 3" xfId="202" xr:uid="{00000000-0005-0000-0000-0000E5000000}"/>
    <cellStyle name="Currency 7 3 2" xfId="721" xr:uid="{00000000-0005-0000-0000-0000F8020000}"/>
    <cellStyle name="Currency 7 4" xfId="203" xr:uid="{00000000-0005-0000-0000-0000E6000000}"/>
    <cellStyle name="Currency 7 4 2" xfId="722" xr:uid="{00000000-0005-0000-0000-0000F9020000}"/>
    <cellStyle name="Currency 7 5" xfId="719" xr:uid="{00000000-0005-0000-0000-0000F6020000}"/>
    <cellStyle name="Currency 8" xfId="204" xr:uid="{00000000-0005-0000-0000-0000E7000000}"/>
    <cellStyle name="Currency 8 2" xfId="205" xr:uid="{00000000-0005-0000-0000-0000E8000000}"/>
    <cellStyle name="Currency 8 2 2" xfId="724" xr:uid="{00000000-0005-0000-0000-0000FB020000}"/>
    <cellStyle name="Currency 8 3" xfId="723" xr:uid="{00000000-0005-0000-0000-0000FA020000}"/>
    <cellStyle name="Currency 9" xfId="206" xr:uid="{00000000-0005-0000-0000-0000E9000000}"/>
    <cellStyle name="Currency 9 2" xfId="207" xr:uid="{00000000-0005-0000-0000-0000EA000000}"/>
    <cellStyle name="Currency 9 2 2" xfId="726" xr:uid="{00000000-0005-0000-0000-0000FD020000}"/>
    <cellStyle name="Currency 9 3" xfId="725" xr:uid="{00000000-0005-0000-0000-0000FC020000}"/>
    <cellStyle name="Heading 1 2" xfId="208" xr:uid="{00000000-0005-0000-0000-0000EE000000}"/>
    <cellStyle name="Heading 2 2" xfId="209" xr:uid="{00000000-0005-0000-0000-0000F0000000}"/>
    <cellStyle name="Heading 3 2" xfId="210" xr:uid="{00000000-0005-0000-0000-0000F2000000}"/>
    <cellStyle name="Heading 4 2" xfId="211" xr:uid="{00000000-0005-0000-0000-0000F4000000}"/>
    <cellStyle name="Hyperlink" xfId="212" builtinId="8"/>
    <cellStyle name="Hyperlink 2" xfId="213" xr:uid="{00000000-0005-0000-0000-0000F6000000}"/>
    <cellStyle name="Hyperlink 2 2" xfId="214" xr:uid="{00000000-0005-0000-0000-0000F7000000}"/>
    <cellStyle name="Label" xfId="215" xr:uid="{00000000-0005-0000-0000-0000F9000000}"/>
    <cellStyle name="Label No Shade" xfId="216" xr:uid="{00000000-0005-0000-0000-0000FA000000}"/>
    <cellStyle name="Label Shaded" xfId="217" xr:uid="{00000000-0005-0000-0000-0000FB000000}"/>
    <cellStyle name="Normal" xfId="0" builtinId="0"/>
    <cellStyle name="Normal 10" xfId="218" xr:uid="{00000000-0005-0000-0000-0000FE000000}"/>
    <cellStyle name="Normal 10 2" xfId="219" xr:uid="{00000000-0005-0000-0000-0000FF000000}"/>
    <cellStyle name="Normal 10 3" xfId="220" xr:uid="{00000000-0005-0000-0000-000000010000}"/>
    <cellStyle name="Normal 11" xfId="221" xr:uid="{00000000-0005-0000-0000-000001010000}"/>
    <cellStyle name="Normal 11 2" xfId="222" xr:uid="{00000000-0005-0000-0000-000002010000}"/>
    <cellStyle name="Normal 11 2 3" xfId="223" xr:uid="{00000000-0005-0000-0000-000003010000}"/>
    <cellStyle name="Normal 11 2 3 2" xfId="727" xr:uid="{00000000-0005-0000-0000-0000FE020000}"/>
    <cellStyle name="Normal 11 3" xfId="224" xr:uid="{00000000-0005-0000-0000-000004010000}"/>
    <cellStyle name="Normal 11 3 2" xfId="728" xr:uid="{00000000-0005-0000-0000-0000FF020000}"/>
    <cellStyle name="Normal 12" xfId="225" xr:uid="{00000000-0005-0000-0000-000005010000}"/>
    <cellStyle name="Normal 12 2" xfId="226" xr:uid="{00000000-0005-0000-0000-000006010000}"/>
    <cellStyle name="Normal 12 2 2" xfId="227" xr:uid="{00000000-0005-0000-0000-000007010000}"/>
    <cellStyle name="Normal 12 2 2 2" xfId="228" xr:uid="{00000000-0005-0000-0000-000008010000}"/>
    <cellStyle name="Normal 12 2 2 2 2" xfId="732" xr:uid="{00000000-0005-0000-0000-000003030000}"/>
    <cellStyle name="Normal 12 2 2 3" xfId="731" xr:uid="{00000000-0005-0000-0000-000002030000}"/>
    <cellStyle name="Normal 12 2 3" xfId="229" xr:uid="{00000000-0005-0000-0000-000009010000}"/>
    <cellStyle name="Normal 12 2 3 2" xfId="733" xr:uid="{00000000-0005-0000-0000-000004030000}"/>
    <cellStyle name="Normal 12 2 4" xfId="730" xr:uid="{00000000-0005-0000-0000-000001030000}"/>
    <cellStyle name="Normal 12 3" xfId="230" xr:uid="{00000000-0005-0000-0000-00000A010000}"/>
    <cellStyle name="Normal 12 3 2" xfId="231" xr:uid="{00000000-0005-0000-0000-00000B010000}"/>
    <cellStyle name="Normal 12 3 2 2" xfId="735" xr:uid="{00000000-0005-0000-0000-000006030000}"/>
    <cellStyle name="Normal 12 3 3" xfId="734" xr:uid="{00000000-0005-0000-0000-000005030000}"/>
    <cellStyle name="Normal 12 4" xfId="232" xr:uid="{00000000-0005-0000-0000-00000C010000}"/>
    <cellStyle name="Normal 12 4 2" xfId="736" xr:uid="{00000000-0005-0000-0000-000007030000}"/>
    <cellStyle name="Normal 12 5" xfId="233" xr:uid="{00000000-0005-0000-0000-00000D010000}"/>
    <cellStyle name="Normal 12 6" xfId="729" xr:uid="{00000000-0005-0000-0000-000000030000}"/>
    <cellStyle name="Normal 13" xfId="234" xr:uid="{00000000-0005-0000-0000-00000E010000}"/>
    <cellStyle name="Normal 13 2" xfId="235" xr:uid="{00000000-0005-0000-0000-00000F010000}"/>
    <cellStyle name="Normal 14" xfId="236" xr:uid="{00000000-0005-0000-0000-000010010000}"/>
    <cellStyle name="Normal 14 2" xfId="737" xr:uid="{00000000-0005-0000-0000-000008030000}"/>
    <cellStyle name="Normal 15" xfId="536" xr:uid="{00000000-0005-0000-0000-00003F020000}"/>
    <cellStyle name="Normal 16" xfId="992" xr:uid="{00000000-0005-0000-0000-000007040000}"/>
    <cellStyle name="Normal 2" xfId="237" xr:uid="{00000000-0005-0000-0000-000011010000}"/>
    <cellStyle name="Normal 2 2" xfId="238" xr:uid="{00000000-0005-0000-0000-000012010000}"/>
    <cellStyle name="Normal 2 2 2" xfId="239" xr:uid="{00000000-0005-0000-0000-000013010000}"/>
    <cellStyle name="Normal 2 2 2 2" xfId="240" xr:uid="{00000000-0005-0000-0000-000014010000}"/>
    <cellStyle name="Normal 2 2 2 3" xfId="241" xr:uid="{00000000-0005-0000-0000-000015010000}"/>
    <cellStyle name="Normal 2 2 2 4" xfId="242" xr:uid="{00000000-0005-0000-0000-000016010000}"/>
    <cellStyle name="Normal 2 2 2 4 2" xfId="739" xr:uid="{00000000-0005-0000-0000-00000A030000}"/>
    <cellStyle name="Normal 2 2 3" xfId="738" xr:uid="{00000000-0005-0000-0000-000009030000}"/>
    <cellStyle name="Normal 2 3" xfId="243" xr:uid="{00000000-0005-0000-0000-000017010000}"/>
    <cellStyle name="Normal 2 3 2" xfId="244" xr:uid="{00000000-0005-0000-0000-000018010000}"/>
    <cellStyle name="Normal 2 4" xfId="245" xr:uid="{00000000-0005-0000-0000-000019010000}"/>
    <cellStyle name="Normal 2 4 2" xfId="246" xr:uid="{00000000-0005-0000-0000-00001A010000}"/>
    <cellStyle name="Normal 2 4 2 2" xfId="247" xr:uid="{00000000-0005-0000-0000-00001B010000}"/>
    <cellStyle name="Normal 2 4 2 3" xfId="248" xr:uid="{00000000-0005-0000-0000-00001C010000}"/>
    <cellStyle name="Normal 2 4 2 3 2" xfId="249" xr:uid="{00000000-0005-0000-0000-00001D010000}"/>
    <cellStyle name="Normal 2 4 2 3 2 2" xfId="250" xr:uid="{00000000-0005-0000-0000-00001E010000}"/>
    <cellStyle name="Normal 2 4 2 3 2 2 2" xfId="251" xr:uid="{00000000-0005-0000-0000-00001F010000}"/>
    <cellStyle name="Normal 2 4 2 3 2 2 2 2" xfId="744" xr:uid="{00000000-0005-0000-0000-00000F030000}"/>
    <cellStyle name="Normal 2 4 2 3 2 2 3" xfId="743" xr:uid="{00000000-0005-0000-0000-00000E030000}"/>
    <cellStyle name="Normal 2 4 2 3 2 3" xfId="252" xr:uid="{00000000-0005-0000-0000-000020010000}"/>
    <cellStyle name="Normal 2 4 2 3 2 3 2" xfId="745" xr:uid="{00000000-0005-0000-0000-000010030000}"/>
    <cellStyle name="Normal 2 4 2 3 2 4" xfId="742" xr:uid="{00000000-0005-0000-0000-00000D030000}"/>
    <cellStyle name="Normal 2 4 2 3 3" xfId="253" xr:uid="{00000000-0005-0000-0000-000021010000}"/>
    <cellStyle name="Normal 2 4 2 3 3 2" xfId="254" xr:uid="{00000000-0005-0000-0000-000022010000}"/>
    <cellStyle name="Normal 2 4 2 3 3 2 2" xfId="747" xr:uid="{00000000-0005-0000-0000-000012030000}"/>
    <cellStyle name="Normal 2 4 2 3 3 3" xfId="746" xr:uid="{00000000-0005-0000-0000-000011030000}"/>
    <cellStyle name="Normal 2 4 2 3 4" xfId="255" xr:uid="{00000000-0005-0000-0000-000023010000}"/>
    <cellStyle name="Normal 2 4 2 3 4 2" xfId="748" xr:uid="{00000000-0005-0000-0000-000013030000}"/>
    <cellStyle name="Normal 2 4 2 3 5" xfId="741" xr:uid="{00000000-0005-0000-0000-00000C030000}"/>
    <cellStyle name="Normal 2 4 2 4" xfId="256" xr:uid="{00000000-0005-0000-0000-000024010000}"/>
    <cellStyle name="Normal 2 4 2 4 2" xfId="257" xr:uid="{00000000-0005-0000-0000-000025010000}"/>
    <cellStyle name="Normal 2 4 2 4 2 2" xfId="258" xr:uid="{00000000-0005-0000-0000-000026010000}"/>
    <cellStyle name="Normal 2 4 2 4 2 2 2" xfId="751" xr:uid="{00000000-0005-0000-0000-000016030000}"/>
    <cellStyle name="Normal 2 4 2 4 2 3" xfId="750" xr:uid="{00000000-0005-0000-0000-000015030000}"/>
    <cellStyle name="Normal 2 4 2 4 3" xfId="259" xr:uid="{00000000-0005-0000-0000-000027010000}"/>
    <cellStyle name="Normal 2 4 2 4 3 2" xfId="752" xr:uid="{00000000-0005-0000-0000-000017030000}"/>
    <cellStyle name="Normal 2 4 2 4 4" xfId="749" xr:uid="{00000000-0005-0000-0000-000014030000}"/>
    <cellStyle name="Normal 2 4 2 5" xfId="260" xr:uid="{00000000-0005-0000-0000-000028010000}"/>
    <cellStyle name="Normal 2 4 2 5 2" xfId="261" xr:uid="{00000000-0005-0000-0000-000029010000}"/>
    <cellStyle name="Normal 2 4 2 5 2 2" xfId="754" xr:uid="{00000000-0005-0000-0000-000019030000}"/>
    <cellStyle name="Normal 2 4 2 5 3" xfId="753" xr:uid="{00000000-0005-0000-0000-000018030000}"/>
    <cellStyle name="Normal 2 4 2 6" xfId="262" xr:uid="{00000000-0005-0000-0000-00002A010000}"/>
    <cellStyle name="Normal 2 4 2 6 2" xfId="755" xr:uid="{00000000-0005-0000-0000-00001A030000}"/>
    <cellStyle name="Normal 2 4 2 7" xfId="740" xr:uid="{00000000-0005-0000-0000-00000B030000}"/>
    <cellStyle name="Normal 2 4 3" xfId="263" xr:uid="{00000000-0005-0000-0000-00002B010000}"/>
    <cellStyle name="Normal 2 4 3 2" xfId="264" xr:uid="{00000000-0005-0000-0000-00002C010000}"/>
    <cellStyle name="Normal 2 4 3 3" xfId="265" xr:uid="{00000000-0005-0000-0000-00002D010000}"/>
    <cellStyle name="Normal 2 4 3 3 2" xfId="266" xr:uid="{00000000-0005-0000-0000-00002E010000}"/>
    <cellStyle name="Normal 2 4 3 3 2 2" xfId="267" xr:uid="{00000000-0005-0000-0000-00002F010000}"/>
    <cellStyle name="Normal 2 4 3 3 2 2 2" xfId="759" xr:uid="{00000000-0005-0000-0000-00001E030000}"/>
    <cellStyle name="Normal 2 4 3 3 2 3" xfId="758" xr:uid="{00000000-0005-0000-0000-00001D030000}"/>
    <cellStyle name="Normal 2 4 3 3 3" xfId="268" xr:uid="{00000000-0005-0000-0000-000030010000}"/>
    <cellStyle name="Normal 2 4 3 3 3 2" xfId="760" xr:uid="{00000000-0005-0000-0000-00001F030000}"/>
    <cellStyle name="Normal 2 4 3 3 4" xfId="757" xr:uid="{00000000-0005-0000-0000-00001C030000}"/>
    <cellStyle name="Normal 2 4 3 4" xfId="756" xr:uid="{00000000-0005-0000-0000-00001B030000}"/>
    <cellStyle name="Normal 2 4 4" xfId="269" xr:uid="{00000000-0005-0000-0000-000031010000}"/>
    <cellStyle name="Normal 2 4 5" xfId="270" xr:uid="{00000000-0005-0000-0000-000032010000}"/>
    <cellStyle name="Normal 2 4 5 2" xfId="271" xr:uid="{00000000-0005-0000-0000-000033010000}"/>
    <cellStyle name="Normal 2 4 5 2 2" xfId="272" xr:uid="{00000000-0005-0000-0000-000034010000}"/>
    <cellStyle name="Normal 2 4 5 2 2 2" xfId="273" xr:uid="{00000000-0005-0000-0000-000035010000}"/>
    <cellStyle name="Normal 2 4 5 2 2 2 2" xfId="764" xr:uid="{00000000-0005-0000-0000-000023030000}"/>
    <cellStyle name="Normal 2 4 5 2 2 3" xfId="763" xr:uid="{00000000-0005-0000-0000-000022030000}"/>
    <cellStyle name="Normal 2 4 5 2 3" xfId="274" xr:uid="{00000000-0005-0000-0000-000036010000}"/>
    <cellStyle name="Normal 2 4 5 2 3 2" xfId="765" xr:uid="{00000000-0005-0000-0000-000024030000}"/>
    <cellStyle name="Normal 2 4 5 2 4" xfId="762" xr:uid="{00000000-0005-0000-0000-000021030000}"/>
    <cellStyle name="Normal 2 4 5 3" xfId="275" xr:uid="{00000000-0005-0000-0000-000037010000}"/>
    <cellStyle name="Normal 2 4 5 3 2" xfId="276" xr:uid="{00000000-0005-0000-0000-000038010000}"/>
    <cellStyle name="Normal 2 4 5 3 2 2" xfId="767" xr:uid="{00000000-0005-0000-0000-000026030000}"/>
    <cellStyle name="Normal 2 4 5 3 3" xfId="766" xr:uid="{00000000-0005-0000-0000-000025030000}"/>
    <cellStyle name="Normal 2 4 5 4" xfId="277" xr:uid="{00000000-0005-0000-0000-000039010000}"/>
    <cellStyle name="Normal 2 4 5 4 2" xfId="768" xr:uid="{00000000-0005-0000-0000-000027030000}"/>
    <cellStyle name="Normal 2 4 5 5" xfId="761" xr:uid="{00000000-0005-0000-0000-000020030000}"/>
    <cellStyle name="Normal 2 4 6" xfId="278" xr:uid="{00000000-0005-0000-0000-00003A010000}"/>
    <cellStyle name="Normal 2 4 7" xfId="279" xr:uid="{00000000-0005-0000-0000-00003B010000}"/>
    <cellStyle name="Normal 2 4 7 2" xfId="280" xr:uid="{00000000-0005-0000-0000-00003C010000}"/>
    <cellStyle name="Normal 2 4 7 2 2" xfId="770" xr:uid="{00000000-0005-0000-0000-000029030000}"/>
    <cellStyle name="Normal 2 4 7 3" xfId="769" xr:uid="{00000000-0005-0000-0000-000028030000}"/>
    <cellStyle name="Normal 2 4 8" xfId="281" xr:uid="{00000000-0005-0000-0000-00003D010000}"/>
    <cellStyle name="Normal 2 4 8 2" xfId="771" xr:uid="{00000000-0005-0000-0000-00002A030000}"/>
    <cellStyle name="Normal 2 5" xfId="282" xr:uid="{00000000-0005-0000-0000-00003E010000}"/>
    <cellStyle name="Normal 2 5 2" xfId="283" xr:uid="{00000000-0005-0000-0000-00003F010000}"/>
    <cellStyle name="Normal 2 5 3" xfId="284" xr:uid="{00000000-0005-0000-0000-000040010000}"/>
    <cellStyle name="Normal 2 5 4" xfId="285" xr:uid="{00000000-0005-0000-0000-000041010000}"/>
    <cellStyle name="Normal 2 5 4 2" xfId="286" xr:uid="{00000000-0005-0000-0000-000042010000}"/>
    <cellStyle name="Normal 2 5 4 2 2" xfId="287" xr:uid="{00000000-0005-0000-0000-000043010000}"/>
    <cellStyle name="Normal 2 5 4 2 2 2" xfId="775" xr:uid="{00000000-0005-0000-0000-00002E030000}"/>
    <cellStyle name="Normal 2 5 4 2 3" xfId="774" xr:uid="{00000000-0005-0000-0000-00002D030000}"/>
    <cellStyle name="Normal 2 5 4 3" xfId="288" xr:uid="{00000000-0005-0000-0000-000044010000}"/>
    <cellStyle name="Normal 2 5 4 3 2" xfId="776" xr:uid="{00000000-0005-0000-0000-00002F030000}"/>
    <cellStyle name="Normal 2 5 4 4" xfId="773" xr:uid="{00000000-0005-0000-0000-00002C030000}"/>
    <cellStyle name="Normal 2 5 5" xfId="772" xr:uid="{00000000-0005-0000-0000-00002B030000}"/>
    <cellStyle name="Normal 2 6" xfId="289" xr:uid="{00000000-0005-0000-0000-000045010000}"/>
    <cellStyle name="Normal 2 8" xfId="535" xr:uid="{00000000-0005-0000-0000-00003E020000}"/>
    <cellStyle name="Normal 3" xfId="290" xr:uid="{00000000-0005-0000-0000-000046010000}"/>
    <cellStyle name="Normal 3 2" xfId="291" xr:uid="{00000000-0005-0000-0000-000047010000}"/>
    <cellStyle name="Normal 3 2 2" xfId="292" xr:uid="{00000000-0005-0000-0000-000048010000}"/>
    <cellStyle name="Normal 3 2 2 2" xfId="779" xr:uid="{00000000-0005-0000-0000-000032030000}"/>
    <cellStyle name="Normal 3 2 3" xfId="293" xr:uid="{00000000-0005-0000-0000-000049010000}"/>
    <cellStyle name="Normal 3 2 3 2" xfId="294" xr:uid="{00000000-0005-0000-0000-00004A010000}"/>
    <cellStyle name="Normal 3 2 3 2 2" xfId="295" xr:uid="{00000000-0005-0000-0000-00004B010000}"/>
    <cellStyle name="Normal 3 2 3 2 2 2" xfId="782" xr:uid="{00000000-0005-0000-0000-000035030000}"/>
    <cellStyle name="Normal 3 2 3 2 3" xfId="781" xr:uid="{00000000-0005-0000-0000-000034030000}"/>
    <cellStyle name="Normal 3 2 3 3" xfId="296" xr:uid="{00000000-0005-0000-0000-00004C010000}"/>
    <cellStyle name="Normal 3 2 3 3 2" xfId="783" xr:uid="{00000000-0005-0000-0000-000036030000}"/>
    <cellStyle name="Normal 3 2 3 4" xfId="780" xr:uid="{00000000-0005-0000-0000-000033030000}"/>
    <cellStyle name="Normal 3 2 4" xfId="778" xr:uid="{00000000-0005-0000-0000-000031030000}"/>
    <cellStyle name="Normal 3 3" xfId="297" xr:uid="{00000000-0005-0000-0000-00004D010000}"/>
    <cellStyle name="Normal 3 3 2" xfId="298" xr:uid="{00000000-0005-0000-0000-00004E010000}"/>
    <cellStyle name="Normal 3 3 3" xfId="299" xr:uid="{00000000-0005-0000-0000-00004F010000}"/>
    <cellStyle name="Normal 3 4" xfId="300" xr:uid="{00000000-0005-0000-0000-000050010000}"/>
    <cellStyle name="Normal 3 5" xfId="301" xr:uid="{00000000-0005-0000-0000-000051010000}"/>
    <cellStyle name="Normal 3 6" xfId="777" xr:uid="{00000000-0005-0000-0000-000030030000}"/>
    <cellStyle name="Normal 4" xfId="302" xr:uid="{00000000-0005-0000-0000-000052010000}"/>
    <cellStyle name="Normal 4 2" xfId="303" xr:uid="{00000000-0005-0000-0000-000053010000}"/>
    <cellStyle name="Normal 4 2 2" xfId="304" xr:uid="{00000000-0005-0000-0000-000054010000}"/>
    <cellStyle name="Normal 4 2 2 2" xfId="305" xr:uid="{00000000-0005-0000-0000-000055010000}"/>
    <cellStyle name="Normal 4 2 2 3" xfId="306" xr:uid="{00000000-0005-0000-0000-000056010000}"/>
    <cellStyle name="Normal 4 2 2 3 2" xfId="307" xr:uid="{00000000-0005-0000-0000-000057010000}"/>
    <cellStyle name="Normal 4 2 2 3 2 2" xfId="308" xr:uid="{00000000-0005-0000-0000-000058010000}"/>
    <cellStyle name="Normal 4 2 2 3 2 2 2" xfId="309" xr:uid="{00000000-0005-0000-0000-000059010000}"/>
    <cellStyle name="Normal 4 2 2 3 2 2 2 2" xfId="788" xr:uid="{00000000-0005-0000-0000-00003B030000}"/>
    <cellStyle name="Normal 4 2 2 3 2 2 3" xfId="787" xr:uid="{00000000-0005-0000-0000-00003A030000}"/>
    <cellStyle name="Normal 4 2 2 3 2 3" xfId="310" xr:uid="{00000000-0005-0000-0000-00005A010000}"/>
    <cellStyle name="Normal 4 2 2 3 2 3 2" xfId="789" xr:uid="{00000000-0005-0000-0000-00003C030000}"/>
    <cellStyle name="Normal 4 2 2 3 2 4" xfId="786" xr:uid="{00000000-0005-0000-0000-000039030000}"/>
    <cellStyle name="Normal 4 2 2 3 3" xfId="311" xr:uid="{00000000-0005-0000-0000-00005B010000}"/>
    <cellStyle name="Normal 4 2 2 3 3 2" xfId="312" xr:uid="{00000000-0005-0000-0000-00005C010000}"/>
    <cellStyle name="Normal 4 2 2 3 3 2 2" xfId="791" xr:uid="{00000000-0005-0000-0000-00003E030000}"/>
    <cellStyle name="Normal 4 2 2 3 3 3" xfId="790" xr:uid="{00000000-0005-0000-0000-00003D030000}"/>
    <cellStyle name="Normal 4 2 2 3 4" xfId="313" xr:uid="{00000000-0005-0000-0000-00005D010000}"/>
    <cellStyle name="Normal 4 2 2 3 4 2" xfId="792" xr:uid="{00000000-0005-0000-0000-00003F030000}"/>
    <cellStyle name="Normal 4 2 2 3 5" xfId="785" xr:uid="{00000000-0005-0000-0000-000038030000}"/>
    <cellStyle name="Normal 4 2 2 4" xfId="314" xr:uid="{00000000-0005-0000-0000-00005E010000}"/>
    <cellStyle name="Normal 4 2 2 4 2" xfId="315" xr:uid="{00000000-0005-0000-0000-00005F010000}"/>
    <cellStyle name="Normal 4 2 2 4 2 2" xfId="316" xr:uid="{00000000-0005-0000-0000-000060010000}"/>
    <cellStyle name="Normal 4 2 2 4 2 2 2" xfId="795" xr:uid="{00000000-0005-0000-0000-000042030000}"/>
    <cellStyle name="Normal 4 2 2 4 2 3" xfId="794" xr:uid="{00000000-0005-0000-0000-000041030000}"/>
    <cellStyle name="Normal 4 2 2 4 3" xfId="317" xr:uid="{00000000-0005-0000-0000-000061010000}"/>
    <cellStyle name="Normal 4 2 2 4 3 2" xfId="796" xr:uid="{00000000-0005-0000-0000-000043030000}"/>
    <cellStyle name="Normal 4 2 2 4 4" xfId="793" xr:uid="{00000000-0005-0000-0000-000040030000}"/>
    <cellStyle name="Normal 4 2 2 5" xfId="318" xr:uid="{00000000-0005-0000-0000-000062010000}"/>
    <cellStyle name="Normal 4 2 2 5 2" xfId="319" xr:uid="{00000000-0005-0000-0000-000063010000}"/>
    <cellStyle name="Normal 4 2 2 5 2 2" xfId="798" xr:uid="{00000000-0005-0000-0000-000045030000}"/>
    <cellStyle name="Normal 4 2 2 5 3" xfId="797" xr:uid="{00000000-0005-0000-0000-000044030000}"/>
    <cellStyle name="Normal 4 2 2 6" xfId="320" xr:uid="{00000000-0005-0000-0000-000064010000}"/>
    <cellStyle name="Normal 4 2 2 6 2" xfId="799" xr:uid="{00000000-0005-0000-0000-000046030000}"/>
    <cellStyle name="Normal 4 2 2 7" xfId="784" xr:uid="{00000000-0005-0000-0000-000037030000}"/>
    <cellStyle name="Normal 4 2 3" xfId="321" xr:uid="{00000000-0005-0000-0000-000065010000}"/>
    <cellStyle name="Normal 4 2 4" xfId="322" xr:uid="{00000000-0005-0000-0000-000066010000}"/>
    <cellStyle name="Normal 4 2 4 2" xfId="323" xr:uid="{00000000-0005-0000-0000-000067010000}"/>
    <cellStyle name="Normal 4 2 4 2 2" xfId="324" xr:uid="{00000000-0005-0000-0000-000068010000}"/>
    <cellStyle name="Normal 4 2 4 2 2 2" xfId="325" xr:uid="{00000000-0005-0000-0000-000069010000}"/>
    <cellStyle name="Normal 4 2 4 2 2 2 2" xfId="803" xr:uid="{00000000-0005-0000-0000-00004A030000}"/>
    <cellStyle name="Normal 4 2 4 2 2 3" xfId="802" xr:uid="{00000000-0005-0000-0000-000049030000}"/>
    <cellStyle name="Normal 4 2 4 2 3" xfId="326" xr:uid="{00000000-0005-0000-0000-00006A010000}"/>
    <cellStyle name="Normal 4 2 4 2 3 2" xfId="804" xr:uid="{00000000-0005-0000-0000-00004B030000}"/>
    <cellStyle name="Normal 4 2 4 2 4" xfId="801" xr:uid="{00000000-0005-0000-0000-000048030000}"/>
    <cellStyle name="Normal 4 2 4 3" xfId="327" xr:uid="{00000000-0005-0000-0000-00006B010000}"/>
    <cellStyle name="Normal 4 2 4 3 2" xfId="328" xr:uid="{00000000-0005-0000-0000-00006C010000}"/>
    <cellStyle name="Normal 4 2 4 3 2 2" xfId="806" xr:uid="{00000000-0005-0000-0000-00004D030000}"/>
    <cellStyle name="Normal 4 2 4 3 3" xfId="805" xr:uid="{00000000-0005-0000-0000-00004C030000}"/>
    <cellStyle name="Normal 4 2 4 4" xfId="329" xr:uid="{00000000-0005-0000-0000-00006D010000}"/>
    <cellStyle name="Normal 4 2 4 4 2" xfId="807" xr:uid="{00000000-0005-0000-0000-00004E030000}"/>
    <cellStyle name="Normal 4 2 4 5" xfId="800" xr:uid="{00000000-0005-0000-0000-000047030000}"/>
    <cellStyle name="Normal 4 2 5" xfId="330" xr:uid="{00000000-0005-0000-0000-00006E010000}"/>
    <cellStyle name="Normal 4 2 5 2" xfId="331" xr:uid="{00000000-0005-0000-0000-00006F010000}"/>
    <cellStyle name="Normal 4 2 5 2 2" xfId="809" xr:uid="{00000000-0005-0000-0000-000050030000}"/>
    <cellStyle name="Normal 4 2 5 3" xfId="808" xr:uid="{00000000-0005-0000-0000-00004F030000}"/>
    <cellStyle name="Normal 4 2 6" xfId="332" xr:uid="{00000000-0005-0000-0000-000070010000}"/>
    <cellStyle name="Normal 4 2 6 2" xfId="810" xr:uid="{00000000-0005-0000-0000-000051030000}"/>
    <cellStyle name="Normal 4 3" xfId="333" xr:uid="{00000000-0005-0000-0000-000071010000}"/>
    <cellStyle name="Normal 4 3 2" xfId="334" xr:uid="{00000000-0005-0000-0000-000072010000}"/>
    <cellStyle name="Normal 4 3 2 2" xfId="335" xr:uid="{00000000-0005-0000-0000-000073010000}"/>
    <cellStyle name="Normal 4 3 2 2 2" xfId="336" xr:uid="{00000000-0005-0000-0000-000074010000}"/>
    <cellStyle name="Normal 4 3 2 2 2 2" xfId="337" xr:uid="{00000000-0005-0000-0000-000075010000}"/>
    <cellStyle name="Normal 4 3 2 2 2 2 2" xfId="338" xr:uid="{00000000-0005-0000-0000-000076010000}"/>
    <cellStyle name="Normal 4 3 2 2 2 2 2 2" xfId="815" xr:uid="{00000000-0005-0000-0000-000056030000}"/>
    <cellStyle name="Normal 4 3 2 2 2 2 3" xfId="814" xr:uid="{00000000-0005-0000-0000-000055030000}"/>
    <cellStyle name="Normal 4 3 2 2 2 3" xfId="339" xr:uid="{00000000-0005-0000-0000-000077010000}"/>
    <cellStyle name="Normal 4 3 2 2 2 3 2" xfId="816" xr:uid="{00000000-0005-0000-0000-000057030000}"/>
    <cellStyle name="Normal 4 3 2 2 2 4" xfId="813" xr:uid="{00000000-0005-0000-0000-000054030000}"/>
    <cellStyle name="Normal 4 3 2 3" xfId="340" xr:uid="{00000000-0005-0000-0000-000078010000}"/>
    <cellStyle name="Normal 4 3 2 3 2" xfId="817" xr:uid="{00000000-0005-0000-0000-000058030000}"/>
    <cellStyle name="Normal 4 3 2 4" xfId="812" xr:uid="{00000000-0005-0000-0000-000053030000}"/>
    <cellStyle name="Normal 4 3 3" xfId="341" xr:uid="{00000000-0005-0000-0000-000079010000}"/>
    <cellStyle name="Normal 4 3 3 2" xfId="342" xr:uid="{00000000-0005-0000-0000-00007A010000}"/>
    <cellStyle name="Normal 4 3 3 2 2" xfId="343" xr:uid="{00000000-0005-0000-0000-00007B010000}"/>
    <cellStyle name="Normal 4 3 3 2 2 2" xfId="820" xr:uid="{00000000-0005-0000-0000-00005B030000}"/>
    <cellStyle name="Normal 4 3 3 2 3" xfId="819" xr:uid="{00000000-0005-0000-0000-00005A030000}"/>
    <cellStyle name="Normal 4 3 3 3" xfId="344" xr:uid="{00000000-0005-0000-0000-00007C010000}"/>
    <cellStyle name="Normal 4 3 3 3 2" xfId="821" xr:uid="{00000000-0005-0000-0000-00005C030000}"/>
    <cellStyle name="Normal 4 3 3 4" xfId="818" xr:uid="{00000000-0005-0000-0000-000059030000}"/>
    <cellStyle name="Normal 4 3 4" xfId="811" xr:uid="{00000000-0005-0000-0000-000052030000}"/>
    <cellStyle name="Normal 4 4" xfId="345" xr:uid="{00000000-0005-0000-0000-00007D010000}"/>
    <cellStyle name="Normal 4 4 2" xfId="346" xr:uid="{00000000-0005-0000-0000-00007E010000}"/>
    <cellStyle name="Normal 4 4 2 2" xfId="347" xr:uid="{00000000-0005-0000-0000-00007F010000}"/>
    <cellStyle name="Normal 4 4 2 2 2" xfId="348" xr:uid="{00000000-0005-0000-0000-000080010000}"/>
    <cellStyle name="Normal 4 4 2 2 2 2" xfId="349" xr:uid="{00000000-0005-0000-0000-000081010000}"/>
    <cellStyle name="Normal 4 4 2 2 2 2 2" xfId="826" xr:uid="{00000000-0005-0000-0000-000061030000}"/>
    <cellStyle name="Normal 4 4 2 2 2 3" xfId="825" xr:uid="{00000000-0005-0000-0000-000060030000}"/>
    <cellStyle name="Normal 4 4 2 2 3" xfId="350" xr:uid="{00000000-0005-0000-0000-000082010000}"/>
    <cellStyle name="Normal 4 4 2 2 3 2" xfId="827" xr:uid="{00000000-0005-0000-0000-000062030000}"/>
    <cellStyle name="Normal 4 4 2 2 4" xfId="824" xr:uid="{00000000-0005-0000-0000-00005F030000}"/>
    <cellStyle name="Normal 4 4 2 3" xfId="351" xr:uid="{00000000-0005-0000-0000-000083010000}"/>
    <cellStyle name="Normal 4 4 2 3 2" xfId="352" xr:uid="{00000000-0005-0000-0000-000084010000}"/>
    <cellStyle name="Normal 4 4 2 3 2 2" xfId="829" xr:uid="{00000000-0005-0000-0000-000064030000}"/>
    <cellStyle name="Normal 4 4 2 3 3" xfId="828" xr:uid="{00000000-0005-0000-0000-000063030000}"/>
    <cellStyle name="Normal 4 4 2 4" xfId="353" xr:uid="{00000000-0005-0000-0000-000085010000}"/>
    <cellStyle name="Normal 4 4 2 4 2" xfId="830" xr:uid="{00000000-0005-0000-0000-000065030000}"/>
    <cellStyle name="Normal 4 4 2 5" xfId="823" xr:uid="{00000000-0005-0000-0000-00005E030000}"/>
    <cellStyle name="Normal 4 4 3" xfId="354" xr:uid="{00000000-0005-0000-0000-000086010000}"/>
    <cellStyle name="Normal 4 4 3 2" xfId="355" xr:uid="{00000000-0005-0000-0000-000087010000}"/>
    <cellStyle name="Normal 4 4 3 2 2" xfId="356" xr:uid="{00000000-0005-0000-0000-000088010000}"/>
    <cellStyle name="Normal 4 4 3 2 2 2" xfId="833" xr:uid="{00000000-0005-0000-0000-000068030000}"/>
    <cellStyle name="Normal 4 4 3 2 3" xfId="832" xr:uid="{00000000-0005-0000-0000-000067030000}"/>
    <cellStyle name="Normal 4 4 3 3" xfId="357" xr:uid="{00000000-0005-0000-0000-000089010000}"/>
    <cellStyle name="Normal 4 4 3 3 2" xfId="834" xr:uid="{00000000-0005-0000-0000-000069030000}"/>
    <cellStyle name="Normal 4 4 3 4" xfId="831" xr:uid="{00000000-0005-0000-0000-000066030000}"/>
    <cellStyle name="Normal 4 4 4" xfId="358" xr:uid="{00000000-0005-0000-0000-00008A010000}"/>
    <cellStyle name="Normal 4 4 4 2" xfId="359" xr:uid="{00000000-0005-0000-0000-00008B010000}"/>
    <cellStyle name="Normal 4 4 4 2 2" xfId="836" xr:uid="{00000000-0005-0000-0000-00006B030000}"/>
    <cellStyle name="Normal 4 4 4 3" xfId="835" xr:uid="{00000000-0005-0000-0000-00006A030000}"/>
    <cellStyle name="Normal 4 4 5" xfId="360" xr:uid="{00000000-0005-0000-0000-00008C010000}"/>
    <cellStyle name="Normal 4 4 5 2" xfId="837" xr:uid="{00000000-0005-0000-0000-00006C030000}"/>
    <cellStyle name="Normal 4 4 6" xfId="822" xr:uid="{00000000-0005-0000-0000-00005D030000}"/>
    <cellStyle name="Normal 4 5" xfId="361" xr:uid="{00000000-0005-0000-0000-00008D010000}"/>
    <cellStyle name="Normal 4 6" xfId="362" xr:uid="{00000000-0005-0000-0000-00008E010000}"/>
    <cellStyle name="Normal 4 6 2" xfId="363" xr:uid="{00000000-0005-0000-0000-00008F010000}"/>
    <cellStyle name="Normal 4 6 2 2" xfId="364" xr:uid="{00000000-0005-0000-0000-000090010000}"/>
    <cellStyle name="Normal 4 6 2 2 2" xfId="365" xr:uid="{00000000-0005-0000-0000-000091010000}"/>
    <cellStyle name="Normal 4 6 2 2 2 2" xfId="841" xr:uid="{00000000-0005-0000-0000-000070030000}"/>
    <cellStyle name="Normal 4 6 2 2 3" xfId="840" xr:uid="{00000000-0005-0000-0000-00006F030000}"/>
    <cellStyle name="Normal 4 6 2 3" xfId="366" xr:uid="{00000000-0005-0000-0000-000092010000}"/>
    <cellStyle name="Normal 4 6 2 3 2" xfId="842" xr:uid="{00000000-0005-0000-0000-000071030000}"/>
    <cellStyle name="Normal 4 6 2 4" xfId="839" xr:uid="{00000000-0005-0000-0000-00006E030000}"/>
    <cellStyle name="Normal 4 6 3" xfId="367" xr:uid="{00000000-0005-0000-0000-000093010000}"/>
    <cellStyle name="Normal 4 6 3 2" xfId="368" xr:uid="{00000000-0005-0000-0000-000094010000}"/>
    <cellStyle name="Normal 4 6 3 2 2" xfId="844" xr:uid="{00000000-0005-0000-0000-000073030000}"/>
    <cellStyle name="Normal 4 6 3 3" xfId="843" xr:uid="{00000000-0005-0000-0000-000072030000}"/>
    <cellStyle name="Normal 4 6 4" xfId="369" xr:uid="{00000000-0005-0000-0000-000095010000}"/>
    <cellStyle name="Normal 4 6 4 2" xfId="845" xr:uid="{00000000-0005-0000-0000-000074030000}"/>
    <cellStyle name="Normal 4 6 5" xfId="838" xr:uid="{00000000-0005-0000-0000-00006D030000}"/>
    <cellStyle name="Normal 4 7" xfId="370" xr:uid="{00000000-0005-0000-0000-000096010000}"/>
    <cellStyle name="Normal 4 7 2" xfId="371" xr:uid="{00000000-0005-0000-0000-000097010000}"/>
    <cellStyle name="Normal 4 7 2 2" xfId="847" xr:uid="{00000000-0005-0000-0000-000076030000}"/>
    <cellStyle name="Normal 4 7 3" xfId="846" xr:uid="{00000000-0005-0000-0000-000075030000}"/>
    <cellStyle name="Normal 4 8" xfId="372" xr:uid="{00000000-0005-0000-0000-000098010000}"/>
    <cellStyle name="Normal 4 8 2" xfId="848" xr:uid="{00000000-0005-0000-0000-000077030000}"/>
    <cellStyle name="Normal 5" xfId="373" xr:uid="{00000000-0005-0000-0000-000099010000}"/>
    <cellStyle name="Normal 5 2" xfId="374" xr:uid="{00000000-0005-0000-0000-00009A010000}"/>
    <cellStyle name="Normal 5 2 2" xfId="375" xr:uid="{00000000-0005-0000-0000-00009B010000}"/>
    <cellStyle name="Normal 5 2 2 2" xfId="376" xr:uid="{00000000-0005-0000-0000-00009C010000}"/>
    <cellStyle name="Normal 5 2 2 2 2" xfId="377" xr:uid="{00000000-0005-0000-0000-00009D010000}"/>
    <cellStyle name="Normal 5 2 2 2 2 2" xfId="378" xr:uid="{00000000-0005-0000-0000-00009E010000}"/>
    <cellStyle name="Normal 5 2 2 2 2 2 2" xfId="379" xr:uid="{00000000-0005-0000-0000-00009F010000}"/>
    <cellStyle name="Normal 5 2 2 2 2 2 2 2" xfId="855" xr:uid="{00000000-0005-0000-0000-00007E030000}"/>
    <cellStyle name="Normal 5 2 2 2 2 2 3" xfId="854" xr:uid="{00000000-0005-0000-0000-00007D030000}"/>
    <cellStyle name="Normal 5 2 2 2 2 3" xfId="380" xr:uid="{00000000-0005-0000-0000-0000A0010000}"/>
    <cellStyle name="Normal 5 2 2 2 2 3 2" xfId="856" xr:uid="{00000000-0005-0000-0000-00007F030000}"/>
    <cellStyle name="Normal 5 2 2 2 2 4" xfId="853" xr:uid="{00000000-0005-0000-0000-00007C030000}"/>
    <cellStyle name="Normal 5 2 2 2 3" xfId="381" xr:uid="{00000000-0005-0000-0000-0000A1010000}"/>
    <cellStyle name="Normal 5 2 2 2 3 2" xfId="382" xr:uid="{00000000-0005-0000-0000-0000A2010000}"/>
    <cellStyle name="Normal 5 2 2 2 3 2 2" xfId="858" xr:uid="{00000000-0005-0000-0000-000081030000}"/>
    <cellStyle name="Normal 5 2 2 2 3 3" xfId="857" xr:uid="{00000000-0005-0000-0000-000080030000}"/>
    <cellStyle name="Normal 5 2 2 2 4" xfId="383" xr:uid="{00000000-0005-0000-0000-0000A3010000}"/>
    <cellStyle name="Normal 5 2 2 2 4 2" xfId="859" xr:uid="{00000000-0005-0000-0000-000082030000}"/>
    <cellStyle name="Normal 5 2 2 2 5" xfId="852" xr:uid="{00000000-0005-0000-0000-00007B030000}"/>
    <cellStyle name="Normal 5 2 2 3" xfId="384" xr:uid="{00000000-0005-0000-0000-0000A4010000}"/>
    <cellStyle name="Normal 5 2 2 3 2" xfId="385" xr:uid="{00000000-0005-0000-0000-0000A5010000}"/>
    <cellStyle name="Normal 5 2 2 3 2 2" xfId="386" xr:uid="{00000000-0005-0000-0000-0000A6010000}"/>
    <cellStyle name="Normal 5 2 2 3 2 2 2" xfId="862" xr:uid="{00000000-0005-0000-0000-000085030000}"/>
    <cellStyle name="Normal 5 2 2 3 2 3" xfId="861" xr:uid="{00000000-0005-0000-0000-000084030000}"/>
    <cellStyle name="Normal 5 2 2 3 3" xfId="387" xr:uid="{00000000-0005-0000-0000-0000A7010000}"/>
    <cellStyle name="Normal 5 2 2 3 3 2" xfId="863" xr:uid="{00000000-0005-0000-0000-000086030000}"/>
    <cellStyle name="Normal 5 2 2 3 4" xfId="860" xr:uid="{00000000-0005-0000-0000-000083030000}"/>
    <cellStyle name="Normal 5 2 2 4" xfId="388" xr:uid="{00000000-0005-0000-0000-0000A8010000}"/>
    <cellStyle name="Normal 5 2 2 4 2" xfId="389" xr:uid="{00000000-0005-0000-0000-0000A9010000}"/>
    <cellStyle name="Normal 5 2 2 4 2 2" xfId="865" xr:uid="{00000000-0005-0000-0000-000088030000}"/>
    <cellStyle name="Normal 5 2 2 4 3" xfId="864" xr:uid="{00000000-0005-0000-0000-000087030000}"/>
    <cellStyle name="Normal 5 2 2 5" xfId="390" xr:uid="{00000000-0005-0000-0000-0000AA010000}"/>
    <cellStyle name="Normal 5 2 2 5 2" xfId="866" xr:uid="{00000000-0005-0000-0000-000089030000}"/>
    <cellStyle name="Normal 5 2 2 6" xfId="851" xr:uid="{00000000-0005-0000-0000-00007A030000}"/>
    <cellStyle name="Normal 5 2 3" xfId="391" xr:uid="{00000000-0005-0000-0000-0000AB010000}"/>
    <cellStyle name="Normal 5 2 3 2" xfId="392" xr:uid="{00000000-0005-0000-0000-0000AC010000}"/>
    <cellStyle name="Normal 5 2 3 2 2" xfId="393" xr:uid="{00000000-0005-0000-0000-0000AD010000}"/>
    <cellStyle name="Normal 5 2 3 2 2 2" xfId="394" xr:uid="{00000000-0005-0000-0000-0000AE010000}"/>
    <cellStyle name="Normal 5 2 3 2 2 2 2" xfId="870" xr:uid="{00000000-0005-0000-0000-00008D030000}"/>
    <cellStyle name="Normal 5 2 3 2 2 3" xfId="869" xr:uid="{00000000-0005-0000-0000-00008C030000}"/>
    <cellStyle name="Normal 5 2 3 2 3" xfId="395" xr:uid="{00000000-0005-0000-0000-0000AF010000}"/>
    <cellStyle name="Normal 5 2 3 2 3 2" xfId="871" xr:uid="{00000000-0005-0000-0000-00008E030000}"/>
    <cellStyle name="Normal 5 2 3 2 4" xfId="868" xr:uid="{00000000-0005-0000-0000-00008B030000}"/>
    <cellStyle name="Normal 5 2 3 3" xfId="396" xr:uid="{00000000-0005-0000-0000-0000B0010000}"/>
    <cellStyle name="Normal 5 2 3 3 2" xfId="397" xr:uid="{00000000-0005-0000-0000-0000B1010000}"/>
    <cellStyle name="Normal 5 2 3 3 2 2" xfId="873" xr:uid="{00000000-0005-0000-0000-000090030000}"/>
    <cellStyle name="Normal 5 2 3 3 3" xfId="872" xr:uid="{00000000-0005-0000-0000-00008F030000}"/>
    <cellStyle name="Normal 5 2 3 4" xfId="398" xr:uid="{00000000-0005-0000-0000-0000B2010000}"/>
    <cellStyle name="Normal 5 2 3 4 2" xfId="874" xr:uid="{00000000-0005-0000-0000-000091030000}"/>
    <cellStyle name="Normal 5 2 3 5" xfId="867" xr:uid="{00000000-0005-0000-0000-00008A030000}"/>
    <cellStyle name="Normal 5 2 4" xfId="399" xr:uid="{00000000-0005-0000-0000-0000B3010000}"/>
    <cellStyle name="Normal 5 2 4 2" xfId="400" xr:uid="{00000000-0005-0000-0000-0000B4010000}"/>
    <cellStyle name="Normal 5 2 4 2 2" xfId="401" xr:uid="{00000000-0005-0000-0000-0000B5010000}"/>
    <cellStyle name="Normal 5 2 4 2 2 2" xfId="877" xr:uid="{00000000-0005-0000-0000-000094030000}"/>
    <cellStyle name="Normal 5 2 4 2 3" xfId="876" xr:uid="{00000000-0005-0000-0000-000093030000}"/>
    <cellStyle name="Normal 5 2 4 3" xfId="402" xr:uid="{00000000-0005-0000-0000-0000B6010000}"/>
    <cellStyle name="Normal 5 2 4 3 2" xfId="878" xr:uid="{00000000-0005-0000-0000-000095030000}"/>
    <cellStyle name="Normal 5 2 4 4" xfId="875" xr:uid="{00000000-0005-0000-0000-000092030000}"/>
    <cellStyle name="Normal 5 2 5" xfId="403" xr:uid="{00000000-0005-0000-0000-0000B7010000}"/>
    <cellStyle name="Normal 5 2 5 2" xfId="404" xr:uid="{00000000-0005-0000-0000-0000B8010000}"/>
    <cellStyle name="Normal 5 2 5 2 2" xfId="880" xr:uid="{00000000-0005-0000-0000-000097030000}"/>
    <cellStyle name="Normal 5 2 5 3" xfId="879" xr:uid="{00000000-0005-0000-0000-000096030000}"/>
    <cellStyle name="Normal 5 2 6" xfId="405" xr:uid="{00000000-0005-0000-0000-0000B9010000}"/>
    <cellStyle name="Normal 5 2 6 2" xfId="881" xr:uid="{00000000-0005-0000-0000-000098030000}"/>
    <cellStyle name="Normal 5 2 7" xfId="850" xr:uid="{00000000-0005-0000-0000-000079030000}"/>
    <cellStyle name="Normal 5 3" xfId="406" xr:uid="{00000000-0005-0000-0000-0000BA010000}"/>
    <cellStyle name="Normal 5 3 2" xfId="407" xr:uid="{00000000-0005-0000-0000-0000BB010000}"/>
    <cellStyle name="Normal 5 3 2 2" xfId="883" xr:uid="{00000000-0005-0000-0000-00009A030000}"/>
    <cellStyle name="Normal 5 3 3" xfId="408" xr:uid="{00000000-0005-0000-0000-0000BC010000}"/>
    <cellStyle name="Normal 5 3 3 2" xfId="409" xr:uid="{00000000-0005-0000-0000-0000BD010000}"/>
    <cellStyle name="Normal 5 3 3 2 2" xfId="410" xr:uid="{00000000-0005-0000-0000-0000BE010000}"/>
    <cellStyle name="Normal 5 3 3 2 2 2" xfId="411" xr:uid="{00000000-0005-0000-0000-0000BF010000}"/>
    <cellStyle name="Normal 5 3 3 2 2 2 2" xfId="887" xr:uid="{00000000-0005-0000-0000-00009E030000}"/>
    <cellStyle name="Normal 5 3 3 2 2 3" xfId="886" xr:uid="{00000000-0005-0000-0000-00009D030000}"/>
    <cellStyle name="Normal 5 3 3 2 3" xfId="412" xr:uid="{00000000-0005-0000-0000-0000C0010000}"/>
    <cellStyle name="Normal 5 3 3 2 3 2" xfId="888" xr:uid="{00000000-0005-0000-0000-00009F030000}"/>
    <cellStyle name="Normal 5 3 3 2 4" xfId="885" xr:uid="{00000000-0005-0000-0000-00009C030000}"/>
    <cellStyle name="Normal 5 3 3 3" xfId="413" xr:uid="{00000000-0005-0000-0000-0000C1010000}"/>
    <cellStyle name="Normal 5 3 3 3 2" xfId="414" xr:uid="{00000000-0005-0000-0000-0000C2010000}"/>
    <cellStyle name="Normal 5 3 3 3 2 2" xfId="890" xr:uid="{00000000-0005-0000-0000-0000A1030000}"/>
    <cellStyle name="Normal 5 3 3 3 3" xfId="889" xr:uid="{00000000-0005-0000-0000-0000A0030000}"/>
    <cellStyle name="Normal 5 3 3 4" xfId="415" xr:uid="{00000000-0005-0000-0000-0000C3010000}"/>
    <cellStyle name="Normal 5 3 3 4 2" xfId="891" xr:uid="{00000000-0005-0000-0000-0000A2030000}"/>
    <cellStyle name="Normal 5 3 3 5" xfId="884" xr:uid="{00000000-0005-0000-0000-00009B030000}"/>
    <cellStyle name="Normal 5 3 4" xfId="416" xr:uid="{00000000-0005-0000-0000-0000C4010000}"/>
    <cellStyle name="Normal 5 3 4 2" xfId="417" xr:uid="{00000000-0005-0000-0000-0000C5010000}"/>
    <cellStyle name="Normal 5 3 4 2 2" xfId="418" xr:uid="{00000000-0005-0000-0000-0000C6010000}"/>
    <cellStyle name="Normal 5 3 4 2 2 2" xfId="894" xr:uid="{00000000-0005-0000-0000-0000A5030000}"/>
    <cellStyle name="Normal 5 3 4 2 3" xfId="893" xr:uid="{00000000-0005-0000-0000-0000A4030000}"/>
    <cellStyle name="Normal 5 3 4 3" xfId="419" xr:uid="{00000000-0005-0000-0000-0000C7010000}"/>
    <cellStyle name="Normal 5 3 4 3 2" xfId="895" xr:uid="{00000000-0005-0000-0000-0000A6030000}"/>
    <cellStyle name="Normal 5 3 4 4" xfId="892" xr:uid="{00000000-0005-0000-0000-0000A3030000}"/>
    <cellStyle name="Normal 5 3 5" xfId="420" xr:uid="{00000000-0005-0000-0000-0000C8010000}"/>
    <cellStyle name="Normal 5 3 5 2" xfId="421" xr:uid="{00000000-0005-0000-0000-0000C9010000}"/>
    <cellStyle name="Normal 5 3 5 2 2" xfId="897" xr:uid="{00000000-0005-0000-0000-0000A8030000}"/>
    <cellStyle name="Normal 5 3 5 3" xfId="896" xr:uid="{00000000-0005-0000-0000-0000A7030000}"/>
    <cellStyle name="Normal 5 3 6" xfId="422" xr:uid="{00000000-0005-0000-0000-0000CA010000}"/>
    <cellStyle name="Normal 5 3 6 2" xfId="898" xr:uid="{00000000-0005-0000-0000-0000A9030000}"/>
    <cellStyle name="Normal 5 3 7" xfId="882" xr:uid="{00000000-0005-0000-0000-000099030000}"/>
    <cellStyle name="Normal 5 4" xfId="423" xr:uid="{00000000-0005-0000-0000-0000CB010000}"/>
    <cellStyle name="Normal 5 4 2" xfId="424" xr:uid="{00000000-0005-0000-0000-0000CC010000}"/>
    <cellStyle name="Normal 5 4 2 2" xfId="425" xr:uid="{00000000-0005-0000-0000-0000CD010000}"/>
    <cellStyle name="Normal 5 4 2 2 2" xfId="426" xr:uid="{00000000-0005-0000-0000-0000CE010000}"/>
    <cellStyle name="Normal 5 4 2 2 2 2" xfId="902" xr:uid="{00000000-0005-0000-0000-0000AD030000}"/>
    <cellStyle name="Normal 5 4 2 2 3" xfId="901" xr:uid="{00000000-0005-0000-0000-0000AC030000}"/>
    <cellStyle name="Normal 5 4 2 3" xfId="427" xr:uid="{00000000-0005-0000-0000-0000CF010000}"/>
    <cellStyle name="Normal 5 4 2 3 2" xfId="903" xr:uid="{00000000-0005-0000-0000-0000AE030000}"/>
    <cellStyle name="Normal 5 4 2 4" xfId="900" xr:uid="{00000000-0005-0000-0000-0000AB030000}"/>
    <cellStyle name="Normal 5 4 3" xfId="428" xr:uid="{00000000-0005-0000-0000-0000D0010000}"/>
    <cellStyle name="Normal 5 4 3 2" xfId="429" xr:uid="{00000000-0005-0000-0000-0000D1010000}"/>
    <cellStyle name="Normal 5 4 3 2 2" xfId="905" xr:uid="{00000000-0005-0000-0000-0000B0030000}"/>
    <cellStyle name="Normal 5 4 3 3" xfId="904" xr:uid="{00000000-0005-0000-0000-0000AF030000}"/>
    <cellStyle name="Normal 5 4 4" xfId="430" xr:uid="{00000000-0005-0000-0000-0000D2010000}"/>
    <cellStyle name="Normal 5 4 4 2" xfId="906" xr:uid="{00000000-0005-0000-0000-0000B1030000}"/>
    <cellStyle name="Normal 5 4 5" xfId="899" xr:uid="{00000000-0005-0000-0000-0000AA030000}"/>
    <cellStyle name="Normal 5 5" xfId="431" xr:uid="{00000000-0005-0000-0000-0000D3010000}"/>
    <cellStyle name="Normal 5 5 2" xfId="432" xr:uid="{00000000-0005-0000-0000-0000D4010000}"/>
    <cellStyle name="Normal 5 5 2 2" xfId="433" xr:uid="{00000000-0005-0000-0000-0000D5010000}"/>
    <cellStyle name="Normal 5 5 2 2 2" xfId="909" xr:uid="{00000000-0005-0000-0000-0000B4030000}"/>
    <cellStyle name="Normal 5 5 2 3" xfId="908" xr:uid="{00000000-0005-0000-0000-0000B3030000}"/>
    <cellStyle name="Normal 5 5 3" xfId="434" xr:uid="{00000000-0005-0000-0000-0000D6010000}"/>
    <cellStyle name="Normal 5 5 3 2" xfId="910" xr:uid="{00000000-0005-0000-0000-0000B5030000}"/>
    <cellStyle name="Normal 5 5 4" xfId="907" xr:uid="{00000000-0005-0000-0000-0000B2030000}"/>
    <cellStyle name="Normal 5 6" xfId="435" xr:uid="{00000000-0005-0000-0000-0000D7010000}"/>
    <cellStyle name="Normal 5 6 2" xfId="436" xr:uid="{00000000-0005-0000-0000-0000D8010000}"/>
    <cellStyle name="Normal 5 6 2 2" xfId="912" xr:uid="{00000000-0005-0000-0000-0000B7030000}"/>
    <cellStyle name="Normal 5 6 3" xfId="911" xr:uid="{00000000-0005-0000-0000-0000B6030000}"/>
    <cellStyle name="Normal 5 7" xfId="437" xr:uid="{00000000-0005-0000-0000-0000D9010000}"/>
    <cellStyle name="Normal 5 7 2" xfId="913" xr:uid="{00000000-0005-0000-0000-0000B8030000}"/>
    <cellStyle name="Normal 5 8" xfId="849" xr:uid="{00000000-0005-0000-0000-000078030000}"/>
    <cellStyle name="Normal 6" xfId="438" xr:uid="{00000000-0005-0000-0000-0000DA010000}"/>
    <cellStyle name="Normal 6 2" xfId="439" xr:uid="{00000000-0005-0000-0000-0000DB010000}"/>
    <cellStyle name="Normal 6 3" xfId="440" xr:uid="{00000000-0005-0000-0000-0000DC010000}"/>
    <cellStyle name="Normal 6 3 2" xfId="441" xr:uid="{00000000-0005-0000-0000-0000DD010000}"/>
    <cellStyle name="Normal 6 3 3" xfId="442" xr:uid="{00000000-0005-0000-0000-0000DE010000}"/>
    <cellStyle name="Normal 7" xfId="443" xr:uid="{00000000-0005-0000-0000-0000DF010000}"/>
    <cellStyle name="Normal 7 2" xfId="444" xr:uid="{00000000-0005-0000-0000-0000E0010000}"/>
    <cellStyle name="Normal 8" xfId="445" xr:uid="{00000000-0005-0000-0000-0000E1010000}"/>
    <cellStyle name="Normal 8 2" xfId="446" xr:uid="{00000000-0005-0000-0000-0000E2010000}"/>
    <cellStyle name="Normal 8 2 2" xfId="447" xr:uid="{00000000-0005-0000-0000-0000E3010000}"/>
    <cellStyle name="Normal 8 2 2 2" xfId="448" xr:uid="{00000000-0005-0000-0000-0000E4010000}"/>
    <cellStyle name="Normal 8 2 2 2 2" xfId="449" xr:uid="{00000000-0005-0000-0000-0000E5010000}"/>
    <cellStyle name="Normal 8 2 2 2 2 2" xfId="450" xr:uid="{00000000-0005-0000-0000-0000E6010000}"/>
    <cellStyle name="Normal 8 2 2 2 2 2 2" xfId="919" xr:uid="{00000000-0005-0000-0000-0000BE030000}"/>
    <cellStyle name="Normal 8 2 2 2 2 3" xfId="918" xr:uid="{00000000-0005-0000-0000-0000BD030000}"/>
    <cellStyle name="Normal 8 2 2 2 3" xfId="451" xr:uid="{00000000-0005-0000-0000-0000E7010000}"/>
    <cellStyle name="Normal 8 2 2 2 3 2" xfId="920" xr:uid="{00000000-0005-0000-0000-0000BF030000}"/>
    <cellStyle name="Normal 8 2 2 2 4" xfId="917" xr:uid="{00000000-0005-0000-0000-0000BC030000}"/>
    <cellStyle name="Normal 8 2 2 3" xfId="452" xr:uid="{00000000-0005-0000-0000-0000E8010000}"/>
    <cellStyle name="Normal 8 2 2 3 2" xfId="453" xr:uid="{00000000-0005-0000-0000-0000E9010000}"/>
    <cellStyle name="Normal 8 2 2 3 2 2" xfId="922" xr:uid="{00000000-0005-0000-0000-0000C1030000}"/>
    <cellStyle name="Normal 8 2 2 3 3" xfId="921" xr:uid="{00000000-0005-0000-0000-0000C0030000}"/>
    <cellStyle name="Normal 8 2 2 4" xfId="454" xr:uid="{00000000-0005-0000-0000-0000EA010000}"/>
    <cellStyle name="Normal 8 2 2 4 2" xfId="923" xr:uid="{00000000-0005-0000-0000-0000C2030000}"/>
    <cellStyle name="Normal 8 2 2 5" xfId="916" xr:uid="{00000000-0005-0000-0000-0000BB030000}"/>
    <cellStyle name="Normal 8 2 3" xfId="455" xr:uid="{00000000-0005-0000-0000-0000EB010000}"/>
    <cellStyle name="Normal 8 2 3 2" xfId="456" xr:uid="{00000000-0005-0000-0000-0000EC010000}"/>
    <cellStyle name="Normal 8 2 3 2 2" xfId="457" xr:uid="{00000000-0005-0000-0000-0000ED010000}"/>
    <cellStyle name="Normal 8 2 3 2 2 2" xfId="926" xr:uid="{00000000-0005-0000-0000-0000C5030000}"/>
    <cellStyle name="Normal 8 2 3 2 3" xfId="925" xr:uid="{00000000-0005-0000-0000-0000C4030000}"/>
    <cellStyle name="Normal 8 2 3 3" xfId="458" xr:uid="{00000000-0005-0000-0000-0000EE010000}"/>
    <cellStyle name="Normal 8 2 3 3 2" xfId="927" xr:uid="{00000000-0005-0000-0000-0000C6030000}"/>
    <cellStyle name="Normal 8 2 3 4" xfId="924" xr:uid="{00000000-0005-0000-0000-0000C3030000}"/>
    <cellStyle name="Normal 8 2 4" xfId="459" xr:uid="{00000000-0005-0000-0000-0000EF010000}"/>
    <cellStyle name="Normal 8 2 4 2" xfId="460" xr:uid="{00000000-0005-0000-0000-0000F0010000}"/>
    <cellStyle name="Normal 8 2 4 2 2" xfId="929" xr:uid="{00000000-0005-0000-0000-0000C8030000}"/>
    <cellStyle name="Normal 8 2 4 3" xfId="928" xr:uid="{00000000-0005-0000-0000-0000C7030000}"/>
    <cellStyle name="Normal 8 2 5" xfId="461" xr:uid="{00000000-0005-0000-0000-0000F1010000}"/>
    <cellStyle name="Normal 8 2 5 2" xfId="930" xr:uid="{00000000-0005-0000-0000-0000C9030000}"/>
    <cellStyle name="Normal 8 2 6" xfId="915" xr:uid="{00000000-0005-0000-0000-0000BA030000}"/>
    <cellStyle name="Normal 8 3" xfId="462" xr:uid="{00000000-0005-0000-0000-0000F2010000}"/>
    <cellStyle name="Normal 8 3 2" xfId="463" xr:uid="{00000000-0005-0000-0000-0000F3010000}"/>
    <cellStyle name="Normal 8 3 2 2" xfId="464" xr:uid="{00000000-0005-0000-0000-0000F4010000}"/>
    <cellStyle name="Normal 8 3 2 2 2" xfId="465" xr:uid="{00000000-0005-0000-0000-0000F5010000}"/>
    <cellStyle name="Normal 8 3 2 2 2 2" xfId="934" xr:uid="{00000000-0005-0000-0000-0000CD030000}"/>
    <cellStyle name="Normal 8 3 2 2 3" xfId="933" xr:uid="{00000000-0005-0000-0000-0000CC030000}"/>
    <cellStyle name="Normal 8 3 2 3" xfId="466" xr:uid="{00000000-0005-0000-0000-0000F6010000}"/>
    <cellStyle name="Normal 8 3 2 3 2" xfId="935" xr:uid="{00000000-0005-0000-0000-0000CE030000}"/>
    <cellStyle name="Normal 8 3 2 4" xfId="932" xr:uid="{00000000-0005-0000-0000-0000CB030000}"/>
    <cellStyle name="Normal 8 3 3" xfId="467" xr:uid="{00000000-0005-0000-0000-0000F7010000}"/>
    <cellStyle name="Normal 8 3 3 2" xfId="468" xr:uid="{00000000-0005-0000-0000-0000F8010000}"/>
    <cellStyle name="Normal 8 3 3 2 2" xfId="937" xr:uid="{00000000-0005-0000-0000-0000D0030000}"/>
    <cellStyle name="Normal 8 3 3 3" xfId="936" xr:uid="{00000000-0005-0000-0000-0000CF030000}"/>
    <cellStyle name="Normal 8 3 4" xfId="469" xr:uid="{00000000-0005-0000-0000-0000F9010000}"/>
    <cellStyle name="Normal 8 3 4 2" xfId="938" xr:uid="{00000000-0005-0000-0000-0000D1030000}"/>
    <cellStyle name="Normal 8 3 5" xfId="931" xr:uid="{00000000-0005-0000-0000-0000CA030000}"/>
    <cellStyle name="Normal 8 4" xfId="470" xr:uid="{00000000-0005-0000-0000-0000FA010000}"/>
    <cellStyle name="Normal 8 4 2" xfId="471" xr:uid="{00000000-0005-0000-0000-0000FB010000}"/>
    <cellStyle name="Normal 8 4 2 2" xfId="472" xr:uid="{00000000-0005-0000-0000-0000FC010000}"/>
    <cellStyle name="Normal 8 4 2 2 2" xfId="941" xr:uid="{00000000-0005-0000-0000-0000D4030000}"/>
    <cellStyle name="Normal 8 4 2 3" xfId="940" xr:uid="{00000000-0005-0000-0000-0000D3030000}"/>
    <cellStyle name="Normal 8 4 3" xfId="473" xr:uid="{00000000-0005-0000-0000-0000FD010000}"/>
    <cellStyle name="Normal 8 4 3 2" xfId="942" xr:uid="{00000000-0005-0000-0000-0000D5030000}"/>
    <cellStyle name="Normal 8 4 4" xfId="939" xr:uid="{00000000-0005-0000-0000-0000D2030000}"/>
    <cellStyle name="Normal 8 5" xfId="474" xr:uid="{00000000-0005-0000-0000-0000FE010000}"/>
    <cellStyle name="Normal 8 5 2" xfId="475" xr:uid="{00000000-0005-0000-0000-0000FF010000}"/>
    <cellStyle name="Normal 8 5 2 2" xfId="944" xr:uid="{00000000-0005-0000-0000-0000D7030000}"/>
    <cellStyle name="Normal 8 5 3" xfId="943" xr:uid="{00000000-0005-0000-0000-0000D6030000}"/>
    <cellStyle name="Normal 8 6" xfId="476" xr:uid="{00000000-0005-0000-0000-000000020000}"/>
    <cellStyle name="Normal 8 6 2" xfId="945" xr:uid="{00000000-0005-0000-0000-0000D8030000}"/>
    <cellStyle name="Normal 8 7" xfId="914" xr:uid="{00000000-0005-0000-0000-0000B9030000}"/>
    <cellStyle name="Normal 9" xfId="477" xr:uid="{00000000-0005-0000-0000-000001020000}"/>
    <cellStyle name="Normal 9 2" xfId="478" xr:uid="{00000000-0005-0000-0000-000002020000}"/>
    <cellStyle name="Normal 9 2 2" xfId="479" xr:uid="{00000000-0005-0000-0000-000003020000}"/>
    <cellStyle name="Normal 9 2 2 2" xfId="480" xr:uid="{00000000-0005-0000-0000-000004020000}"/>
    <cellStyle name="Normal 9 2 2 2 2" xfId="481" xr:uid="{00000000-0005-0000-0000-000005020000}"/>
    <cellStyle name="Normal 9 2 2 2 2 2" xfId="482" xr:uid="{00000000-0005-0000-0000-000006020000}"/>
    <cellStyle name="Normal 9 2 2 2 2 2 2" xfId="951" xr:uid="{00000000-0005-0000-0000-0000DE030000}"/>
    <cellStyle name="Normal 9 2 2 2 2 3" xfId="950" xr:uid="{00000000-0005-0000-0000-0000DD030000}"/>
    <cellStyle name="Normal 9 2 2 2 3" xfId="483" xr:uid="{00000000-0005-0000-0000-000007020000}"/>
    <cellStyle name="Normal 9 2 2 2 3 2" xfId="952" xr:uid="{00000000-0005-0000-0000-0000DF030000}"/>
    <cellStyle name="Normal 9 2 2 2 4" xfId="949" xr:uid="{00000000-0005-0000-0000-0000DC030000}"/>
    <cellStyle name="Normal 9 2 2 3" xfId="484" xr:uid="{00000000-0005-0000-0000-000008020000}"/>
    <cellStyle name="Normal 9 2 2 3 2" xfId="485" xr:uid="{00000000-0005-0000-0000-000009020000}"/>
    <cellStyle name="Normal 9 2 2 3 2 2" xfId="954" xr:uid="{00000000-0005-0000-0000-0000E1030000}"/>
    <cellStyle name="Normal 9 2 2 3 3" xfId="953" xr:uid="{00000000-0005-0000-0000-0000E0030000}"/>
    <cellStyle name="Normal 9 2 2 4" xfId="486" xr:uid="{00000000-0005-0000-0000-00000A020000}"/>
    <cellStyle name="Normal 9 2 2 4 2" xfId="955" xr:uid="{00000000-0005-0000-0000-0000E2030000}"/>
    <cellStyle name="Normal 9 2 2 5" xfId="948" xr:uid="{00000000-0005-0000-0000-0000DB030000}"/>
    <cellStyle name="Normal 9 2 3" xfId="487" xr:uid="{00000000-0005-0000-0000-00000B020000}"/>
    <cellStyle name="Normal 9 2 3 2" xfId="488" xr:uid="{00000000-0005-0000-0000-00000C020000}"/>
    <cellStyle name="Normal 9 2 3 2 2" xfId="489" xr:uid="{00000000-0005-0000-0000-00000D020000}"/>
    <cellStyle name="Normal 9 2 3 2 2 2" xfId="958" xr:uid="{00000000-0005-0000-0000-0000E5030000}"/>
    <cellStyle name="Normal 9 2 3 2 3" xfId="957" xr:uid="{00000000-0005-0000-0000-0000E4030000}"/>
    <cellStyle name="Normal 9 2 3 3" xfId="490" xr:uid="{00000000-0005-0000-0000-00000E020000}"/>
    <cellStyle name="Normal 9 2 3 3 2" xfId="959" xr:uid="{00000000-0005-0000-0000-0000E6030000}"/>
    <cellStyle name="Normal 9 2 3 4" xfId="956" xr:uid="{00000000-0005-0000-0000-0000E3030000}"/>
    <cellStyle name="Normal 9 2 4" xfId="491" xr:uid="{00000000-0005-0000-0000-00000F020000}"/>
    <cellStyle name="Normal 9 2 4 2" xfId="492" xr:uid="{00000000-0005-0000-0000-000010020000}"/>
    <cellStyle name="Normal 9 2 4 2 2" xfId="961" xr:uid="{00000000-0005-0000-0000-0000E8030000}"/>
    <cellStyle name="Normal 9 2 4 3" xfId="960" xr:uid="{00000000-0005-0000-0000-0000E7030000}"/>
    <cellStyle name="Normal 9 2 5" xfId="493" xr:uid="{00000000-0005-0000-0000-000011020000}"/>
    <cellStyle name="Normal 9 2 5 2" xfId="962" xr:uid="{00000000-0005-0000-0000-0000E9030000}"/>
    <cellStyle name="Normal 9 2 6" xfId="947" xr:uid="{00000000-0005-0000-0000-0000DA030000}"/>
    <cellStyle name="Normal 9 3" xfId="494" xr:uid="{00000000-0005-0000-0000-000012020000}"/>
    <cellStyle name="Normal 9 3 2" xfId="495" xr:uid="{00000000-0005-0000-0000-000013020000}"/>
    <cellStyle name="Normal 9 3 2 2" xfId="496" xr:uid="{00000000-0005-0000-0000-000014020000}"/>
    <cellStyle name="Normal 9 3 2 2 2" xfId="497" xr:uid="{00000000-0005-0000-0000-000015020000}"/>
    <cellStyle name="Normal 9 3 2 2 2 2" xfId="966" xr:uid="{00000000-0005-0000-0000-0000ED030000}"/>
    <cellStyle name="Normal 9 3 2 2 3" xfId="965" xr:uid="{00000000-0005-0000-0000-0000EC030000}"/>
    <cellStyle name="Normal 9 3 2 3" xfId="498" xr:uid="{00000000-0005-0000-0000-000016020000}"/>
    <cellStyle name="Normal 9 3 2 3 2" xfId="967" xr:uid="{00000000-0005-0000-0000-0000EE030000}"/>
    <cellStyle name="Normal 9 3 2 4" xfId="964" xr:uid="{00000000-0005-0000-0000-0000EB030000}"/>
    <cellStyle name="Normal 9 3 3" xfId="499" xr:uid="{00000000-0005-0000-0000-000017020000}"/>
    <cellStyle name="Normal 9 3 3 2" xfId="500" xr:uid="{00000000-0005-0000-0000-000018020000}"/>
    <cellStyle name="Normal 9 3 3 2 2" xfId="969" xr:uid="{00000000-0005-0000-0000-0000F0030000}"/>
    <cellStyle name="Normal 9 3 3 3" xfId="968" xr:uid="{00000000-0005-0000-0000-0000EF030000}"/>
    <cellStyle name="Normal 9 3 4" xfId="501" xr:uid="{00000000-0005-0000-0000-000019020000}"/>
    <cellStyle name="Normal 9 3 4 2" xfId="970" xr:uid="{00000000-0005-0000-0000-0000F1030000}"/>
    <cellStyle name="Normal 9 3 5" xfId="963" xr:uid="{00000000-0005-0000-0000-0000EA030000}"/>
    <cellStyle name="Normal 9 4" xfId="502" xr:uid="{00000000-0005-0000-0000-00001A020000}"/>
    <cellStyle name="Normal 9 4 2" xfId="971" xr:uid="{00000000-0005-0000-0000-0000F2030000}"/>
    <cellStyle name="Normal 9 5" xfId="503" xr:uid="{00000000-0005-0000-0000-00001B020000}"/>
    <cellStyle name="Normal 9 5 2" xfId="504" xr:uid="{00000000-0005-0000-0000-00001C020000}"/>
    <cellStyle name="Normal 9 5 2 2" xfId="973" xr:uid="{00000000-0005-0000-0000-0000F4030000}"/>
    <cellStyle name="Normal 9 5 3" xfId="972" xr:uid="{00000000-0005-0000-0000-0000F3030000}"/>
    <cellStyle name="Normal 9 6" xfId="505" xr:uid="{00000000-0005-0000-0000-00001D020000}"/>
    <cellStyle name="Normal 9 6 2" xfId="974" xr:uid="{00000000-0005-0000-0000-0000F5030000}"/>
    <cellStyle name="Normal 9 7" xfId="946" xr:uid="{00000000-0005-0000-0000-0000D9030000}"/>
    <cellStyle name="Normal_07-190 basis matrix" xfId="506" xr:uid="{00000000-0005-0000-0000-00001E020000}"/>
    <cellStyle name="Normal_07-190 basis matrix 2" xfId="507" xr:uid="{00000000-0005-0000-0000-00001F020000}"/>
    <cellStyle name="Normal_1" xfId="508" xr:uid="{00000000-0005-0000-0000-000020020000}"/>
    <cellStyle name="Normal_100%RENTS" xfId="509" xr:uid="{00000000-0005-0000-0000-000021020000}"/>
    <cellStyle name="Normal_CTCAC 9% Application 7-18-07 practice run 3" xfId="510" xr:uid="{00000000-0005-0000-0000-000022020000}"/>
    <cellStyle name="Normal_CTCAC 9% Application 7-18-07 practice run 3 2" xfId="511" xr:uid="{00000000-0005-0000-0000-000023020000}"/>
    <cellStyle name="Note 2" xfId="512" xr:uid="{00000000-0005-0000-0000-000024020000}"/>
    <cellStyle name="Note 2 2" xfId="513" xr:uid="{00000000-0005-0000-0000-000025020000}"/>
    <cellStyle name="Note 2 2 2" xfId="514" xr:uid="{00000000-0005-0000-0000-000026020000}"/>
    <cellStyle name="Note 2 2 2 2" xfId="515" xr:uid="{00000000-0005-0000-0000-000027020000}"/>
    <cellStyle name="Note 2 2 2 2 2" xfId="977" xr:uid="{00000000-0005-0000-0000-0000F8030000}"/>
    <cellStyle name="Note 2 2 2 3" xfId="976" xr:uid="{00000000-0005-0000-0000-0000F7030000}"/>
    <cellStyle name="Note 2 2 3" xfId="516" xr:uid="{00000000-0005-0000-0000-000028020000}"/>
    <cellStyle name="Note 2 2 3 2" xfId="978" xr:uid="{00000000-0005-0000-0000-0000F9030000}"/>
    <cellStyle name="Note 2 2 4" xfId="975" xr:uid="{00000000-0005-0000-0000-0000F6030000}"/>
    <cellStyle name="Note 2 3" xfId="517" xr:uid="{00000000-0005-0000-0000-000029020000}"/>
    <cellStyle name="Note 2 3 2" xfId="518" xr:uid="{00000000-0005-0000-0000-00002A020000}"/>
    <cellStyle name="Note 2 3 2 2" xfId="980" xr:uid="{00000000-0005-0000-0000-0000FB030000}"/>
    <cellStyle name="Note 2 3 3" xfId="979" xr:uid="{00000000-0005-0000-0000-0000FA030000}"/>
    <cellStyle name="Note 2 4" xfId="519" xr:uid="{00000000-0005-0000-0000-00002B020000}"/>
    <cellStyle name="Note 2 4 2" xfId="981" xr:uid="{00000000-0005-0000-0000-0000FC030000}"/>
    <cellStyle name="Note 2 5" xfId="520" xr:uid="{00000000-0005-0000-0000-00002C020000}"/>
    <cellStyle name="Note 2 5 2" xfId="982" xr:uid="{00000000-0005-0000-0000-0000FD030000}"/>
    <cellStyle name="Note 3" xfId="521" xr:uid="{00000000-0005-0000-0000-00002D020000}"/>
    <cellStyle name="Note 3 2" xfId="522" xr:uid="{00000000-0005-0000-0000-00002E020000}"/>
    <cellStyle name="Note 3 2 2" xfId="523" xr:uid="{00000000-0005-0000-0000-00002F020000}"/>
    <cellStyle name="Note 3 2 2 2" xfId="524" xr:uid="{00000000-0005-0000-0000-000030020000}"/>
    <cellStyle name="Note 3 2 2 2 2" xfId="985" xr:uid="{00000000-0005-0000-0000-000000040000}"/>
    <cellStyle name="Note 3 2 2 3" xfId="984" xr:uid="{00000000-0005-0000-0000-0000FF030000}"/>
    <cellStyle name="Note 3 2 3" xfId="525" xr:uid="{00000000-0005-0000-0000-000031020000}"/>
    <cellStyle name="Note 3 2 3 2" xfId="986" xr:uid="{00000000-0005-0000-0000-000001040000}"/>
    <cellStyle name="Note 3 2 4" xfId="983" xr:uid="{00000000-0005-0000-0000-0000FE030000}"/>
    <cellStyle name="Note 3 3" xfId="526" xr:uid="{00000000-0005-0000-0000-000032020000}"/>
    <cellStyle name="Note 3 3 2" xfId="527" xr:uid="{00000000-0005-0000-0000-000033020000}"/>
    <cellStyle name="Note 3 3 2 2" xfId="988" xr:uid="{00000000-0005-0000-0000-000003040000}"/>
    <cellStyle name="Note 3 3 3" xfId="987" xr:uid="{00000000-0005-0000-0000-000002040000}"/>
    <cellStyle name="Note 3 4" xfId="528" xr:uid="{00000000-0005-0000-0000-000034020000}"/>
    <cellStyle name="Note 3 4 2" xfId="989" xr:uid="{00000000-0005-0000-0000-000004040000}"/>
    <cellStyle name="Note 3 5" xfId="529" xr:uid="{00000000-0005-0000-0000-000035020000}"/>
    <cellStyle name="Note 3 5 2" xfId="990" xr:uid="{00000000-0005-0000-0000-000005040000}"/>
    <cellStyle name="Output 2" xfId="530" xr:uid="{00000000-0005-0000-0000-000037020000}"/>
    <cellStyle name="Percent" xfId="534" builtinId="5"/>
    <cellStyle name="Percent 2" xfId="991" xr:uid="{00000000-0005-0000-0000-000006040000}"/>
    <cellStyle name="Percent 3" xfId="538" xr:uid="{00000000-0005-0000-0000-000041020000}"/>
    <cellStyle name="Text Entry" xfId="531" xr:uid="{00000000-0005-0000-0000-000038020000}"/>
    <cellStyle name="Title 2" xfId="532" xr:uid="{00000000-0005-0000-0000-000039020000}"/>
    <cellStyle name="Total 2" xfId="533" xr:uid="{00000000-0005-0000-0000-00003B020000}"/>
  </cellStyles>
  <dxfs count="97">
    <dxf>
      <font>
        <condense val="0"/>
        <extend val="0"/>
        <color indexed="10"/>
      </font>
    </dxf>
    <dxf>
      <font>
        <condense val="0"/>
        <extend val="0"/>
        <color indexed="10"/>
      </font>
    </dxf>
    <dxf>
      <font>
        <color rgb="FFC00000"/>
      </font>
      <fill>
        <patternFill>
          <bgColor rgb="FFFFCCCC"/>
        </patternFill>
      </fill>
    </dxf>
    <dxf>
      <fill>
        <patternFill>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strike val="0"/>
      </font>
      <fill>
        <patternFill>
          <bgColor rgb="FFFF9999"/>
        </patternFill>
      </fill>
    </dxf>
    <dxf>
      <font>
        <b/>
        <strike val="0"/>
        <color theme="9" tint="-0.24994659260841701"/>
      </font>
    </dxf>
    <dxf>
      <font>
        <strike val="0"/>
      </font>
      <fill>
        <patternFill>
          <bgColor auto="1"/>
        </patternFill>
      </fill>
    </dxf>
    <dxf>
      <font>
        <b/>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bgColor auto="1"/>
        </patternFill>
      </fill>
      <border>
        <left/>
        <right/>
        <bottom/>
      </border>
    </dxf>
    <dxf>
      <font>
        <color theme="0" tint="-0.24994659260841701"/>
      </font>
      <fill>
        <patternFill>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srcRect l="16499" t="59438" r="68250" b="39095"/>
        <a:stretch>
          <a:fillRect/>
        </a:stretch>
      </xdr:blipFill>
      <xdr:spPr bwMode="auto">
        <a:xfrm>
          <a:off x="4152900" y="3208020"/>
          <a:ext cx="0" cy="160020"/>
        </a:xfrm>
        <a:prstGeom prst="rect">
          <a:avLst/>
        </a:prstGeom>
        <a:noFill/>
        <a:ln>
          <a:noFill/>
          <a:prstDash val="solid"/>
        </a:ln>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srcRect l="15750" t="10970" r="38251" b="36562"/>
        <a:stretch>
          <a:fillRect/>
        </a:stretch>
      </xdr:blipFill>
      <xdr:spPr bwMode="auto">
        <a:xfrm>
          <a:off x="114300" y="4053840"/>
          <a:ext cx="0" cy="5768340"/>
        </a:xfrm>
        <a:prstGeom prst="rect">
          <a:avLst/>
        </a:prstGeom>
        <a:noFill/>
        <a:ln>
          <a:noFill/>
          <a:prstDash val="solid"/>
        </a:ln>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srcRect l="22874" t="22688" r="41251" b="65625"/>
        <a:stretch>
          <a:fillRect/>
        </a:stretch>
      </xdr:blipFill>
      <xdr:spPr bwMode="auto">
        <a:xfrm>
          <a:off x="533400" y="11087100"/>
          <a:ext cx="0" cy="1341120"/>
        </a:xfrm>
        <a:prstGeom prst="rect">
          <a:avLst/>
        </a:prstGeom>
        <a:noFill/>
        <a:ln>
          <a:noFill/>
          <a:prstDash val="solid"/>
        </a:ln>
      </xdr:spPr>
    </xdr:pic>
    <xdr:clientData/>
  </xdr:twoCellAnchor>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bwMode="auto">
        <a:xfrm>
          <a:off x="3638550" y="76200"/>
          <a:ext cx="1200150" cy="1159510"/>
        </a:xfrm>
        <a:prstGeom prst="rect">
          <a:avLst/>
        </a:prstGeom>
        <a:noFill/>
        <a:ln>
          <a:noFill/>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reasurer.ca.gov/ctcac/payment.asp" TargetMode="External"/><Relationship Id="rId2" Type="http://schemas.openxmlformats.org/officeDocument/2006/relationships/hyperlink" Target="https://www.treasurer.ca.gov/ctcac/2026/index.asp" TargetMode="External"/><Relationship Id="rId1" Type="http://schemas.openxmlformats.org/officeDocument/2006/relationships/hyperlink" Target="https://www.treasurer.ca.gov/ctcac/2026/applications/competitive-tax-app-instructions.asp" TargetMode="External"/><Relationship Id="rId5" Type="http://schemas.openxmlformats.org/officeDocument/2006/relationships/hyperlink" Target="http://www.treasurer.ca.gov/ctcac/contac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reserve-certification.docx" TargetMode="External"/><Relationship Id="rId2" Type="http://schemas.openxmlformats.org/officeDocument/2006/relationships/hyperlink" Target="https://www.treasurer.ca.gov/ctcac/2026/rural-status.pdf" TargetMode="External"/><Relationship Id="rId1" Type="http://schemas.openxmlformats.org/officeDocument/2006/relationships/hyperlink" Target="https://www.treasurer.ca.gov/ctcac/cuac/index.asp" TargetMode="External"/><Relationship Id="rId6" Type="http://schemas.openxmlformats.org/officeDocument/2006/relationships/hyperlink" Target="http://qct.huduser.gov/tables/data_request.odb"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2" Type="http://schemas.openxmlformats.org/officeDocument/2006/relationships/hyperlink" Target="https://www.treasurer.ca.gov/ctcac/opportunity.asp" TargetMode="External"/><Relationship Id="rId1" Type="http://schemas.openxmlformats.org/officeDocument/2006/relationships/hyperlink" Target="https://www.treasurer.ca.gov/ctcac/2018/lra/contact.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1"/>
  <sheetViews>
    <sheetView showGridLines="0" workbookViewId="0">
      <selection activeCell="C4" sqref="C4"/>
    </sheetView>
  </sheetViews>
  <sheetFormatPr defaultColWidth="0" defaultRowHeight="12.75" zeroHeight="1"/>
  <cols>
    <col min="1" max="38" width="2.42578125" customWidth="1"/>
    <col min="39" max="39" width="8.85546875" hidden="1" customWidth="1"/>
    <col min="40" max="16384" width="8.85546875" hidden="1"/>
  </cols>
  <sheetData>
    <row r="1" spans="1:38">
      <c r="A1" s="975" t="s">
        <v>934</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customHeight="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customHeight="1" thickTop="1"/>
    <row r="4" spans="1:38">
      <c r="A4" s="9"/>
      <c r="B4" s="166" t="s">
        <v>935</v>
      </c>
      <c r="C4" s="166" t="s">
        <v>936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937</v>
      </c>
      <c r="D6" s="3" t="s">
        <v>938</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939</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7">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7"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7" ht="13.7" customHeight="1">
      <c r="A19" s="5"/>
      <c r="C19" s="3"/>
      <c r="D19" s="984" t="s">
        <v>940</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7">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7">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7">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7">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7">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7">
      <c r="A25" s="5"/>
      <c r="C25" s="3"/>
      <c r="D25" s="5"/>
      <c r="E25" s="985" t="s">
        <v>941</v>
      </c>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7">
      <c r="A26" s="5"/>
      <c r="C26" s="3"/>
      <c r="E26" s="985" t="s">
        <v>942</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7">
      <c r="A27" s="5"/>
      <c r="C27" s="3"/>
      <c r="E27" s="990" t="s">
        <v>943</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row>
    <row r="28" spans="1:37">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7" s="5" customFormat="1">
      <c r="D29" s="982" t="s">
        <v>944</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7">
      <c r="A31" s="5"/>
      <c r="D31" s="156"/>
      <c r="E31" s="985" t="s">
        <v>945</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7">
      <c r="A32" s="5"/>
      <c r="D32" s="156"/>
      <c r="E32" s="985" t="s">
        <v>946</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947</v>
      </c>
      <c r="D34" s="3" t="s">
        <v>948</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626</v>
      </c>
      <c r="E35" s="5" t="s">
        <v>949</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950</v>
      </c>
      <c r="F36" s="981" t="s">
        <v>951</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907</v>
      </c>
      <c r="G38" s="5" t="s">
        <v>952</v>
      </c>
      <c r="I38" s="5"/>
      <c r="J38" s="5"/>
      <c r="K38" s="5"/>
      <c r="L38" s="5"/>
      <c r="O38" s="5"/>
      <c r="P38" s="5"/>
      <c r="Q38" s="5"/>
      <c r="R38" s="5"/>
      <c r="S38" s="5"/>
      <c r="T38" s="5"/>
      <c r="U38" s="5"/>
      <c r="V38" s="5"/>
      <c r="W38" s="5"/>
      <c r="X38" s="5"/>
      <c r="Y38" s="5"/>
      <c r="Z38" s="5"/>
      <c r="AA38" s="5"/>
      <c r="AB38" s="5"/>
    </row>
    <row r="39" spans="1:38">
      <c r="A39" s="5"/>
      <c r="C39" s="3"/>
      <c r="D39" s="5"/>
      <c r="E39" s="5" t="s">
        <v>953</v>
      </c>
      <c r="F39" s="41" t="s">
        <v>954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907</v>
      </c>
      <c r="G40" s="3" t="s">
        <v>955</v>
      </c>
      <c r="I40" s="5"/>
      <c r="J40" s="5"/>
      <c r="K40" s="5"/>
      <c r="L40" s="5"/>
      <c r="O40" s="5"/>
      <c r="P40" s="5"/>
      <c r="Q40" s="5"/>
      <c r="R40" s="5"/>
      <c r="S40" s="5"/>
      <c r="T40" s="5"/>
      <c r="U40" s="5"/>
      <c r="V40" s="5"/>
      <c r="W40" s="5"/>
      <c r="X40" s="5"/>
      <c r="Y40" s="5"/>
      <c r="Z40" s="5"/>
      <c r="AA40" s="5"/>
      <c r="AB40" s="5"/>
    </row>
    <row r="41" spans="1:38">
      <c r="A41" s="5"/>
      <c r="C41" s="3"/>
      <c r="D41" s="5"/>
      <c r="E41" s="5"/>
      <c r="F41" s="44" t="s">
        <v>956</v>
      </c>
      <c r="G41" s="5" t="s">
        <v>957</v>
      </c>
      <c r="I41" s="5"/>
      <c r="J41" s="5"/>
      <c r="K41" s="5"/>
      <c r="L41" s="5"/>
      <c r="O41" s="5"/>
      <c r="P41" s="5"/>
      <c r="Q41" s="5"/>
      <c r="R41" s="5"/>
      <c r="S41" s="5"/>
      <c r="T41" s="5"/>
      <c r="U41" s="5"/>
      <c r="V41" s="5"/>
      <c r="W41" s="5"/>
      <c r="X41" s="5"/>
      <c r="Y41" s="5"/>
      <c r="Z41" s="5"/>
      <c r="AA41" s="5"/>
      <c r="AB41" s="5"/>
    </row>
    <row r="42" spans="1:38" ht="13.7" customHeight="1">
      <c r="A42" s="5"/>
      <c r="C42" s="3"/>
      <c r="D42" s="5"/>
      <c r="E42" s="5" t="s">
        <v>958</v>
      </c>
      <c r="F42" s="981" t="s">
        <v>959</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627</v>
      </c>
      <c r="E46" s="5" t="s">
        <v>960</v>
      </c>
      <c r="F46" s="5"/>
      <c r="G46" s="5"/>
      <c r="H46" s="5"/>
      <c r="I46" s="5"/>
      <c r="J46" s="653"/>
      <c r="K46" s="653"/>
      <c r="L46" s="653"/>
      <c r="M46" s="653"/>
      <c r="N46" s="653"/>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961</v>
      </c>
      <c r="F47" t="s">
        <v>962</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907</v>
      </c>
      <c r="G48" s="986" t="s">
        <v>963</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956</v>
      </c>
      <c r="G51" s="986" t="s">
        <v>964</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628</v>
      </c>
      <c r="E55" s="5" t="s">
        <v>965</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966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961</v>
      </c>
      <c r="F57" s="5" t="s">
        <v>936</v>
      </c>
      <c r="G57" s="5"/>
      <c r="H57" s="5"/>
      <c r="I57" s="5"/>
      <c r="J57" s="5"/>
      <c r="K57" s="5"/>
      <c r="L57" s="5"/>
      <c r="M57" s="5"/>
      <c r="P57" s="5"/>
      <c r="Q57" s="5"/>
      <c r="R57" s="5"/>
      <c r="S57" s="5"/>
      <c r="T57" s="5"/>
      <c r="U57" s="5"/>
      <c r="V57" s="5"/>
      <c r="W57" s="5"/>
      <c r="X57" s="5"/>
      <c r="Y57" s="5"/>
      <c r="Z57" s="5"/>
      <c r="AA57" s="5"/>
      <c r="AB57" s="5"/>
    </row>
    <row r="58" spans="1:38">
      <c r="A58" s="5"/>
      <c r="C58" s="3"/>
      <c r="D58" s="5"/>
      <c r="E58" s="5"/>
      <c r="F58" t="s">
        <v>907</v>
      </c>
      <c r="G58" s="981" t="s">
        <v>967</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956</v>
      </c>
      <c r="G61" s="981" t="s">
        <v>968</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953</v>
      </c>
      <c r="F64" s="5" t="s">
        <v>581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907</v>
      </c>
      <c r="G65" s="981" t="s">
        <v>969</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956</v>
      </c>
      <c r="G67" s="981" t="s">
        <v>970</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6" t="s">
        <v>971</v>
      </c>
      <c r="H69" s="5"/>
      <c r="J69" s="156"/>
      <c r="K69" s="156"/>
      <c r="L69" s="156"/>
      <c r="P69" s="5"/>
      <c r="Q69" s="5"/>
      <c r="R69" s="5"/>
      <c r="S69" s="5"/>
      <c r="T69" s="5"/>
      <c r="U69" s="5"/>
      <c r="V69" s="5"/>
      <c r="W69" s="5"/>
      <c r="X69" s="5"/>
      <c r="Y69" s="5"/>
      <c r="Z69" s="5"/>
      <c r="AA69" s="5"/>
      <c r="AB69" s="5"/>
    </row>
    <row r="70" spans="1:37">
      <c r="A70" s="5"/>
      <c r="C70" s="3"/>
      <c r="D70" s="5"/>
      <c r="E70" s="5"/>
      <c r="F70" s="12"/>
      <c r="G70" s="156" t="s">
        <v>972</v>
      </c>
      <c r="J70" s="156"/>
      <c r="K70" s="156"/>
      <c r="L70" s="156"/>
      <c r="P70" s="5"/>
      <c r="Q70" s="5"/>
      <c r="R70" s="5"/>
      <c r="S70" s="5"/>
      <c r="T70" s="5"/>
      <c r="U70" s="5"/>
      <c r="V70" s="5"/>
      <c r="W70" s="5"/>
      <c r="X70" s="5"/>
      <c r="Y70" s="5"/>
      <c r="Z70" s="5"/>
      <c r="AA70" s="5"/>
      <c r="AB70" s="5"/>
    </row>
    <row r="71" spans="1:37">
      <c r="A71" s="5"/>
      <c r="C71" s="3"/>
      <c r="D71" s="5"/>
      <c r="E71" s="5"/>
      <c r="F71" s="12" t="s">
        <v>973</v>
      </c>
      <c r="G71" s="5" t="s">
        <v>974</v>
      </c>
      <c r="H71" s="5"/>
      <c r="I71" s="5"/>
      <c r="K71" s="5"/>
      <c r="L71" s="5"/>
      <c r="M71" s="5"/>
      <c r="P71" s="5"/>
      <c r="Q71" s="5"/>
      <c r="R71" s="5"/>
      <c r="S71" s="5"/>
      <c r="T71" s="5"/>
      <c r="U71" s="5"/>
      <c r="V71" s="5"/>
      <c r="W71" s="5"/>
      <c r="X71" s="5"/>
      <c r="Y71" s="5"/>
      <c r="Z71" s="5"/>
      <c r="AA71" s="5"/>
      <c r="AB71" s="5"/>
    </row>
    <row r="72" spans="1:37">
      <c r="A72" s="5"/>
      <c r="C72" s="3"/>
      <c r="D72" s="5"/>
      <c r="E72" s="5"/>
      <c r="F72" s="5"/>
      <c r="G72" s="5" t="s">
        <v>975</v>
      </c>
      <c r="H72" s="5" t="s">
        <v>976</v>
      </c>
      <c r="K72" s="5"/>
      <c r="L72" s="5"/>
      <c r="M72" s="5"/>
      <c r="P72" s="5"/>
      <c r="Q72" s="5"/>
      <c r="R72" s="5"/>
      <c r="S72" s="5"/>
      <c r="T72" s="5"/>
      <c r="U72" s="5"/>
      <c r="V72" s="5"/>
      <c r="W72" s="5"/>
      <c r="X72" s="5"/>
      <c r="Y72" s="5"/>
      <c r="Z72" s="5"/>
      <c r="AA72" s="5"/>
      <c r="AB72" s="5"/>
    </row>
    <row r="73" spans="1:37">
      <c r="A73" s="5"/>
      <c r="C73" s="3"/>
      <c r="D73" s="5"/>
      <c r="E73" s="5"/>
      <c r="F73" s="5"/>
      <c r="G73" s="5" t="s">
        <v>977</v>
      </c>
      <c r="H73" s="5" t="s">
        <v>978</v>
      </c>
      <c r="K73" s="5"/>
      <c r="L73" s="5"/>
      <c r="M73" s="5"/>
      <c r="P73" s="5"/>
      <c r="Q73" s="5"/>
      <c r="R73" s="5"/>
      <c r="S73" s="5"/>
      <c r="T73" s="5"/>
      <c r="U73" s="5"/>
      <c r="V73" s="5"/>
      <c r="W73" s="5"/>
      <c r="X73" s="5"/>
      <c r="Y73" s="5"/>
      <c r="Z73" s="5"/>
      <c r="AA73" s="5"/>
      <c r="AB73" s="5"/>
    </row>
    <row r="74" spans="1:37">
      <c r="A74" s="5"/>
      <c r="C74" s="3"/>
      <c r="D74" s="5"/>
      <c r="E74" s="5" t="s">
        <v>958</v>
      </c>
      <c r="F74" s="5" t="s">
        <v>979</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980</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981</v>
      </c>
      <c r="F78" s="5" t="s">
        <v>982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983</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984</v>
      </c>
      <c r="F82" s="5" t="s">
        <v>985</v>
      </c>
      <c r="G82" s="5"/>
      <c r="H82" s="5"/>
      <c r="I82" s="5"/>
      <c r="J82" s="5"/>
      <c r="L82" s="5"/>
      <c r="M82" s="5"/>
      <c r="P82" s="5"/>
      <c r="Q82" s="5"/>
      <c r="R82" s="5"/>
      <c r="S82" s="5"/>
      <c r="T82" s="5"/>
      <c r="U82" s="5"/>
      <c r="V82" s="5"/>
      <c r="W82" s="5"/>
      <c r="X82" s="5"/>
      <c r="Y82" s="5"/>
      <c r="Z82" s="5"/>
      <c r="AA82" s="5"/>
      <c r="AB82" s="5"/>
    </row>
    <row r="83" spans="1:38">
      <c r="A83" s="5"/>
      <c r="C83" s="3"/>
      <c r="D83" s="5"/>
      <c r="E83" s="5"/>
      <c r="G83" s="981" t="s">
        <v>986</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987</v>
      </c>
      <c r="F85" s="5" t="s">
        <v>988</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989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990</v>
      </c>
      <c r="F88" s="5" t="s">
        <v>991</v>
      </c>
      <c r="G88" s="5"/>
      <c r="L88" s="5"/>
      <c r="M88" s="5"/>
      <c r="P88" s="5"/>
      <c r="Q88" s="5"/>
      <c r="R88" s="5"/>
      <c r="S88" s="5"/>
      <c r="T88" s="5"/>
      <c r="U88" s="5"/>
      <c r="V88" s="5"/>
      <c r="W88" s="5"/>
      <c r="X88" s="5"/>
      <c r="Y88" s="5"/>
      <c r="Z88" s="5"/>
      <c r="AA88" s="5"/>
      <c r="AB88" s="5"/>
    </row>
    <row r="89" spans="1:38">
      <c r="A89" s="5"/>
      <c r="C89" s="3"/>
      <c r="D89" s="5"/>
      <c r="E89" s="5"/>
      <c r="F89" s="12"/>
      <c r="G89" s="981" t="s">
        <v>992</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58"/>
      <c r="B93" s="358"/>
      <c r="C93" s="370"/>
      <c r="D93" s="358"/>
      <c r="E93" s="358" t="s">
        <v>993</v>
      </c>
      <c r="F93" s="358" t="s">
        <v>994</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8" t="s">
        <v>995</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58"/>
    </row>
    <row r="95" spans="1:38">
      <c r="A95" s="358"/>
      <c r="B95" s="358"/>
      <c r="C95" s="370"/>
      <c r="D95" s="358"/>
      <c r="E95" s="358"/>
      <c r="F95" s="358"/>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58"/>
    </row>
    <row r="96" spans="1:38">
      <c r="A96" s="358"/>
      <c r="B96" s="358"/>
      <c r="C96" s="370"/>
      <c r="D96" s="358"/>
      <c r="E96" s="358"/>
      <c r="F96" s="358"/>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58"/>
    </row>
    <row r="97" spans="1:38">
      <c r="A97" s="358"/>
      <c r="B97" s="358"/>
      <c r="C97" s="370"/>
      <c r="D97" s="358"/>
      <c r="E97" s="358"/>
      <c r="F97" s="358"/>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58"/>
    </row>
    <row r="98" spans="1:38">
      <c r="A98" s="5"/>
      <c r="C98" s="3"/>
      <c r="D98" s="5"/>
      <c r="E98" s="5" t="s">
        <v>996</v>
      </c>
      <c r="F98" s="5" t="s">
        <v>997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998</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999</v>
      </c>
      <c r="F101" s="5" t="s">
        <v>1000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1001</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1002</v>
      </c>
      <c r="F104" s="5" t="s">
        <v>1003</v>
      </c>
      <c r="G104" s="5"/>
      <c r="L104" s="5"/>
      <c r="M104" s="5"/>
      <c r="P104" s="5"/>
      <c r="Q104" s="5"/>
      <c r="R104" s="5"/>
      <c r="S104" s="5"/>
      <c r="T104" s="5"/>
      <c r="U104" s="5"/>
      <c r="V104" s="5"/>
      <c r="W104" s="5"/>
      <c r="X104" s="5"/>
      <c r="Y104" s="5"/>
      <c r="Z104" s="5"/>
      <c r="AA104" s="5"/>
      <c r="AB104" s="5"/>
    </row>
    <row r="105" spans="1:38">
      <c r="A105" s="5"/>
      <c r="C105" s="3"/>
      <c r="D105" s="5"/>
      <c r="E105" s="5"/>
      <c r="F105" s="5"/>
      <c r="G105" s="981" t="s">
        <v>1004</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1005</v>
      </c>
      <c r="F108" s="5" t="s">
        <v>1006</v>
      </c>
      <c r="G108" s="5"/>
      <c r="P108" s="5"/>
      <c r="Q108" s="5"/>
      <c r="R108" s="5"/>
      <c r="S108" s="5"/>
      <c r="T108" s="5"/>
      <c r="U108" s="5"/>
      <c r="V108" s="5"/>
      <c r="W108" s="5"/>
      <c r="X108" s="5"/>
      <c r="Y108" s="5"/>
      <c r="Z108" s="5"/>
      <c r="AA108" s="5"/>
      <c r="AB108" s="5"/>
    </row>
    <row r="109" spans="1:38">
      <c r="A109" s="5"/>
      <c r="C109" s="3"/>
      <c r="D109" s="3"/>
      <c r="E109" s="5"/>
      <c r="F109" s="5"/>
      <c r="G109" s="981" t="s">
        <v>1007</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1008</v>
      </c>
      <c r="P111" s="5"/>
      <c r="Q111" s="5"/>
      <c r="R111" s="5"/>
      <c r="S111" s="5"/>
      <c r="T111" s="5"/>
      <c r="U111" s="5"/>
      <c r="V111" s="5"/>
      <c r="W111" s="5"/>
      <c r="X111" s="5"/>
      <c r="Y111" s="5"/>
      <c r="Z111" s="5"/>
      <c r="AA111" s="5"/>
      <c r="AB111" s="5"/>
    </row>
    <row r="112" spans="1:38">
      <c r="A112" s="5"/>
      <c r="D112" s="654"/>
      <c r="E112" s="987" t="s">
        <v>1009</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4"/>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55"/>
      <c r="C114" s="654"/>
      <c r="D114" s="654"/>
      <c r="E114" s="655"/>
      <c r="F114" s="654"/>
      <c r="G114" s="654"/>
      <c r="H114" s="654"/>
      <c r="I114" s="3"/>
      <c r="J114" s="3"/>
      <c r="K114" s="3"/>
      <c r="L114" s="3"/>
      <c r="M114" s="3"/>
      <c r="N114" s="3"/>
      <c r="P114" s="5"/>
      <c r="Q114" s="5"/>
      <c r="R114" s="5"/>
      <c r="S114" s="5"/>
      <c r="T114" s="5"/>
      <c r="U114" s="5"/>
      <c r="V114" s="5"/>
      <c r="W114" s="5"/>
      <c r="X114" s="5"/>
      <c r="Y114" s="5"/>
      <c r="Z114" s="5"/>
      <c r="AA114" s="5"/>
      <c r="AB114" s="5"/>
    </row>
    <row r="115" spans="1:38">
      <c r="A115" s="9"/>
      <c r="B115" s="166" t="s">
        <v>1010</v>
      </c>
      <c r="C115" s="166" t="s">
        <v>581</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1011</v>
      </c>
      <c r="E117" s="3"/>
      <c r="F117" s="3"/>
      <c r="G117" s="3" t="s">
        <v>1012</v>
      </c>
      <c r="H117" s="3"/>
      <c r="I117" s="3"/>
      <c r="K117" s="3"/>
    </row>
    <row r="118" spans="1:38">
      <c r="B118" s="3"/>
      <c r="C118" s="3"/>
      <c r="D118" s="3" t="s">
        <v>937</v>
      </c>
      <c r="E118" s="3" t="s">
        <v>1012</v>
      </c>
      <c r="F118" s="3"/>
      <c r="G118" s="3"/>
      <c r="H118" s="3"/>
      <c r="I118" s="3"/>
      <c r="J118" s="3"/>
      <c r="K118" s="3"/>
      <c r="L118" s="3"/>
      <c r="M118" s="3"/>
    </row>
    <row r="119" spans="1:38">
      <c r="B119" s="3"/>
      <c r="C119" s="3"/>
      <c r="E119" s="5" t="s">
        <v>626</v>
      </c>
      <c r="F119" s="267" t="s">
        <v>1013</v>
      </c>
      <c r="G119" s="3"/>
      <c r="H119" s="3"/>
      <c r="I119" s="3"/>
      <c r="J119" s="3"/>
      <c r="K119" s="3"/>
    </row>
    <row r="120" spans="1:38">
      <c r="E120" s="5"/>
      <c r="F120" t="s">
        <v>1014</v>
      </c>
    </row>
    <row r="121" spans="1:38" s="156" customFormat="1">
      <c r="E121" s="5"/>
      <c r="F121" t="s">
        <v>1015</v>
      </c>
    </row>
    <row r="122" spans="1:38" s="156" customFormat="1">
      <c r="E122" s="5"/>
    </row>
    <row r="123" spans="1:38">
      <c r="E123" s="5" t="s">
        <v>627</v>
      </c>
      <c r="F123" s="267" t="s">
        <v>1016</v>
      </c>
      <c r="G123" s="3"/>
      <c r="H123" s="3"/>
      <c r="I123" s="3"/>
      <c r="J123" s="3"/>
    </row>
    <row r="124" spans="1:38">
      <c r="E124" s="5"/>
      <c r="F124" t="s">
        <v>1017</v>
      </c>
    </row>
    <row r="125" spans="1:38">
      <c r="E125" s="5"/>
    </row>
    <row r="126" spans="1:38">
      <c r="E126" s="5" t="s">
        <v>628</v>
      </c>
      <c r="F126" s="267" t="s">
        <v>1018</v>
      </c>
      <c r="G126" s="3"/>
      <c r="H126" s="3"/>
      <c r="I126" s="3"/>
      <c r="J126" s="3"/>
      <c r="K126" s="3"/>
      <c r="L126" s="3"/>
      <c r="M126" s="3"/>
      <c r="N126" s="3"/>
      <c r="O126" s="3"/>
      <c r="P126" s="3"/>
    </row>
    <row r="127" spans="1:38">
      <c r="E127" s="5"/>
      <c r="F127" s="5" t="s">
        <v>1019</v>
      </c>
    </row>
    <row r="128" spans="1:38">
      <c r="E128" s="5"/>
      <c r="F128" s="5" t="s">
        <v>1020</v>
      </c>
    </row>
    <row r="130" spans="2:14">
      <c r="E130" t="s">
        <v>629</v>
      </c>
      <c r="F130" s="267" t="s">
        <v>1021</v>
      </c>
    </row>
    <row r="131" spans="2:14">
      <c r="F131" s="5" t="s">
        <v>1022</v>
      </c>
      <c r="G131" s="5"/>
    </row>
    <row r="132" spans="2:14">
      <c r="F132" s="654" t="s">
        <v>1023</v>
      </c>
      <c r="G132" s="654"/>
    </row>
    <row r="133" spans="2:14">
      <c r="G133" s="654"/>
    </row>
    <row r="134" spans="2:14">
      <c r="E134" s="5" t="s">
        <v>630</v>
      </c>
      <c r="F134" s="267" t="s">
        <v>1024</v>
      </c>
    </row>
    <row r="135" spans="2:14">
      <c r="E135" s="5"/>
      <c r="F135" s="5" t="s">
        <v>1025</v>
      </c>
    </row>
    <row r="136" spans="2:14" ht="12.75" customHeight="1">
      <c r="B136" s="3"/>
      <c r="C136" s="3"/>
      <c r="F136" s="3"/>
    </row>
    <row r="137" spans="2:14">
      <c r="B137" s="3"/>
      <c r="C137" s="3" t="s">
        <v>1026</v>
      </c>
      <c r="G137" s="3" t="s">
        <v>1027</v>
      </c>
    </row>
    <row r="138" spans="2:14">
      <c r="B138" s="3"/>
      <c r="C138" s="3"/>
      <c r="D138" s="3" t="s">
        <v>937</v>
      </c>
      <c r="E138" s="3" t="s">
        <v>98</v>
      </c>
      <c r="F138" s="3"/>
      <c r="G138" s="3"/>
      <c r="H138" s="3"/>
      <c r="I138" s="3"/>
      <c r="J138" s="3"/>
    </row>
    <row r="139" spans="2:14">
      <c r="B139" s="3"/>
      <c r="C139" s="3"/>
      <c r="E139" s="5" t="s">
        <v>1028</v>
      </c>
      <c r="F139" s="5"/>
    </row>
    <row r="141" spans="2:14">
      <c r="D141" s="3" t="s">
        <v>947</v>
      </c>
      <c r="E141" s="3" t="s">
        <v>134</v>
      </c>
    </row>
    <row r="142" spans="2:14">
      <c r="E142" s="41" t="s">
        <v>1028</v>
      </c>
      <c r="F142" s="5"/>
    </row>
    <row r="144" spans="2:14">
      <c r="D144" s="3" t="s">
        <v>1029</v>
      </c>
      <c r="E144" s="3" t="s">
        <v>1030</v>
      </c>
      <c r="G144" s="3"/>
      <c r="H144" s="3"/>
      <c r="I144" s="3"/>
      <c r="J144" s="3"/>
      <c r="K144" s="3"/>
      <c r="L144" s="3"/>
      <c r="M144" s="3"/>
      <c r="N144" s="3"/>
    </row>
    <row r="145" spans="4:37">
      <c r="E145" s="981" t="s">
        <v>1031</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8" spans="4:37">
      <c r="D148" s="3" t="s">
        <v>1032</v>
      </c>
      <c r="E148" s="3" t="s">
        <v>1033</v>
      </c>
      <c r="G148" s="3"/>
      <c r="H148" s="3"/>
      <c r="I148" s="3"/>
      <c r="J148" s="3"/>
      <c r="K148" s="3"/>
      <c r="L148" s="3"/>
      <c r="M148" s="3"/>
      <c r="N148" s="3"/>
      <c r="O148" s="3"/>
      <c r="P148" s="3"/>
      <c r="Q148" s="3"/>
      <c r="R148" s="3"/>
      <c r="S148" s="3"/>
      <c r="T148" s="3"/>
      <c r="U148" s="3"/>
      <c r="V148" s="3"/>
      <c r="W148" s="3"/>
      <c r="X148" s="3"/>
      <c r="Y148" s="3"/>
    </row>
    <row r="149" spans="4:37">
      <c r="E149" s="41" t="s">
        <v>1034</v>
      </c>
      <c r="F149" s="5"/>
    </row>
    <row r="151" spans="4:37">
      <c r="D151" s="3" t="s">
        <v>1035</v>
      </c>
      <c r="E151" s="3" t="s">
        <v>1036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1037</v>
      </c>
    </row>
    <row r="154" spans="4:37">
      <c r="D154" s="3" t="s">
        <v>1038</v>
      </c>
      <c r="E154" s="3" t="s">
        <v>1039</v>
      </c>
    </row>
    <row r="155" spans="4:37">
      <c r="E155" t="s">
        <v>626</v>
      </c>
      <c r="F155" t="s">
        <v>1040</v>
      </c>
    </row>
    <row r="156" spans="4:37">
      <c r="E156" t="s">
        <v>627</v>
      </c>
      <c r="F156" t="s">
        <v>1041</v>
      </c>
    </row>
    <row r="157" spans="4:37">
      <c r="F157" t="s">
        <v>961</v>
      </c>
      <c r="G157" s="41" t="s">
        <v>1042</v>
      </c>
    </row>
    <row r="158" spans="4:37">
      <c r="F158" t="s">
        <v>953</v>
      </c>
      <c r="G158" s="981" t="s">
        <v>1043</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1" spans="3:9">
      <c r="D161" s="3" t="s">
        <v>1044</v>
      </c>
      <c r="E161" s="3" t="s">
        <v>1045</v>
      </c>
    </row>
    <row r="162" spans="3:9">
      <c r="E162" s="748" t="s">
        <v>1046</v>
      </c>
      <c r="F162" s="358"/>
    </row>
    <row r="163" spans="3:9">
      <c r="D163" s="3"/>
      <c r="E163" s="3"/>
    </row>
    <row r="164" spans="3:9">
      <c r="C164" s="3" t="s">
        <v>1047</v>
      </c>
      <c r="G164" s="3" t="s">
        <v>1048</v>
      </c>
    </row>
    <row r="165" spans="3:9">
      <c r="C165" s="3"/>
      <c r="D165" s="3" t="s">
        <v>937</v>
      </c>
      <c r="E165" s="3" t="s">
        <v>293</v>
      </c>
      <c r="F165" s="3"/>
      <c r="G165" s="3"/>
      <c r="H165" s="3"/>
    </row>
    <row r="166" spans="3:9">
      <c r="E166" t="s">
        <v>1049</v>
      </c>
    </row>
    <row r="168" spans="3:9">
      <c r="D168" s="3" t="s">
        <v>947</v>
      </c>
      <c r="E168" s="3" t="s">
        <v>1050</v>
      </c>
      <c r="F168" s="3"/>
      <c r="G168" s="3"/>
      <c r="H168" s="3"/>
      <c r="I168" s="3"/>
    </row>
    <row r="169" spans="3:9">
      <c r="E169" s="5" t="s">
        <v>1051</v>
      </c>
    </row>
    <row r="170" spans="3:9">
      <c r="E170" s="5" t="s">
        <v>1052</v>
      </c>
      <c r="G170" s="5"/>
    </row>
    <row r="172" spans="3:9">
      <c r="D172" s="3" t="s">
        <v>1029</v>
      </c>
      <c r="E172" s="3" t="s">
        <v>313</v>
      </c>
    </row>
    <row r="173" spans="3:9">
      <c r="E173" t="s">
        <v>626</v>
      </c>
      <c r="F173" s="5" t="s">
        <v>1053</v>
      </c>
    </row>
    <row r="174" spans="3:9">
      <c r="E174" s="5" t="s">
        <v>627</v>
      </c>
      <c r="F174" s="5" t="s">
        <v>1054</v>
      </c>
    </row>
    <row r="175" spans="3:9">
      <c r="E175" s="5" t="s">
        <v>628</v>
      </c>
      <c r="F175" t="s">
        <v>1055</v>
      </c>
    </row>
    <row r="177" spans="3:20">
      <c r="D177" s="3" t="s">
        <v>1032</v>
      </c>
      <c r="E177" s="3" t="s">
        <v>1056</v>
      </c>
    </row>
    <row r="178" spans="3:20">
      <c r="E178" s="5" t="s">
        <v>1057</v>
      </c>
    </row>
    <row r="180" spans="3:20">
      <c r="D180" s="3" t="s">
        <v>1035</v>
      </c>
      <c r="E180" s="3" t="s">
        <v>339</v>
      </c>
    </row>
    <row r="181" spans="3:20">
      <c r="E181" s="5" t="s">
        <v>1058</v>
      </c>
    </row>
    <row r="182" spans="3:20">
      <c r="E182" s="5" t="s">
        <v>1059</v>
      </c>
    </row>
    <row r="183" spans="3:20">
      <c r="F183" s="156" t="s">
        <v>1060</v>
      </c>
    </row>
    <row r="184" spans="3:20">
      <c r="F184" s="156"/>
      <c r="I184" s="156"/>
    </row>
    <row r="185" spans="3:20">
      <c r="D185" s="3" t="s">
        <v>1038</v>
      </c>
      <c r="E185" s="3" t="s">
        <v>343</v>
      </c>
    </row>
    <row r="186" spans="3:20">
      <c r="E186" t="s">
        <v>626</v>
      </c>
      <c r="F186" t="s">
        <v>1061</v>
      </c>
    </row>
    <row r="187" spans="3:20">
      <c r="E187" t="s">
        <v>627</v>
      </c>
      <c r="F187" t="s">
        <v>1062</v>
      </c>
    </row>
    <row r="188" spans="3:20">
      <c r="F188" s="5"/>
    </row>
    <row r="189" spans="3:20">
      <c r="C189" s="3" t="s">
        <v>1063</v>
      </c>
      <c r="E189" s="5"/>
      <c r="G189" s="3" t="s">
        <v>1064</v>
      </c>
    </row>
    <row r="190" spans="3:20">
      <c r="E190" s="358" t="s">
        <v>1065</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1066</v>
      </c>
      <c r="D192" s="3"/>
      <c r="F192" s="5"/>
      <c r="G192" s="3" t="s">
        <v>134</v>
      </c>
    </row>
    <row r="193" spans="2:14">
      <c r="D193" s="3" t="s">
        <v>937</v>
      </c>
      <c r="E193" s="3" t="s">
        <v>1067</v>
      </c>
      <c r="G193" s="5"/>
      <c r="H193" s="5"/>
      <c r="I193" s="5"/>
      <c r="J193" s="5"/>
      <c r="K193" s="5"/>
      <c r="L193" s="5"/>
      <c r="M193" s="5"/>
      <c r="N193" s="5"/>
    </row>
    <row r="194" spans="2:14">
      <c r="E194" t="s">
        <v>626</v>
      </c>
      <c r="F194" s="358" t="s">
        <v>1068</v>
      </c>
    </row>
    <row r="195" spans="2:14">
      <c r="F195" s="156" t="s">
        <v>1069</v>
      </c>
      <c r="I195" s="156"/>
    </row>
    <row r="196" spans="2:14">
      <c r="I196" s="156"/>
    </row>
    <row r="197" spans="2:14">
      <c r="B197" s="5"/>
      <c r="C197" s="5"/>
      <c r="E197" t="s">
        <v>627</v>
      </c>
      <c r="F197" s="358" t="s">
        <v>1070</v>
      </c>
      <c r="H197" s="5"/>
    </row>
    <row r="198" spans="2:14">
      <c r="B198" s="5"/>
      <c r="C198" s="5"/>
      <c r="F198" t="s">
        <v>961</v>
      </c>
      <c r="G198" t="s">
        <v>1071</v>
      </c>
      <c r="H198" s="5"/>
    </row>
    <row r="199" spans="2:14">
      <c r="B199" s="5"/>
      <c r="C199" s="5"/>
      <c r="H199" s="5"/>
    </row>
    <row r="200" spans="2:14">
      <c r="D200" s="3" t="s">
        <v>947</v>
      </c>
      <c r="E200" s="3" t="s">
        <v>1072</v>
      </c>
    </row>
    <row r="201" spans="2:14">
      <c r="B201" s="5"/>
      <c r="C201" s="5"/>
      <c r="E201" s="5" t="s">
        <v>1073</v>
      </c>
      <c r="F201" s="5"/>
      <c r="I201" s="5"/>
    </row>
    <row r="202" spans="2:14">
      <c r="B202" s="5"/>
      <c r="C202" s="5"/>
      <c r="E202" s="5" t="s">
        <v>1074</v>
      </c>
      <c r="F202" s="156"/>
      <c r="G202" s="5"/>
      <c r="I202" s="156"/>
    </row>
    <row r="203" spans="2:14">
      <c r="B203" s="5"/>
      <c r="C203" s="5"/>
      <c r="F203" s="156"/>
      <c r="G203" s="5"/>
      <c r="I203" s="156"/>
    </row>
    <row r="204" spans="2:14">
      <c r="B204" s="5"/>
      <c r="C204" s="5"/>
      <c r="D204" s="3" t="s">
        <v>1029</v>
      </c>
      <c r="E204" s="3" t="s">
        <v>448</v>
      </c>
      <c r="F204" s="156"/>
      <c r="G204" s="5"/>
      <c r="I204" s="156"/>
    </row>
    <row r="205" spans="2:14">
      <c r="B205" s="5"/>
      <c r="C205" s="5"/>
      <c r="D205" s="3"/>
      <c r="E205" s="5" t="s">
        <v>1075</v>
      </c>
      <c r="F205" s="5"/>
      <c r="G205" s="5"/>
      <c r="I205" s="156"/>
    </row>
    <row r="206" spans="2:14">
      <c r="B206" s="5"/>
      <c r="C206" s="5"/>
      <c r="F206" s="156"/>
      <c r="G206" s="5"/>
      <c r="I206" s="156"/>
    </row>
    <row r="207" spans="2:14">
      <c r="D207" s="3" t="s">
        <v>1032</v>
      </c>
      <c r="E207" s="3" t="s">
        <v>477</v>
      </c>
    </row>
    <row r="208" spans="2:14">
      <c r="B208" s="5"/>
      <c r="C208" s="3"/>
      <c r="E208" t="s">
        <v>626</v>
      </c>
      <c r="F208" s="5" t="s">
        <v>1076</v>
      </c>
      <c r="G208" s="5"/>
      <c r="H208" s="5"/>
      <c r="I208" s="5"/>
    </row>
    <row r="209" spans="2:37">
      <c r="B209" s="5"/>
      <c r="C209" s="3"/>
      <c r="F209" s="5" t="s">
        <v>961</v>
      </c>
      <c r="G209" s="41" t="s">
        <v>1077</v>
      </c>
    </row>
    <row r="210" spans="2:37">
      <c r="B210" s="5"/>
      <c r="C210" s="5"/>
      <c r="F210" s="5" t="s">
        <v>953</v>
      </c>
      <c r="G210" s="41" t="s">
        <v>1078</v>
      </c>
      <c r="I210" s="5"/>
      <c r="J210" s="5"/>
      <c r="M210" s="5"/>
      <c r="N210" s="5"/>
      <c r="O210" s="5"/>
      <c r="P210" s="5"/>
      <c r="Q210" s="5"/>
      <c r="R210" s="5"/>
      <c r="S210" s="5"/>
    </row>
    <row r="211" spans="2:37">
      <c r="B211" s="5"/>
      <c r="C211" s="5"/>
      <c r="F211" s="5" t="s">
        <v>958</v>
      </c>
      <c r="G211" s="5" t="s">
        <v>1079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1035</v>
      </c>
      <c r="E213" s="3" t="s">
        <v>485</v>
      </c>
      <c r="G213" s="5"/>
      <c r="H213" s="5"/>
      <c r="I213" s="5"/>
      <c r="J213" s="5"/>
      <c r="M213" s="5"/>
      <c r="N213" s="5"/>
      <c r="O213" s="5"/>
      <c r="P213" s="5"/>
      <c r="Q213" s="5"/>
      <c r="R213" s="5"/>
      <c r="S213" s="5"/>
    </row>
    <row r="214" spans="2:37">
      <c r="B214" s="5"/>
      <c r="C214" s="5"/>
      <c r="D214" s="5"/>
      <c r="E214" s="5" t="s">
        <v>1080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1038</v>
      </c>
      <c r="E216" s="3" t="s">
        <v>495</v>
      </c>
      <c r="G216" s="5"/>
      <c r="H216" s="5"/>
      <c r="I216" s="5"/>
      <c r="J216" s="5"/>
      <c r="M216" s="5"/>
      <c r="N216" s="5"/>
      <c r="O216" s="5"/>
      <c r="P216" s="5"/>
      <c r="Q216" s="5"/>
      <c r="R216" s="5"/>
      <c r="S216" s="5"/>
    </row>
    <row r="217" spans="2:37">
      <c r="B217" s="5"/>
      <c r="C217" s="5"/>
      <c r="D217" s="3"/>
      <c r="E217" s="5" t="s">
        <v>626</v>
      </c>
      <c r="F217" s="5" t="s">
        <v>1081</v>
      </c>
      <c r="M217" s="5"/>
      <c r="N217" s="5"/>
      <c r="O217" s="5"/>
      <c r="P217" s="5"/>
      <c r="Q217" s="5"/>
      <c r="R217" s="5"/>
      <c r="S217" s="5"/>
    </row>
    <row r="218" spans="2:37">
      <c r="B218" s="5"/>
      <c r="C218" s="5"/>
      <c r="D218" s="3"/>
      <c r="E218" s="5" t="s">
        <v>627</v>
      </c>
      <c r="F218" s="5" t="s">
        <v>1082</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628</v>
      </c>
      <c r="F219" s="5" t="s">
        <v>1083</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961</v>
      </c>
      <c r="G220" s="5" t="s">
        <v>1084</v>
      </c>
      <c r="I220" s="5"/>
      <c r="J220" s="5"/>
      <c r="M220" s="5"/>
      <c r="N220" s="5"/>
      <c r="O220" s="5"/>
      <c r="P220" s="5"/>
      <c r="Q220" s="5"/>
      <c r="R220" s="5"/>
      <c r="S220" s="5"/>
      <c r="T220" s="5"/>
      <c r="U220" s="5"/>
      <c r="V220" s="5"/>
      <c r="W220" s="5"/>
      <c r="X220" s="5"/>
      <c r="Y220" s="5"/>
    </row>
    <row r="221" spans="2:37">
      <c r="B221" s="5"/>
      <c r="C221" s="5"/>
      <c r="D221" s="3"/>
      <c r="E221" s="5" t="s">
        <v>629</v>
      </c>
      <c r="F221" s="5" t="s">
        <v>1085</v>
      </c>
      <c r="M221" s="5"/>
      <c r="N221" s="5"/>
      <c r="O221" s="5"/>
      <c r="P221" s="5"/>
      <c r="Q221" s="5"/>
      <c r="R221" s="5"/>
      <c r="S221" s="5"/>
    </row>
    <row r="222" spans="2:37">
      <c r="B222" s="5"/>
      <c r="C222" s="5"/>
      <c r="D222" s="3"/>
      <c r="F222" t="s">
        <v>961</v>
      </c>
      <c r="G222" s="981" t="s">
        <v>1086</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1044</v>
      </c>
      <c r="E225" s="3" t="s">
        <v>506</v>
      </c>
      <c r="G225" s="5"/>
      <c r="H225" s="5"/>
      <c r="I225" s="5"/>
      <c r="J225" s="5"/>
      <c r="M225" s="5"/>
      <c r="N225" s="5"/>
      <c r="O225" s="5"/>
      <c r="P225" s="5"/>
      <c r="Q225" s="5"/>
      <c r="R225" s="5"/>
      <c r="S225" s="5"/>
      <c r="T225" s="5"/>
      <c r="U225" s="5"/>
      <c r="V225" s="5"/>
      <c r="W225" s="5"/>
    </row>
    <row r="226" spans="1:38">
      <c r="B226" s="5"/>
      <c r="C226" s="5"/>
      <c r="E226" s="5" t="s">
        <v>1087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1088</v>
      </c>
      <c r="E228" s="3" t="s">
        <v>526</v>
      </c>
      <c r="F228" s="5"/>
      <c r="G228" s="5"/>
      <c r="I228" s="5"/>
      <c r="J228" s="5"/>
      <c r="M228" s="5"/>
      <c r="N228" s="5"/>
      <c r="O228" s="5"/>
      <c r="P228" s="5"/>
      <c r="Q228" s="5"/>
      <c r="R228" s="5"/>
      <c r="S228" s="5"/>
      <c r="T228" s="5"/>
      <c r="U228" s="5"/>
      <c r="V228" s="5"/>
      <c r="W228" s="5"/>
    </row>
    <row r="229" spans="1:38">
      <c r="B229" s="5"/>
      <c r="C229" s="5"/>
      <c r="D229" s="3"/>
      <c r="E229" s="5" t="s">
        <v>1075</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1089</v>
      </c>
      <c r="D231" s="3"/>
      <c r="G231" s="3" t="s">
        <v>1090</v>
      </c>
      <c r="M231" s="5"/>
      <c r="N231" s="5"/>
      <c r="O231" s="5"/>
      <c r="P231" s="5"/>
      <c r="Q231" s="5"/>
      <c r="R231" s="5"/>
      <c r="S231" s="5"/>
    </row>
    <row r="232" spans="1:38">
      <c r="B232" s="5"/>
      <c r="C232" s="5"/>
      <c r="E232" t="s">
        <v>626</v>
      </c>
      <c r="F232" s="5" t="s">
        <v>543</v>
      </c>
      <c r="G232" s="5"/>
      <c r="H232" s="5"/>
      <c r="I232" s="5"/>
      <c r="L232" s="5"/>
      <c r="N232" s="5"/>
      <c r="O232" s="5"/>
      <c r="P232" s="5"/>
      <c r="Q232" s="5"/>
      <c r="R232" s="5"/>
      <c r="S232" s="5"/>
    </row>
    <row r="233" spans="1:38">
      <c r="B233" s="5"/>
      <c r="C233" s="5"/>
      <c r="F233" s="5" t="s">
        <v>961</v>
      </c>
      <c r="G233" s="981" t="s">
        <v>1091</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627</v>
      </c>
      <c r="F235" s="5" t="s">
        <v>556</v>
      </c>
      <c r="G235" s="5"/>
      <c r="H235" s="5"/>
      <c r="I235" s="5"/>
      <c r="M235" s="5"/>
      <c r="N235" s="5"/>
      <c r="O235" s="5"/>
      <c r="P235" s="5"/>
      <c r="Q235" s="5"/>
      <c r="R235" s="5"/>
      <c r="S235" s="5"/>
    </row>
    <row r="236" spans="1:38">
      <c r="B236" s="5"/>
      <c r="C236" s="5"/>
      <c r="F236" s="5" t="s">
        <v>961</v>
      </c>
      <c r="G236" s="981" t="s">
        <v>1092</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6" t="s">
        <v>1093</v>
      </c>
      <c r="C239" s="166" t="s">
        <v>1094</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1011</v>
      </c>
      <c r="D241" s="5"/>
      <c r="E241" s="5"/>
      <c r="F241" s="5"/>
      <c r="G241" s="3" t="s">
        <v>614</v>
      </c>
      <c r="I241" s="5"/>
      <c r="J241" s="5"/>
      <c r="K241" s="5"/>
      <c r="M241" s="5"/>
      <c r="N241" s="5"/>
      <c r="O241" s="5"/>
      <c r="P241" s="5"/>
      <c r="Q241" s="5"/>
      <c r="R241" s="5"/>
      <c r="S241" s="5"/>
    </row>
    <row r="242" spans="2:21">
      <c r="B242" s="3"/>
      <c r="E242" s="5" t="s">
        <v>626</v>
      </c>
      <c r="F242" s="5" t="s">
        <v>1095</v>
      </c>
      <c r="G242" s="5"/>
      <c r="I242" s="5"/>
      <c r="J242" s="5"/>
      <c r="K242" s="5"/>
      <c r="L242" s="5"/>
      <c r="M242" s="5"/>
      <c r="N242" s="5"/>
      <c r="O242" s="5"/>
      <c r="P242" s="5"/>
      <c r="Q242" s="5"/>
      <c r="R242" s="5"/>
      <c r="S242" s="5"/>
    </row>
    <row r="243" spans="2:21">
      <c r="B243" s="3"/>
      <c r="E243" s="5" t="s">
        <v>627</v>
      </c>
      <c r="F243" s="5" t="s">
        <v>1096</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1026</v>
      </c>
      <c r="D245" s="5"/>
      <c r="E245" s="5"/>
      <c r="F245" s="5"/>
      <c r="G245" s="3" t="s">
        <v>657</v>
      </c>
      <c r="I245" s="5"/>
      <c r="J245" s="5"/>
      <c r="K245" s="5"/>
      <c r="L245" s="5"/>
      <c r="M245" s="5"/>
      <c r="N245" s="5"/>
      <c r="O245" s="5"/>
      <c r="P245" s="5"/>
      <c r="Q245" s="5"/>
      <c r="R245" s="5"/>
      <c r="S245" s="5"/>
    </row>
    <row r="246" spans="2:21">
      <c r="B246" s="3"/>
      <c r="E246" s="5" t="s">
        <v>626</v>
      </c>
      <c r="F246" s="5" t="s">
        <v>1097</v>
      </c>
      <c r="G246" s="5"/>
      <c r="I246" s="5"/>
      <c r="J246" s="5"/>
      <c r="K246" s="5"/>
      <c r="L246" s="5"/>
      <c r="M246" s="5"/>
      <c r="N246" s="5"/>
      <c r="O246" s="5"/>
      <c r="P246" s="5"/>
      <c r="Q246" s="5"/>
      <c r="R246" s="5"/>
      <c r="S246" s="5"/>
    </row>
    <row r="247" spans="2:21">
      <c r="B247" s="3"/>
      <c r="E247" s="5"/>
      <c r="F247" s="5" t="s">
        <v>1098</v>
      </c>
      <c r="G247" s="5"/>
      <c r="H247" s="5"/>
      <c r="I247" s="5"/>
      <c r="J247" s="5"/>
      <c r="K247" s="5"/>
      <c r="L247" s="5"/>
      <c r="M247" s="5"/>
      <c r="N247" s="5"/>
      <c r="O247" s="5"/>
      <c r="P247" s="5"/>
      <c r="Q247" s="5"/>
      <c r="R247" s="5"/>
      <c r="S247" s="5"/>
    </row>
    <row r="248" spans="2:21">
      <c r="B248" s="3"/>
      <c r="D248" s="5"/>
      <c r="E248" s="5" t="s">
        <v>627</v>
      </c>
      <c r="F248" s="5" t="s">
        <v>1096</v>
      </c>
      <c r="G248" s="5"/>
      <c r="I248" s="5"/>
      <c r="J248" s="5"/>
      <c r="K248" s="5"/>
      <c r="L248" s="5"/>
      <c r="M248" s="5"/>
      <c r="N248" s="5"/>
      <c r="O248" s="5"/>
      <c r="P248" s="5"/>
      <c r="Q248" s="5"/>
      <c r="R248" s="5"/>
      <c r="S248" s="5"/>
    </row>
    <row r="249" spans="2:21">
      <c r="B249" s="3"/>
      <c r="E249" s="5" t="s">
        <v>628</v>
      </c>
      <c r="F249" s="267" t="s">
        <v>1099</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1047</v>
      </c>
      <c r="E251" s="5"/>
      <c r="F251" s="5"/>
      <c r="G251" s="3" t="s">
        <v>1100</v>
      </c>
      <c r="I251" s="5"/>
      <c r="J251" s="5"/>
      <c r="K251" s="5"/>
      <c r="L251" s="5"/>
      <c r="M251" s="5"/>
      <c r="N251" s="5"/>
      <c r="O251" s="5"/>
      <c r="P251" s="5"/>
      <c r="Q251" s="5"/>
      <c r="R251" s="5"/>
      <c r="S251" s="5"/>
    </row>
    <row r="252" spans="2:21">
      <c r="B252" s="3"/>
      <c r="C252" s="3"/>
      <c r="E252" s="5" t="s">
        <v>626</v>
      </c>
      <c r="F252" s="5" t="s">
        <v>1101</v>
      </c>
      <c r="G252" s="5"/>
      <c r="I252" s="5"/>
      <c r="J252" s="5"/>
      <c r="K252" s="5"/>
      <c r="L252" s="5"/>
      <c r="M252" s="5"/>
      <c r="N252" s="5"/>
      <c r="O252" s="5"/>
      <c r="P252" s="5"/>
      <c r="Q252" s="5"/>
      <c r="R252" s="5"/>
      <c r="S252" s="5"/>
      <c r="T252" s="5"/>
      <c r="U252" s="5"/>
    </row>
    <row r="253" spans="2:21">
      <c r="B253" s="3"/>
      <c r="C253" s="3"/>
      <c r="E253" s="5"/>
      <c r="F253" s="156" t="s">
        <v>1102</v>
      </c>
      <c r="G253" s="5"/>
      <c r="J253" s="5"/>
      <c r="K253" s="5"/>
      <c r="L253" s="5"/>
      <c r="M253" s="5"/>
      <c r="N253" s="5"/>
      <c r="O253" s="5"/>
      <c r="P253" s="5"/>
      <c r="Q253" s="5"/>
      <c r="R253" s="5"/>
      <c r="S253" s="5"/>
      <c r="T253" s="5"/>
      <c r="U253" s="5"/>
    </row>
    <row r="254" spans="2:21">
      <c r="B254" s="3"/>
      <c r="C254" s="3"/>
      <c r="E254" s="5" t="s">
        <v>627</v>
      </c>
      <c r="F254" s="5" t="s">
        <v>1103</v>
      </c>
      <c r="I254" s="5"/>
      <c r="J254" s="5"/>
      <c r="K254" s="5"/>
      <c r="L254" s="5"/>
      <c r="M254" s="5"/>
      <c r="N254" s="5"/>
      <c r="O254" s="5"/>
      <c r="P254" s="5"/>
      <c r="Q254" s="5"/>
      <c r="R254" s="5"/>
      <c r="S254" s="5"/>
      <c r="T254" s="5"/>
      <c r="U254" s="5"/>
    </row>
    <row r="255" spans="2:21">
      <c r="B255" s="3"/>
      <c r="C255" s="3"/>
      <c r="E255" s="5"/>
      <c r="F255" s="5" t="s">
        <v>961</v>
      </c>
      <c r="G255" s="5" t="s">
        <v>1104</v>
      </c>
      <c r="I255" s="41"/>
      <c r="K255" s="41"/>
      <c r="L255" s="41"/>
      <c r="M255" s="41"/>
      <c r="N255" s="41"/>
      <c r="O255" s="41"/>
      <c r="P255" s="41"/>
    </row>
    <row r="256" spans="2:21">
      <c r="B256" s="3"/>
      <c r="C256" s="3"/>
      <c r="E256" s="5"/>
      <c r="G256" s="5" t="s">
        <v>1105</v>
      </c>
      <c r="I256" s="41"/>
      <c r="K256" s="41"/>
      <c r="L256" s="41"/>
      <c r="M256" s="41"/>
      <c r="N256" s="41"/>
      <c r="O256" s="41"/>
      <c r="P256" s="41"/>
    </row>
    <row r="257" spans="2:21">
      <c r="B257" s="3"/>
      <c r="C257" s="3"/>
      <c r="E257" s="5"/>
      <c r="F257" t="s">
        <v>953</v>
      </c>
      <c r="G257" s="5" t="s">
        <v>1106</v>
      </c>
      <c r="I257" s="5"/>
      <c r="K257" s="5"/>
      <c r="L257" s="5"/>
      <c r="M257" s="5"/>
      <c r="N257" s="5"/>
      <c r="O257" s="5"/>
      <c r="P257" s="5"/>
      <c r="Q257" s="41"/>
      <c r="R257" s="41"/>
      <c r="S257" s="41"/>
      <c r="T257" s="41"/>
      <c r="U257" s="41"/>
    </row>
    <row r="258" spans="2:21">
      <c r="B258" s="3"/>
      <c r="C258" s="3"/>
      <c r="E258" s="5"/>
      <c r="G258" s="5" t="s">
        <v>1107</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937</v>
      </c>
      <c r="E260" s="3" t="s">
        <v>1108</v>
      </c>
      <c r="G260" s="5"/>
      <c r="H260" s="5"/>
      <c r="I260" s="5"/>
      <c r="J260" s="5"/>
      <c r="K260" s="5"/>
      <c r="L260" s="5"/>
      <c r="M260" s="5"/>
      <c r="N260" s="5"/>
      <c r="O260" s="5"/>
      <c r="P260" s="5"/>
      <c r="Q260" s="5"/>
      <c r="R260" s="5"/>
      <c r="S260" s="5"/>
    </row>
    <row r="261" spans="2:21">
      <c r="B261" s="3"/>
      <c r="C261" s="3"/>
      <c r="E261" s="5" t="s">
        <v>626</v>
      </c>
      <c r="F261" s="5" t="s">
        <v>1109</v>
      </c>
      <c r="G261" s="5"/>
      <c r="I261" s="5"/>
      <c r="J261" s="5"/>
      <c r="K261" s="5"/>
      <c r="L261" s="5"/>
      <c r="M261" s="5"/>
      <c r="N261" s="5"/>
      <c r="O261" s="5"/>
      <c r="P261" s="5"/>
      <c r="Q261" s="5"/>
      <c r="R261" s="5"/>
      <c r="S261" s="5"/>
    </row>
    <row r="262" spans="2:21">
      <c r="B262" s="3"/>
      <c r="C262" s="3"/>
      <c r="E262" s="5" t="s">
        <v>627</v>
      </c>
      <c r="F262" s="5" t="s">
        <v>1110</v>
      </c>
      <c r="G262" s="5"/>
      <c r="I262" s="5"/>
      <c r="J262" s="5"/>
      <c r="K262" s="5"/>
      <c r="L262" s="5"/>
      <c r="M262" s="5"/>
      <c r="N262" s="5"/>
      <c r="O262" s="5"/>
      <c r="P262" s="5"/>
      <c r="Q262" s="5"/>
      <c r="R262" s="5"/>
      <c r="S262" s="5"/>
    </row>
    <row r="263" spans="2:21">
      <c r="B263" s="3"/>
      <c r="C263" s="3"/>
      <c r="E263" s="5" t="s">
        <v>628</v>
      </c>
      <c r="F263" s="5" t="s">
        <v>1111</v>
      </c>
      <c r="I263" s="5"/>
      <c r="J263" s="5"/>
      <c r="K263" s="5"/>
      <c r="L263" s="5"/>
      <c r="M263" s="5"/>
      <c r="N263" s="5"/>
      <c r="O263" s="5"/>
      <c r="P263" s="5"/>
      <c r="Q263" s="5"/>
      <c r="R263" s="5"/>
      <c r="S263" s="5"/>
    </row>
    <row r="264" spans="2:21">
      <c r="B264" s="3"/>
      <c r="C264" s="3"/>
      <c r="E264" s="3"/>
      <c r="F264" s="5" t="s">
        <v>1112</v>
      </c>
      <c r="I264" s="5"/>
      <c r="J264" s="5"/>
      <c r="K264" s="5"/>
      <c r="L264" s="5"/>
      <c r="M264" s="5"/>
      <c r="N264" s="5"/>
      <c r="O264" s="5"/>
      <c r="P264" s="5"/>
      <c r="Q264" s="5"/>
      <c r="R264" s="5"/>
      <c r="S264" s="5"/>
    </row>
    <row r="265" spans="2:21">
      <c r="B265" s="3"/>
      <c r="C265" s="3"/>
      <c r="E265" s="5" t="s">
        <v>629</v>
      </c>
      <c r="F265" s="5" t="s">
        <v>1113</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947</v>
      </c>
      <c r="E267" s="3" t="s">
        <v>1114</v>
      </c>
      <c r="G267" s="5"/>
      <c r="H267" s="5"/>
      <c r="I267" s="5"/>
      <c r="J267" s="5"/>
      <c r="K267" s="5"/>
      <c r="L267" s="5"/>
      <c r="M267" s="5"/>
      <c r="N267" s="5"/>
      <c r="O267" s="5"/>
      <c r="P267" s="5"/>
      <c r="Q267" s="5"/>
      <c r="R267" s="5"/>
      <c r="S267" s="5"/>
    </row>
    <row r="268" spans="2:21">
      <c r="B268" s="3"/>
      <c r="C268" s="3"/>
      <c r="E268" s="5" t="s">
        <v>1115</v>
      </c>
      <c r="F268" s="5"/>
      <c r="G268" s="5"/>
    </row>
    <row r="269" spans="2:21">
      <c r="B269" s="3"/>
      <c r="C269" s="3"/>
      <c r="E269" s="3"/>
      <c r="G269" s="5"/>
      <c r="H269" s="5"/>
    </row>
    <row r="270" spans="2:21">
      <c r="B270" s="3"/>
      <c r="C270" s="3"/>
      <c r="D270" s="3" t="s">
        <v>1029</v>
      </c>
      <c r="E270" s="3" t="s">
        <v>711</v>
      </c>
      <c r="G270" s="5"/>
    </row>
    <row r="271" spans="2:21">
      <c r="B271" s="3"/>
      <c r="C271" s="3"/>
      <c r="E271" s="5" t="s">
        <v>1116</v>
      </c>
      <c r="F271" s="5"/>
      <c r="G271" s="5"/>
      <c r="J271" s="5"/>
      <c r="K271" s="5"/>
      <c r="L271" s="5"/>
      <c r="M271" s="5"/>
      <c r="N271" s="5"/>
      <c r="O271" s="5"/>
      <c r="P271" s="5"/>
      <c r="Q271" s="5"/>
      <c r="R271" s="5"/>
      <c r="S271" s="5"/>
      <c r="T271" s="5"/>
      <c r="U271" s="5"/>
    </row>
    <row r="272" spans="2:21">
      <c r="B272" s="3"/>
      <c r="C272" s="3"/>
      <c r="E272" s="5" t="s">
        <v>1117</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1032</v>
      </c>
      <c r="E274" s="3" t="s">
        <v>714</v>
      </c>
      <c r="G274" s="5"/>
      <c r="H274" s="5"/>
      <c r="J274" s="5"/>
      <c r="K274" s="5"/>
      <c r="L274" s="5"/>
      <c r="M274" s="5"/>
      <c r="N274" s="5"/>
      <c r="O274" s="5"/>
      <c r="P274" s="5"/>
      <c r="Q274" s="5"/>
      <c r="R274" s="5"/>
      <c r="S274" s="5"/>
      <c r="T274" s="5"/>
      <c r="U274" s="5"/>
    </row>
    <row r="275" spans="2:21">
      <c r="B275" s="3"/>
      <c r="D275" s="5"/>
      <c r="E275" s="41" t="s">
        <v>1118</v>
      </c>
      <c r="J275" s="5"/>
      <c r="K275" s="5"/>
      <c r="L275" s="5"/>
      <c r="M275" s="5"/>
      <c r="N275" s="5"/>
      <c r="O275" s="5"/>
      <c r="P275" s="5"/>
      <c r="Q275" s="5"/>
      <c r="R275" s="5"/>
      <c r="S275" s="5"/>
      <c r="T275" s="5"/>
      <c r="U275" s="5"/>
    </row>
    <row r="276" spans="2:21">
      <c r="B276" s="3"/>
      <c r="D276" s="5"/>
      <c r="E276" s="41" t="s">
        <v>1119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1035</v>
      </c>
      <c r="E278" s="3" t="s">
        <v>720</v>
      </c>
      <c r="K278" s="5"/>
      <c r="L278" s="5"/>
      <c r="M278" s="5"/>
      <c r="N278" s="5"/>
      <c r="O278" s="5"/>
      <c r="P278" s="5"/>
      <c r="Q278" s="5"/>
      <c r="R278" s="5"/>
      <c r="S278" s="5"/>
    </row>
    <row r="279" spans="2:21">
      <c r="B279" s="3"/>
      <c r="D279" s="3"/>
      <c r="E279" t="s">
        <v>1120</v>
      </c>
      <c r="K279" s="5"/>
      <c r="L279" s="5"/>
      <c r="M279" s="5"/>
      <c r="N279" s="5"/>
      <c r="O279" s="5"/>
      <c r="P279" s="5"/>
      <c r="Q279" s="5"/>
      <c r="R279" s="5"/>
      <c r="S279" s="5"/>
    </row>
    <row r="280" spans="2:21">
      <c r="B280" s="3"/>
      <c r="D280" s="5"/>
      <c r="E280" s="5" t="s">
        <v>1121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1038</v>
      </c>
      <c r="E282" s="3" t="s">
        <v>727</v>
      </c>
      <c r="G282" s="5"/>
      <c r="H282" s="5"/>
      <c r="I282" s="5"/>
      <c r="J282" s="5"/>
      <c r="K282" s="5"/>
      <c r="L282" s="5"/>
      <c r="M282" s="5"/>
      <c r="P282" s="5"/>
      <c r="Q282" s="5"/>
      <c r="R282" s="5"/>
      <c r="S282" s="5"/>
    </row>
    <row r="283" spans="2:21">
      <c r="B283" s="3"/>
      <c r="D283" s="3"/>
      <c r="E283" t="s">
        <v>1122</v>
      </c>
      <c r="G283" s="5"/>
      <c r="H283" s="5"/>
      <c r="I283" s="5"/>
      <c r="J283" s="5"/>
      <c r="K283" s="5"/>
      <c r="L283" s="5"/>
      <c r="M283" s="5"/>
      <c r="P283" s="5"/>
      <c r="Q283" s="5"/>
      <c r="R283" s="5"/>
      <c r="S283" s="5"/>
    </row>
    <row r="284" spans="2:21">
      <c r="B284" s="3"/>
      <c r="D284" s="3"/>
      <c r="E284" t="s">
        <v>1123</v>
      </c>
      <c r="G284" s="5"/>
      <c r="H284" s="5"/>
      <c r="I284" s="5"/>
      <c r="J284" s="5"/>
      <c r="K284" s="5"/>
      <c r="L284" s="5"/>
      <c r="M284" s="5"/>
      <c r="P284" s="5"/>
      <c r="Q284" s="5"/>
      <c r="R284" s="5"/>
      <c r="S284" s="5"/>
    </row>
    <row r="285" spans="2:21">
      <c r="B285" s="3"/>
      <c r="D285" s="3"/>
      <c r="E285" s="156" t="s">
        <v>1124</v>
      </c>
      <c r="F285" s="156"/>
      <c r="G285" s="5"/>
      <c r="H285" s="156"/>
      <c r="I285" s="156"/>
      <c r="J285" s="5"/>
      <c r="K285" s="5"/>
      <c r="L285" s="5"/>
      <c r="M285" s="5"/>
      <c r="P285" s="5"/>
      <c r="Q285" s="5"/>
      <c r="R285" s="5"/>
      <c r="S285" s="5"/>
    </row>
    <row r="286" spans="2:21">
      <c r="B286" s="3"/>
      <c r="D286" s="3"/>
      <c r="E286" s="656" t="s">
        <v>1125</v>
      </c>
      <c r="G286" s="5"/>
      <c r="H286" s="656"/>
      <c r="I286" s="65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1044</v>
      </c>
      <c r="E288" s="3" t="s">
        <v>1126</v>
      </c>
      <c r="K288" s="5"/>
      <c r="L288" s="5"/>
      <c r="M288" s="5"/>
      <c r="N288" s="5"/>
      <c r="O288" s="5"/>
      <c r="P288" s="5"/>
      <c r="Q288" s="5"/>
      <c r="R288" s="5"/>
      <c r="S288" s="5"/>
    </row>
    <row r="289" spans="2:24">
      <c r="B289" s="3"/>
      <c r="D289" s="5"/>
      <c r="E289" s="5" t="s">
        <v>626</v>
      </c>
      <c r="F289" s="5" t="s">
        <v>1127</v>
      </c>
      <c r="G289" s="5"/>
    </row>
    <row r="290" spans="2:24">
      <c r="B290" s="3"/>
      <c r="D290" s="5"/>
      <c r="E290" s="5"/>
      <c r="F290" s="156" t="s">
        <v>1128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627</v>
      </c>
      <c r="F291" s="5" t="s">
        <v>1129</v>
      </c>
      <c r="G291" s="5"/>
      <c r="L291" s="5"/>
      <c r="M291" s="5"/>
      <c r="N291" s="5"/>
      <c r="O291" s="5"/>
      <c r="P291" s="5"/>
      <c r="Q291" s="5"/>
      <c r="R291" s="5"/>
      <c r="S291" s="5"/>
      <c r="T291" s="5"/>
      <c r="U291" s="5"/>
      <c r="V291" s="5"/>
      <c r="W291" s="5"/>
    </row>
    <row r="292" spans="2:24">
      <c r="B292" s="3"/>
      <c r="D292" s="5"/>
      <c r="E292" s="5" t="s">
        <v>628</v>
      </c>
      <c r="F292" s="5" t="s">
        <v>1130</v>
      </c>
      <c r="G292" s="5"/>
      <c r="H292" s="5"/>
      <c r="K292" s="5"/>
      <c r="L292" s="5"/>
      <c r="M292" s="5"/>
      <c r="N292" s="5"/>
      <c r="O292" s="5"/>
      <c r="P292" s="5"/>
      <c r="Q292" s="5"/>
      <c r="R292" s="5"/>
      <c r="S292" s="5"/>
      <c r="T292" s="5"/>
      <c r="U292" s="5"/>
      <c r="V292" s="5"/>
      <c r="W292" s="5"/>
    </row>
    <row r="293" spans="2:24">
      <c r="B293" s="3"/>
      <c r="D293" s="5"/>
      <c r="E293" s="5"/>
      <c r="F293" s="5" t="s">
        <v>961</v>
      </c>
      <c r="G293" s="5" t="s">
        <v>1131</v>
      </c>
      <c r="K293" s="5"/>
      <c r="L293" s="5"/>
      <c r="M293" s="5"/>
      <c r="N293" s="5"/>
      <c r="O293" s="5"/>
      <c r="P293" s="5"/>
      <c r="Q293" s="5"/>
      <c r="R293" s="5"/>
      <c r="S293" s="5"/>
      <c r="T293" s="5"/>
      <c r="U293" s="5"/>
      <c r="V293" s="5"/>
      <c r="W293" s="5"/>
    </row>
    <row r="294" spans="2:24">
      <c r="B294" s="3"/>
      <c r="D294" s="5"/>
      <c r="E294" s="5"/>
      <c r="F294" s="5" t="s">
        <v>953</v>
      </c>
      <c r="G294" s="5" t="s">
        <v>1132</v>
      </c>
      <c r="H294" s="5"/>
      <c r="K294" s="5"/>
      <c r="L294" s="5"/>
      <c r="M294" s="5"/>
      <c r="N294" s="5"/>
      <c r="O294" s="5"/>
      <c r="P294" s="5"/>
      <c r="Q294" s="5"/>
      <c r="R294" s="5"/>
      <c r="S294" s="5"/>
      <c r="T294" s="5"/>
      <c r="U294" s="5"/>
      <c r="V294" s="5"/>
      <c r="W294" s="5"/>
    </row>
    <row r="295" spans="2:24">
      <c r="B295" s="3"/>
      <c r="D295" s="5"/>
      <c r="E295" s="5"/>
      <c r="F295" s="5" t="s">
        <v>958</v>
      </c>
      <c r="G295" s="5" t="s">
        <v>760</v>
      </c>
      <c r="K295" s="5"/>
      <c r="L295" s="5"/>
      <c r="M295" s="5"/>
      <c r="N295" s="5"/>
      <c r="O295" s="5"/>
      <c r="P295" s="5"/>
      <c r="Q295" s="5"/>
      <c r="R295" s="5"/>
      <c r="S295" s="5"/>
      <c r="T295" s="5"/>
      <c r="U295" s="5"/>
      <c r="V295" s="5"/>
      <c r="W295" s="5"/>
    </row>
    <row r="296" spans="2:24">
      <c r="B296" s="3"/>
      <c r="D296" s="5"/>
      <c r="E296" s="5"/>
      <c r="F296" s="5" t="s">
        <v>981</v>
      </c>
      <c r="G296" s="5" t="s">
        <v>1133</v>
      </c>
      <c r="H296" s="5"/>
      <c r="K296" s="5"/>
      <c r="L296" s="5"/>
      <c r="M296" s="5"/>
      <c r="N296" s="5"/>
      <c r="O296" s="5"/>
      <c r="P296" s="5"/>
      <c r="Q296" s="5"/>
      <c r="R296" s="5"/>
      <c r="S296" s="5"/>
      <c r="T296" s="5"/>
      <c r="U296" s="5"/>
      <c r="V296" s="5"/>
      <c r="W296" s="5"/>
    </row>
    <row r="297" spans="2:24">
      <c r="B297" s="3"/>
      <c r="D297" s="5"/>
      <c r="E297" s="5"/>
      <c r="F297" s="5" t="s">
        <v>984</v>
      </c>
      <c r="G297" s="5" t="s">
        <v>774</v>
      </c>
      <c r="K297" s="5"/>
      <c r="L297" s="5"/>
      <c r="M297" s="5"/>
      <c r="N297" s="5"/>
      <c r="O297" s="5"/>
      <c r="P297" s="5"/>
      <c r="Q297" s="5"/>
      <c r="R297" s="5"/>
      <c r="S297" s="5"/>
      <c r="T297" s="5"/>
      <c r="U297" s="5"/>
      <c r="V297" s="5"/>
      <c r="W297" s="5"/>
    </row>
    <row r="298" spans="2:24">
      <c r="B298" s="3"/>
      <c r="D298" s="5"/>
      <c r="E298" s="5"/>
      <c r="F298" s="5" t="s">
        <v>987</v>
      </c>
      <c r="G298" s="5" t="s">
        <v>278</v>
      </c>
      <c r="H298" s="5"/>
      <c r="K298" s="5"/>
      <c r="L298" s="5"/>
      <c r="M298" s="5"/>
      <c r="N298" s="5"/>
      <c r="O298" s="5"/>
      <c r="P298" s="5"/>
      <c r="Q298" s="5"/>
      <c r="R298" s="5"/>
      <c r="S298" s="5"/>
      <c r="T298" s="5"/>
      <c r="U298" s="5"/>
      <c r="V298" s="5"/>
      <c r="W298" s="5"/>
    </row>
    <row r="299" spans="2:24">
      <c r="B299" s="3"/>
      <c r="D299" s="5"/>
      <c r="E299" s="5" t="s">
        <v>629</v>
      </c>
      <c r="F299" s="5" t="s">
        <v>1134</v>
      </c>
      <c r="G299" s="5"/>
      <c r="K299" s="5"/>
      <c r="L299" s="5"/>
      <c r="M299" s="5"/>
      <c r="N299" s="5"/>
      <c r="O299" s="5"/>
      <c r="P299" s="5"/>
      <c r="Q299" s="5"/>
      <c r="R299" s="5"/>
      <c r="S299" s="5"/>
      <c r="T299" s="5"/>
      <c r="U299" s="5"/>
      <c r="V299" s="5"/>
      <c r="W299" s="5"/>
    </row>
    <row r="300" spans="2:24">
      <c r="B300" s="3"/>
      <c r="D300" s="5"/>
      <c r="E300" s="5" t="s">
        <v>630</v>
      </c>
      <c r="F300" s="5" t="s">
        <v>1135</v>
      </c>
      <c r="G300" s="5"/>
      <c r="K300" s="5"/>
      <c r="L300" s="5"/>
      <c r="M300" s="5"/>
      <c r="N300" s="5"/>
      <c r="O300" s="5"/>
      <c r="P300" s="5"/>
      <c r="Q300" s="5"/>
      <c r="R300" s="5"/>
      <c r="S300" s="5"/>
      <c r="T300" s="5"/>
      <c r="U300" s="5"/>
      <c r="V300" s="5"/>
      <c r="W300" s="5"/>
    </row>
    <row r="301" spans="2:24">
      <c r="B301" s="3"/>
      <c r="D301" s="5"/>
      <c r="E301" s="5"/>
      <c r="F301" s="156" t="s">
        <v>1136</v>
      </c>
      <c r="G301" s="156"/>
      <c r="H301" s="156"/>
      <c r="I301" s="156"/>
      <c r="J301" s="156"/>
      <c r="K301" s="156"/>
      <c r="L301" s="156"/>
      <c r="M301" s="5"/>
      <c r="N301" s="5"/>
      <c r="O301" s="5"/>
      <c r="P301" s="5"/>
      <c r="Q301" s="5"/>
      <c r="R301" s="5"/>
      <c r="S301" s="5"/>
      <c r="T301" s="5"/>
      <c r="U301" s="5"/>
      <c r="V301" s="5"/>
      <c r="W301" s="5"/>
    </row>
    <row r="302" spans="2:24">
      <c r="B302" s="3"/>
      <c r="D302" s="5"/>
      <c r="E302" s="5"/>
      <c r="F302" s="156" t="s">
        <v>1137</v>
      </c>
      <c r="G302" s="156"/>
      <c r="H302" s="156"/>
      <c r="I302" s="156"/>
      <c r="J302" s="156"/>
      <c r="K302" s="156"/>
      <c r="L302" s="156"/>
      <c r="M302" s="5"/>
      <c r="N302" s="5"/>
      <c r="O302" s="5"/>
      <c r="P302" s="5"/>
      <c r="Q302" s="5"/>
      <c r="R302" s="5"/>
      <c r="S302" s="5"/>
      <c r="T302" s="5"/>
      <c r="U302" s="5"/>
      <c r="V302" s="5"/>
      <c r="W302" s="5"/>
    </row>
    <row r="303" spans="2:24">
      <c r="B303" s="3"/>
      <c r="D303" s="5"/>
      <c r="E303" s="5"/>
      <c r="F303" s="156" t="s">
        <v>1138</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1088</v>
      </c>
      <c r="E305" s="3" t="s">
        <v>1139</v>
      </c>
      <c r="G305" s="5"/>
      <c r="H305" s="5"/>
      <c r="I305" s="156"/>
      <c r="J305" s="156"/>
      <c r="K305" s="156"/>
      <c r="L305" s="156"/>
      <c r="M305" s="5"/>
      <c r="N305" s="5"/>
      <c r="O305" s="5"/>
      <c r="P305" s="5"/>
      <c r="Q305" s="5"/>
      <c r="R305" s="5"/>
      <c r="S305" s="5"/>
      <c r="T305" s="5"/>
      <c r="U305" s="5"/>
      <c r="V305" s="5"/>
      <c r="W305" s="5"/>
    </row>
    <row r="306" spans="1:38">
      <c r="B306" s="3"/>
      <c r="D306" s="3"/>
      <c r="E306" s="5" t="s">
        <v>1140</v>
      </c>
      <c r="I306" s="156"/>
      <c r="J306" s="156"/>
      <c r="K306" s="156"/>
      <c r="L306" s="156"/>
      <c r="M306" s="5"/>
      <c r="N306" s="5"/>
      <c r="O306" s="5"/>
      <c r="P306" s="5"/>
      <c r="Q306" s="5"/>
      <c r="R306" s="5"/>
      <c r="S306" s="5"/>
      <c r="T306" s="5"/>
      <c r="U306" s="5"/>
      <c r="V306" s="5"/>
      <c r="W306" s="5"/>
    </row>
    <row r="307" spans="1:38">
      <c r="B307" s="3"/>
      <c r="D307" s="3"/>
      <c r="E307" s="5" t="s">
        <v>1121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1063</v>
      </c>
      <c r="D309" s="3"/>
      <c r="F309" s="3"/>
      <c r="G309" s="3" t="s">
        <v>1141</v>
      </c>
      <c r="I309" s="5"/>
      <c r="J309" s="5"/>
      <c r="K309" s="5"/>
      <c r="L309" s="5"/>
      <c r="M309" s="5"/>
      <c r="N309" s="5"/>
      <c r="O309" s="5"/>
      <c r="P309" s="5"/>
    </row>
    <row r="310" spans="1:38">
      <c r="B310" s="3"/>
      <c r="D310" s="3" t="s">
        <v>937</v>
      </c>
      <c r="E310" s="3" t="s">
        <v>807</v>
      </c>
      <c r="G310" s="3"/>
      <c r="H310" s="3"/>
      <c r="I310" s="3"/>
      <c r="J310" s="3"/>
      <c r="K310" s="3"/>
      <c r="L310" s="3"/>
      <c r="M310" s="3"/>
      <c r="N310" s="3"/>
      <c r="O310" s="3"/>
      <c r="P310" s="3"/>
      <c r="Q310" s="3"/>
      <c r="R310" s="3"/>
    </row>
    <row r="311" spans="1:38">
      <c r="B311" s="3"/>
      <c r="D311" s="3"/>
      <c r="E311" t="s">
        <v>626</v>
      </c>
      <c r="F311" t="s">
        <v>1142</v>
      </c>
      <c r="G311" s="5"/>
      <c r="I311" s="5"/>
      <c r="K311" s="5"/>
    </row>
    <row r="312" spans="1:38">
      <c r="B312" s="3"/>
      <c r="D312" s="3"/>
      <c r="F312" s="5" t="s">
        <v>1143</v>
      </c>
      <c r="G312" s="5"/>
      <c r="I312" s="5"/>
      <c r="K312" s="5"/>
    </row>
    <row r="313" spans="1:38">
      <c r="B313" s="3"/>
      <c r="D313" s="3"/>
      <c r="F313" s="5" t="s">
        <v>1144</v>
      </c>
      <c r="G313" s="5"/>
      <c r="I313" s="5"/>
      <c r="K313" s="5"/>
    </row>
    <row r="314" spans="1:38">
      <c r="B314" s="3"/>
      <c r="D314" s="3"/>
      <c r="F314" s="5" t="s">
        <v>1145</v>
      </c>
      <c r="G314" s="5"/>
      <c r="I314" s="5"/>
      <c r="K314" s="5"/>
    </row>
    <row r="315" spans="1:38">
      <c r="B315" s="3"/>
      <c r="D315" s="3"/>
      <c r="G315" s="5"/>
      <c r="I315" s="5"/>
      <c r="K315" s="5"/>
    </row>
    <row r="316" spans="1:38">
      <c r="B316" s="3"/>
      <c r="D316" s="3" t="s">
        <v>947</v>
      </c>
      <c r="E316" s="3" t="s">
        <v>841</v>
      </c>
      <c r="G316" s="5"/>
      <c r="H316" s="5"/>
      <c r="I316" s="5"/>
      <c r="J316" s="5"/>
      <c r="K316" s="5"/>
    </row>
    <row r="317" spans="1:38">
      <c r="B317" s="3"/>
      <c r="D317" s="3"/>
      <c r="E317" t="s">
        <v>1146</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7"/>
      <c r="C319" s="43"/>
      <c r="D319" s="657" t="s">
        <v>1029</v>
      </c>
      <c r="E319" s="657" t="s">
        <v>1147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1148</v>
      </c>
      <c r="I320" s="5"/>
      <c r="J320" s="5"/>
      <c r="K320" s="5"/>
      <c r="L320" s="5"/>
      <c r="M320" s="5"/>
      <c r="N320" s="5"/>
      <c r="O320" s="5"/>
      <c r="P320" s="5"/>
      <c r="Q320" s="5"/>
      <c r="R320" s="5"/>
      <c r="S320" s="5"/>
    </row>
    <row r="321" spans="1:38">
      <c r="B321" s="3"/>
      <c r="E321" t="s">
        <v>1149</v>
      </c>
      <c r="I321" s="5"/>
      <c r="J321" s="5"/>
      <c r="K321" s="5"/>
      <c r="L321" s="5"/>
      <c r="M321" s="5"/>
      <c r="N321" s="5"/>
      <c r="O321" s="5"/>
      <c r="P321" s="5"/>
      <c r="Q321" s="5"/>
      <c r="R321" s="5"/>
      <c r="S321" s="5"/>
    </row>
    <row r="322" spans="1:38">
      <c r="B322" s="3"/>
      <c r="E322" t="s">
        <v>1150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1066</v>
      </c>
      <c r="G324" s="3" t="s">
        <v>868</v>
      </c>
      <c r="I324" s="5"/>
      <c r="J324" s="5"/>
      <c r="K324" s="5"/>
      <c r="L324" s="5"/>
      <c r="M324" s="5"/>
      <c r="N324" s="5"/>
      <c r="O324" s="5"/>
      <c r="P324" s="5"/>
      <c r="Q324" s="5"/>
      <c r="R324" s="5"/>
      <c r="S324" s="5"/>
    </row>
    <row r="325" spans="1:38">
      <c r="A325" t="s">
        <v>1151</v>
      </c>
      <c r="D325" s="3" t="s">
        <v>937</v>
      </c>
      <c r="E325" s="3" t="s">
        <v>868</v>
      </c>
      <c r="J325" s="3"/>
      <c r="K325" s="3"/>
      <c r="L325" s="3"/>
      <c r="M325" s="5"/>
      <c r="N325" s="5"/>
      <c r="O325" s="5"/>
      <c r="P325" s="5"/>
      <c r="Q325" s="5"/>
      <c r="R325" s="5"/>
      <c r="S325" s="5"/>
    </row>
    <row r="326" spans="1:38">
      <c r="E326" t="s">
        <v>626</v>
      </c>
      <c r="F326" s="5" t="s">
        <v>1152</v>
      </c>
      <c r="J326" s="5"/>
      <c r="K326" s="5"/>
      <c r="L326" s="5"/>
      <c r="M326" s="5"/>
      <c r="N326" s="5"/>
      <c r="O326" s="5"/>
      <c r="P326" s="5"/>
      <c r="Q326" s="5"/>
      <c r="R326" s="5"/>
      <c r="S326" s="5"/>
    </row>
    <row r="327" spans="1:38">
      <c r="E327" s="5" t="s">
        <v>627</v>
      </c>
      <c r="F327" t="s">
        <v>1153</v>
      </c>
      <c r="J327" s="5"/>
      <c r="K327" s="5"/>
      <c r="L327" s="5"/>
      <c r="M327" s="5"/>
      <c r="N327" s="5"/>
      <c r="O327" s="5"/>
      <c r="P327" s="5"/>
      <c r="Q327" s="5"/>
      <c r="R327" s="5"/>
      <c r="S327" s="5"/>
    </row>
    <row r="328" spans="1:38">
      <c r="F328" s="156" t="s">
        <v>1154</v>
      </c>
      <c r="I328" s="156"/>
      <c r="J328" s="5"/>
      <c r="K328" s="5"/>
      <c r="L328" s="5"/>
      <c r="M328" s="5"/>
      <c r="N328" s="5"/>
      <c r="O328" s="5"/>
      <c r="P328" s="5"/>
      <c r="Q328" s="5"/>
      <c r="R328" s="5"/>
      <c r="S328" s="5"/>
    </row>
    <row r="329" spans="1:38">
      <c r="F329" s="156" t="s">
        <v>1155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1156</v>
      </c>
      <c r="C331" s="166" t="s">
        <v>979</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1011</v>
      </c>
      <c r="G333" s="3" t="s">
        <v>979</v>
      </c>
      <c r="I333" s="3"/>
      <c r="J333" s="5"/>
      <c r="K333" s="5"/>
      <c r="L333" s="5"/>
      <c r="M333" s="5"/>
      <c r="N333" s="5"/>
      <c r="O333" s="5"/>
      <c r="P333" s="5"/>
      <c r="Q333" s="5"/>
      <c r="R333" s="5"/>
      <c r="S333" s="5"/>
    </row>
    <row r="334" spans="1:38">
      <c r="B334" s="3"/>
      <c r="C334" s="3"/>
      <c r="D334" s="3" t="s">
        <v>937</v>
      </c>
      <c r="E334" s="3" t="s">
        <v>979</v>
      </c>
      <c r="G334" s="3"/>
      <c r="I334" s="3"/>
      <c r="J334" s="5"/>
      <c r="K334" s="5"/>
      <c r="L334" s="5"/>
      <c r="M334" s="5"/>
      <c r="N334" s="5"/>
      <c r="O334" s="5"/>
      <c r="P334" s="5"/>
      <c r="Q334" s="5"/>
      <c r="R334" s="5"/>
      <c r="S334" s="5"/>
    </row>
    <row r="335" spans="1:38">
      <c r="B335" s="3"/>
      <c r="E335" t="s">
        <v>626</v>
      </c>
      <c r="F335" t="s">
        <v>1157</v>
      </c>
      <c r="J335" s="5"/>
      <c r="K335" s="5"/>
      <c r="L335" s="5"/>
      <c r="M335" s="5"/>
      <c r="N335" s="5"/>
      <c r="O335" s="5"/>
      <c r="P335" s="5"/>
      <c r="Q335" s="5"/>
      <c r="R335" s="5"/>
      <c r="S335" s="5"/>
    </row>
    <row r="336" spans="1:38">
      <c r="B336" s="3"/>
      <c r="E336" s="5"/>
      <c r="F336" s="5" t="s">
        <v>1158</v>
      </c>
      <c r="J336" s="5"/>
      <c r="K336" s="5"/>
      <c r="L336" s="5"/>
      <c r="M336" s="5"/>
      <c r="N336" s="5"/>
      <c r="O336" s="5"/>
      <c r="P336" s="5"/>
      <c r="Q336" s="5"/>
      <c r="R336" s="5"/>
      <c r="S336" s="5"/>
    </row>
    <row r="337" spans="2:37">
      <c r="B337" s="3"/>
      <c r="E337" s="5"/>
      <c r="F337" s="5" t="s">
        <v>1159</v>
      </c>
      <c r="I337" s="5"/>
      <c r="J337" s="5"/>
      <c r="K337" s="5"/>
      <c r="L337" s="5"/>
      <c r="M337" s="5"/>
      <c r="N337" s="5"/>
      <c r="O337" s="5"/>
      <c r="P337" s="5"/>
      <c r="Q337" s="5"/>
      <c r="R337" s="5"/>
      <c r="S337" s="5"/>
    </row>
    <row r="338" spans="2:37">
      <c r="B338" s="3"/>
      <c r="E338" s="5" t="s">
        <v>627</v>
      </c>
      <c r="F338" s="5" t="s">
        <v>1160</v>
      </c>
      <c r="I338" s="5"/>
      <c r="J338" s="5"/>
      <c r="K338" s="5"/>
      <c r="L338" s="5"/>
      <c r="M338" s="5"/>
      <c r="N338" s="5"/>
      <c r="O338" s="5"/>
      <c r="P338" s="5"/>
      <c r="Q338" s="5"/>
      <c r="R338" s="5"/>
      <c r="S338" s="5"/>
    </row>
    <row r="339" spans="2:37">
      <c r="B339" s="3"/>
      <c r="E339" s="5"/>
      <c r="F339" s="5" t="s">
        <v>1161</v>
      </c>
      <c r="I339" s="5"/>
      <c r="J339" s="5"/>
      <c r="K339" s="5"/>
      <c r="L339" s="5"/>
      <c r="M339" s="5"/>
      <c r="N339" s="5"/>
      <c r="O339" s="5"/>
      <c r="P339" s="5"/>
      <c r="Q339" s="5"/>
      <c r="R339" s="5"/>
      <c r="S339" s="5"/>
    </row>
    <row r="340" spans="2:37">
      <c r="B340" s="3"/>
      <c r="E340" s="5"/>
      <c r="F340" s="5" t="s">
        <v>1162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1026</v>
      </c>
      <c r="G342" s="3" t="s">
        <v>1163</v>
      </c>
      <c r="I342" s="3"/>
      <c r="J342" s="5"/>
      <c r="K342" s="5"/>
      <c r="L342" s="5"/>
      <c r="M342" s="5"/>
      <c r="N342" s="5"/>
      <c r="O342" s="5"/>
      <c r="P342" s="5"/>
      <c r="Q342" s="5"/>
      <c r="R342" s="5"/>
      <c r="S342" s="5"/>
    </row>
    <row r="343" spans="2:37" ht="13.7" customHeight="1">
      <c r="B343" s="3"/>
      <c r="E343" s="986" t="s">
        <v>1164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626</v>
      </c>
      <c r="F348" s="981" t="s">
        <v>1165</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6"/>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627</v>
      </c>
      <c r="F352" s="981" t="s">
        <v>1166</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6" t="s">
        <v>1167</v>
      </c>
      <c r="C356" s="166" t="s">
        <v>1168</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937</v>
      </c>
      <c r="E358" s="3" t="s">
        <v>1169</v>
      </c>
      <c r="I358" s="5"/>
      <c r="J358" s="5"/>
      <c r="K358" s="5"/>
      <c r="L358" s="5"/>
      <c r="M358" s="5"/>
      <c r="N358" s="5"/>
      <c r="O358" s="5"/>
      <c r="P358" s="5"/>
      <c r="Q358" s="5"/>
      <c r="R358" s="5"/>
      <c r="S358" s="5"/>
    </row>
    <row r="359" spans="1:38">
      <c r="B359" s="3"/>
      <c r="E359" t="s">
        <v>626</v>
      </c>
      <c r="F359" s="5" t="s">
        <v>1170</v>
      </c>
      <c r="I359" s="5"/>
      <c r="J359" s="5"/>
      <c r="K359" s="5"/>
      <c r="L359" s="5"/>
      <c r="M359" s="5"/>
      <c r="N359" s="5"/>
      <c r="O359" s="5"/>
      <c r="P359" s="5"/>
      <c r="Q359" s="5"/>
      <c r="R359" s="5"/>
      <c r="S359" s="5"/>
    </row>
    <row r="360" spans="1:38">
      <c r="B360" s="3"/>
      <c r="F360" s="5" t="s">
        <v>1171</v>
      </c>
      <c r="I360" s="5"/>
      <c r="J360" s="5"/>
      <c r="K360" s="5"/>
      <c r="L360" s="5"/>
      <c r="M360" s="5"/>
      <c r="N360" s="5"/>
      <c r="O360" s="5"/>
      <c r="P360" s="5"/>
      <c r="Q360" s="5"/>
      <c r="R360" s="5"/>
      <c r="S360" s="5"/>
    </row>
    <row r="361" spans="1:38">
      <c r="B361" s="3"/>
      <c r="F361" s="5" t="s">
        <v>1172</v>
      </c>
      <c r="G361" s="5"/>
      <c r="K361" s="5"/>
      <c r="L361" s="5"/>
      <c r="M361" s="5"/>
      <c r="N361" s="5"/>
      <c r="O361" s="5"/>
      <c r="P361" s="5"/>
      <c r="Q361" s="5"/>
      <c r="R361" s="5"/>
      <c r="S361" s="5"/>
    </row>
    <row r="362" spans="1:38">
      <c r="B362" s="3"/>
      <c r="E362" t="s">
        <v>627</v>
      </c>
      <c r="F362" s="5" t="s">
        <v>1173</v>
      </c>
      <c r="I362" s="5"/>
      <c r="J362" s="5"/>
      <c r="K362" s="5"/>
      <c r="L362" s="5"/>
      <c r="M362" s="5"/>
      <c r="N362" s="5"/>
      <c r="O362" s="5"/>
      <c r="P362" s="5"/>
      <c r="Q362" s="5"/>
      <c r="R362" s="5"/>
      <c r="S362" s="5"/>
    </row>
    <row r="363" spans="1:38">
      <c r="B363" s="3"/>
      <c r="E363" t="s">
        <v>628</v>
      </c>
      <c r="F363" s="5" t="s">
        <v>1174</v>
      </c>
      <c r="I363" s="5"/>
      <c r="J363" s="5"/>
      <c r="K363" s="5"/>
      <c r="L363" s="5"/>
      <c r="M363" s="5"/>
      <c r="N363" s="5"/>
      <c r="O363" s="5"/>
      <c r="P363" s="5"/>
      <c r="Q363" s="5"/>
      <c r="R363" s="5"/>
      <c r="S363" s="5"/>
    </row>
    <row r="364" spans="1:38">
      <c r="B364" s="3"/>
      <c r="F364" s="5" t="s">
        <v>1175</v>
      </c>
      <c r="J364" s="5"/>
      <c r="K364" s="5"/>
      <c r="L364" s="5"/>
      <c r="M364" s="5"/>
      <c r="N364" s="5"/>
      <c r="O364" s="5"/>
      <c r="P364" s="5"/>
      <c r="Q364" s="5"/>
      <c r="R364" s="5"/>
      <c r="S364" s="5"/>
    </row>
    <row r="365" spans="1:38" s="980" customFormat="1">
      <c r="A365" s="971"/>
      <c r="B365" s="3"/>
      <c r="C365" s="971"/>
      <c r="D365" s="971"/>
      <c r="E365" s="980" t="s">
        <v>1176</v>
      </c>
    </row>
    <row r="366" spans="1:38" s="980" customFormat="1">
      <c r="A366" s="971"/>
      <c r="B366" s="3"/>
      <c r="C366" s="971"/>
      <c r="D366" s="971"/>
    </row>
    <row r="367" spans="1:38">
      <c r="B367" s="3"/>
      <c r="F367" s="989" t="s">
        <v>1177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947</v>
      </c>
      <c r="E370" s="3" t="s">
        <v>1178</v>
      </c>
      <c r="J370" s="5"/>
      <c r="K370" s="5"/>
      <c r="L370" s="5"/>
      <c r="M370" s="5"/>
      <c r="N370" s="5"/>
      <c r="O370" s="5"/>
      <c r="P370" s="5"/>
      <c r="Q370" s="5"/>
      <c r="R370" s="5"/>
      <c r="S370" s="5"/>
    </row>
    <row r="371" spans="2:19">
      <c r="B371" s="3"/>
      <c r="E371" s="5" t="s">
        <v>1179</v>
      </c>
      <c r="F371" s="5"/>
      <c r="G371" s="5"/>
      <c r="H371" s="5"/>
      <c r="I371" s="5"/>
      <c r="J371" s="5"/>
      <c r="K371" s="5"/>
      <c r="L371" s="5"/>
      <c r="M371" s="5"/>
      <c r="N371" s="5"/>
      <c r="O371" s="5"/>
      <c r="P371" s="5"/>
      <c r="Q371" s="5"/>
      <c r="R371" s="5"/>
      <c r="S371" s="5"/>
    </row>
    <row r="372" spans="2:19">
      <c r="B372" s="3"/>
      <c r="E372" s="5" t="s">
        <v>1180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1029</v>
      </c>
      <c r="E374" s="3" t="s">
        <v>1181</v>
      </c>
      <c r="J374" s="5"/>
      <c r="K374" s="5"/>
      <c r="L374" s="5"/>
      <c r="M374" s="5"/>
      <c r="N374" s="5"/>
      <c r="O374" s="5"/>
      <c r="P374" s="5"/>
      <c r="Q374" s="5"/>
      <c r="R374" s="5"/>
      <c r="S374" s="5"/>
    </row>
    <row r="375" spans="2:19">
      <c r="B375" s="3"/>
      <c r="E375" s="5" t="s">
        <v>626</v>
      </c>
      <c r="F375" s="5" t="s">
        <v>1182</v>
      </c>
      <c r="G375" s="5"/>
      <c r="I375" s="5"/>
      <c r="J375" s="5"/>
      <c r="K375" s="5"/>
      <c r="L375" s="5"/>
      <c r="M375" s="5"/>
      <c r="N375" s="5"/>
      <c r="O375" s="5"/>
      <c r="P375" s="5"/>
      <c r="Q375" s="5"/>
      <c r="R375" s="5"/>
      <c r="S375" s="5"/>
    </row>
    <row r="376" spans="2:19">
      <c r="B376" s="3"/>
      <c r="E376" s="5"/>
      <c r="F376" s="156" t="s">
        <v>1183</v>
      </c>
      <c r="G376" s="5"/>
      <c r="I376" s="156"/>
      <c r="J376" s="5"/>
      <c r="K376" s="5"/>
      <c r="L376" s="5"/>
      <c r="M376" s="5"/>
      <c r="N376" s="5"/>
      <c r="O376" s="5"/>
      <c r="P376" s="5"/>
      <c r="Q376" s="5"/>
      <c r="R376" s="5"/>
      <c r="S376" s="5"/>
    </row>
    <row r="377" spans="2:19">
      <c r="B377" s="3"/>
      <c r="E377" s="5" t="s">
        <v>627</v>
      </c>
      <c r="F377" s="5" t="s">
        <v>1184</v>
      </c>
      <c r="G377" s="5"/>
      <c r="I377" s="156"/>
      <c r="J377" s="5"/>
      <c r="K377" s="5"/>
      <c r="L377" s="5"/>
      <c r="M377" s="5"/>
      <c r="N377" s="5"/>
      <c r="O377" s="5"/>
      <c r="P377" s="5"/>
      <c r="Q377" s="5"/>
      <c r="R377" s="5"/>
      <c r="S377" s="5"/>
    </row>
    <row r="378" spans="2:19">
      <c r="B378" s="3"/>
      <c r="E378" s="5"/>
      <c r="F378" s="5" t="s">
        <v>1185</v>
      </c>
      <c r="G378" s="5"/>
      <c r="I378" s="658"/>
      <c r="J378" s="5"/>
      <c r="K378" s="5"/>
      <c r="L378" s="5"/>
      <c r="M378" s="5"/>
      <c r="N378" s="5"/>
      <c r="O378" s="5"/>
      <c r="P378" s="5"/>
      <c r="Q378" s="5"/>
      <c r="R378" s="5"/>
      <c r="S378" s="5"/>
    </row>
    <row r="379" spans="2:19">
      <c r="B379" s="3"/>
      <c r="E379" s="5"/>
      <c r="F379" s="5" t="s">
        <v>1186</v>
      </c>
      <c r="G379" s="5"/>
      <c r="I379" s="658"/>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1032</v>
      </c>
      <c r="E381" s="3" t="s">
        <v>1187</v>
      </c>
      <c r="J381" s="5"/>
      <c r="K381" s="5"/>
      <c r="L381" s="5"/>
      <c r="M381" s="5"/>
      <c r="N381" s="5"/>
      <c r="O381" s="5"/>
      <c r="P381" s="5"/>
      <c r="Q381" s="5"/>
      <c r="R381" s="5"/>
      <c r="S381" s="5"/>
    </row>
    <row r="382" spans="2:19">
      <c r="B382" s="3"/>
      <c r="D382" s="3"/>
      <c r="E382" s="5" t="s">
        <v>1188</v>
      </c>
      <c r="F382" s="5"/>
      <c r="G382" s="5"/>
      <c r="J382" s="5"/>
      <c r="K382" s="5"/>
      <c r="L382" s="5"/>
      <c r="M382" s="5"/>
      <c r="N382" s="5"/>
      <c r="O382" s="5"/>
      <c r="P382" s="5"/>
      <c r="Q382" s="5"/>
      <c r="R382" s="5"/>
      <c r="S382" s="5"/>
    </row>
    <row r="383" spans="2:19">
      <c r="B383" s="3"/>
      <c r="D383" s="3"/>
      <c r="E383" s="5" t="s">
        <v>1189</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1035</v>
      </c>
      <c r="E385" s="3" t="s">
        <v>1190</v>
      </c>
      <c r="J385" s="5"/>
      <c r="K385" s="5"/>
      <c r="L385" s="5"/>
      <c r="M385" s="5"/>
      <c r="N385" s="5"/>
      <c r="O385" s="5"/>
      <c r="P385" s="5"/>
      <c r="Q385" s="5"/>
      <c r="R385" s="5"/>
      <c r="S385" s="5"/>
    </row>
    <row r="386" spans="1:38">
      <c r="B386" s="3"/>
      <c r="E386" s="5" t="s">
        <v>626</v>
      </c>
      <c r="F386" s="5" t="s">
        <v>1191</v>
      </c>
      <c r="G386" s="5"/>
      <c r="I386" s="5"/>
      <c r="J386" s="5"/>
      <c r="K386" s="5"/>
      <c r="L386" s="5"/>
      <c r="M386" s="5"/>
      <c r="N386" s="5"/>
      <c r="O386" s="5"/>
      <c r="P386" s="5"/>
      <c r="Q386" s="5"/>
      <c r="R386" s="5"/>
      <c r="S386" s="5"/>
    </row>
    <row r="387" spans="1:38">
      <c r="B387" s="3"/>
      <c r="E387" s="5"/>
      <c r="F387" s="156" t="s">
        <v>1183</v>
      </c>
      <c r="G387" s="5"/>
      <c r="I387" s="156"/>
      <c r="J387" s="5"/>
      <c r="K387" s="5"/>
      <c r="L387" s="5"/>
      <c r="M387" s="5"/>
      <c r="N387" s="5"/>
      <c r="O387" s="5"/>
      <c r="P387" s="5"/>
      <c r="Q387" s="5"/>
      <c r="R387" s="5"/>
      <c r="S387" s="5"/>
    </row>
    <row r="388" spans="1:38">
      <c r="B388" s="3"/>
      <c r="E388" s="5" t="s">
        <v>627</v>
      </c>
      <c r="F388" s="5" t="s">
        <v>1192</v>
      </c>
      <c r="G388" s="5"/>
      <c r="I388" s="156"/>
      <c r="J388" s="5"/>
      <c r="K388" s="5"/>
      <c r="L388" s="5"/>
      <c r="M388" s="5"/>
      <c r="N388" s="5"/>
      <c r="O388" s="5"/>
      <c r="P388" s="5"/>
      <c r="Q388" s="5"/>
      <c r="R388" s="5"/>
      <c r="S388" s="5"/>
    </row>
    <row r="389" spans="1:38">
      <c r="B389" s="3"/>
      <c r="E389" s="5"/>
      <c r="F389" s="5" t="s">
        <v>1193</v>
      </c>
      <c r="G389" s="5"/>
      <c r="I389" s="658"/>
      <c r="J389" s="5"/>
      <c r="K389" s="5"/>
      <c r="L389" s="5"/>
      <c r="M389" s="5"/>
      <c r="N389" s="5"/>
      <c r="O389" s="5"/>
      <c r="P389" s="5"/>
      <c r="Q389" s="5"/>
      <c r="R389" s="5"/>
      <c r="S389" s="5"/>
    </row>
    <row r="390" spans="1:38">
      <c r="B390" s="3"/>
      <c r="E390" s="5"/>
      <c r="F390" s="5" t="s">
        <v>1194</v>
      </c>
      <c r="G390" s="5"/>
      <c r="I390" s="65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1195</v>
      </c>
      <c r="C393" s="166" t="s">
        <v>985</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1011</v>
      </c>
      <c r="G395" s="3" t="s">
        <v>985</v>
      </c>
      <c r="I395" s="5"/>
      <c r="J395" s="5"/>
      <c r="K395" s="5"/>
      <c r="L395" s="5"/>
      <c r="M395" s="5"/>
      <c r="N395" s="5"/>
      <c r="O395" s="5"/>
      <c r="P395" s="5"/>
      <c r="Q395" s="5"/>
      <c r="R395" s="5"/>
      <c r="S395" s="5"/>
    </row>
    <row r="396" spans="1:38">
      <c r="B396" s="3"/>
      <c r="D396" s="5"/>
      <c r="E396" s="5" t="s">
        <v>626</v>
      </c>
      <c r="F396" s="5" t="s">
        <v>1196</v>
      </c>
      <c r="G396" s="5"/>
      <c r="I396" s="5"/>
      <c r="J396" s="5"/>
      <c r="K396" s="5"/>
      <c r="L396" s="5"/>
      <c r="M396" s="5"/>
      <c r="N396" s="5"/>
      <c r="O396" s="5"/>
      <c r="P396" s="5"/>
      <c r="Q396" s="5"/>
      <c r="R396" s="5"/>
      <c r="S396" s="5"/>
    </row>
    <row r="397" spans="1:38">
      <c r="B397" s="3"/>
      <c r="E397" s="5" t="s">
        <v>627</v>
      </c>
      <c r="F397" s="5" t="s">
        <v>1197</v>
      </c>
      <c r="G397" s="5"/>
      <c r="I397" s="5"/>
      <c r="J397" s="5"/>
      <c r="K397" s="5"/>
      <c r="L397" s="5"/>
      <c r="M397" s="5"/>
      <c r="N397" s="5"/>
      <c r="O397" s="5"/>
      <c r="P397" s="5"/>
      <c r="Q397" s="5"/>
      <c r="R397" s="5"/>
      <c r="S397" s="5"/>
    </row>
    <row r="398" spans="1:38">
      <c r="B398" s="3"/>
      <c r="E398" s="5" t="s">
        <v>628</v>
      </c>
      <c r="F398" s="5" t="s">
        <v>1198</v>
      </c>
      <c r="I398" s="5"/>
      <c r="J398" s="5"/>
      <c r="K398" s="5"/>
      <c r="L398" s="5"/>
      <c r="M398" s="5"/>
      <c r="N398" s="5"/>
      <c r="O398" s="5"/>
      <c r="P398" s="5"/>
      <c r="Q398" s="5"/>
      <c r="R398" s="5"/>
      <c r="S398" s="5"/>
    </row>
    <row r="400" spans="1:38">
      <c r="B400" s="3"/>
      <c r="C400" s="3" t="s">
        <v>1026</v>
      </c>
      <c r="G400" s="3" t="s">
        <v>1199</v>
      </c>
      <c r="I400" s="5"/>
      <c r="S400" s="5"/>
    </row>
    <row r="401" spans="1:38">
      <c r="B401" s="3"/>
      <c r="F401" s="5" t="s">
        <v>1200</v>
      </c>
      <c r="S401" s="5"/>
    </row>
    <row r="402" spans="1:38">
      <c r="B402" s="3"/>
      <c r="S402" s="5"/>
    </row>
    <row r="403" spans="1:38">
      <c r="B403" s="3"/>
      <c r="C403" s="3" t="s">
        <v>1047</v>
      </c>
      <c r="G403" s="3" t="s">
        <v>988</v>
      </c>
      <c r="S403" s="5"/>
    </row>
    <row r="404" spans="1:38">
      <c r="B404" s="3"/>
      <c r="E404" t="s">
        <v>626</v>
      </c>
      <c r="F404" t="s">
        <v>1201</v>
      </c>
      <c r="S404" s="5"/>
    </row>
    <row r="405" spans="1:38">
      <c r="B405" s="3"/>
      <c r="E405" t="s">
        <v>627</v>
      </c>
      <c r="F405" s="5" t="s">
        <v>1202</v>
      </c>
      <c r="S405" s="5"/>
    </row>
    <row r="406" spans="1:38">
      <c r="B406" s="3"/>
      <c r="F406" t="s">
        <v>1203</v>
      </c>
      <c r="S406" s="5"/>
    </row>
    <row r="407" spans="1:38">
      <c r="B407" s="3"/>
      <c r="S407" s="5"/>
    </row>
    <row r="408" spans="1:38">
      <c r="A408" s="9"/>
      <c r="B408" s="59" t="s">
        <v>1204</v>
      </c>
      <c r="C408" s="166" t="s">
        <v>1205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1206</v>
      </c>
      <c r="G409" s="3"/>
      <c r="I409" s="5"/>
      <c r="S409" s="5"/>
    </row>
    <row r="410" spans="1:38">
      <c r="B410" s="3"/>
      <c r="C410" s="41" t="s">
        <v>1207</v>
      </c>
      <c r="S410" s="5"/>
    </row>
    <row r="411" spans="1:38">
      <c r="B411" s="3"/>
      <c r="C411" s="5" t="s">
        <v>1208</v>
      </c>
      <c r="S411" s="5"/>
    </row>
  </sheetData>
  <sheetProtection algorithmName="SHA-512" hashValue="MZkpPLA9P0KnQznKfUd4q/hv5NpqDbOZdzfVZYNZBgEI3TahD4D1N8/HdW/hKKcj/KJlkaP7zVlvGrhUGDf+Pg==" saltValue="3YzNU2H12EldrTiZNFkHUw==" spinCount="100000" sheet="1" objects="1" scenarios="1"/>
  <mergeCells count="38">
    <mergeCell ref="G158:AK159"/>
    <mergeCell ref="G99:AK100"/>
    <mergeCell ref="G86:AK87"/>
    <mergeCell ref="E27:AF27"/>
    <mergeCell ref="G58:AK60"/>
    <mergeCell ref="G102:AK103"/>
    <mergeCell ref="F367:AL368"/>
    <mergeCell ref="G79:AK81"/>
    <mergeCell ref="G75:AK77"/>
    <mergeCell ref="E26:AK26"/>
    <mergeCell ref="G83:AK84"/>
    <mergeCell ref="G65:AK66"/>
    <mergeCell ref="E32:AK32"/>
    <mergeCell ref="G105:AK107"/>
    <mergeCell ref="G61:AK63"/>
    <mergeCell ref="F42:AK44"/>
    <mergeCell ref="G48:AK50"/>
    <mergeCell ref="G222:AK223"/>
    <mergeCell ref="F352:AK355"/>
    <mergeCell ref="G89:AK92"/>
    <mergeCell ref="G67:AK68"/>
    <mergeCell ref="E343:AK347"/>
    <mergeCell ref="A1:AL2"/>
    <mergeCell ref="E365:XFD366"/>
    <mergeCell ref="D7:AK18"/>
    <mergeCell ref="D29:AK30"/>
    <mergeCell ref="F36:AK37"/>
    <mergeCell ref="G109:AK110"/>
    <mergeCell ref="G236:AK237"/>
    <mergeCell ref="D19:AK24"/>
    <mergeCell ref="E31:AK31"/>
    <mergeCell ref="G51:AK53"/>
    <mergeCell ref="E145:AK146"/>
    <mergeCell ref="E112:AK113"/>
    <mergeCell ref="G233:AK234"/>
    <mergeCell ref="E25:AK25"/>
    <mergeCell ref="F348:AK351"/>
    <mergeCell ref="G94:AK97"/>
  </mergeCells>
  <hyperlinks>
    <hyperlink ref="E25" r:id="rId1" xr:uid="{00000000-0004-0000-0000-000000000000}"/>
    <hyperlink ref="E26" r:id="rId2" xr:uid="{00000000-0004-0000-0000-000001000000}"/>
    <hyperlink ref="E27" r:id="rId3" xr:uid="{00000000-0004-0000-0000-000002000000}"/>
    <hyperlink ref="E31" r:id="rId4" xr:uid="{00000000-0004-0000-0000-000003000000}"/>
    <hyperlink ref="E32" r:id="rId5" xr:uid="{00000000-0004-0000-0000-000004000000}"/>
  </hyperlinks>
  <pageMargins left="0.75" right="0.75" top="0.75" bottom="0.75" header="0.5" footer="0.5"/>
  <pageSetup scale="96" fitToHeight="0" orientation="portrait"/>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1"/>
  <sheetViews>
    <sheetView showGridLines="0" workbookViewId="0">
      <selection activeCell="G39" sqref="G39"/>
    </sheetView>
  </sheetViews>
  <sheetFormatPr defaultColWidth="0" defaultRowHeight="15" customHeight="1" zeroHeight="1"/>
  <cols>
    <col min="1" max="1" width="3.5703125" style="748" customWidth="1"/>
    <col min="2" max="4" width="17.5703125" style="748" customWidth="1"/>
    <col min="5" max="5" width="15.5703125" style="748" customWidth="1"/>
    <col min="6" max="6" width="2.42578125" style="748" customWidth="1"/>
    <col min="7" max="7" width="14.5703125" style="748" customWidth="1"/>
    <col min="8" max="9" width="2.5703125" style="748" customWidth="1"/>
    <col min="10" max="10" width="3.5703125" style="748" customWidth="1"/>
    <col min="11" max="11" width="2.5703125" style="748" customWidth="1"/>
    <col min="12" max="14" width="2.42578125" style="748" customWidth="1"/>
    <col min="15" max="15" width="43.7109375" style="748" customWidth="1"/>
    <col min="16" max="16" width="7.5703125" style="748" customWidth="1"/>
    <col min="17" max="17" width="3.5703125" style="748" customWidth="1"/>
    <col min="18" max="19" width="10.5703125" style="748" customWidth="1"/>
    <col min="20" max="20" width="8.85546875" style="748" customWidth="1"/>
    <col min="21" max="21" width="8.85546875" style="748" hidden="1" customWidth="1"/>
    <col min="22" max="16384" width="8.85546875" style="748" hidden="1"/>
  </cols>
  <sheetData>
    <row r="1" spans="1:19" ht="15" customHeight="1">
      <c r="A1" s="1572" t="s">
        <v>2223</v>
      </c>
      <c r="B1" s="1545"/>
      <c r="C1" s="1545"/>
      <c r="D1" s="1545"/>
      <c r="E1" s="1545"/>
      <c r="F1" s="1545"/>
      <c r="G1" s="1545"/>
      <c r="H1" s="1545"/>
      <c r="I1" s="1545"/>
      <c r="J1" s="1545"/>
      <c r="K1" s="1545"/>
      <c r="L1" s="1545"/>
      <c r="M1" s="1545"/>
      <c r="N1" s="1545"/>
      <c r="O1" s="1545"/>
      <c r="P1" s="1545"/>
      <c r="Q1" s="1545"/>
      <c r="R1" s="1545"/>
      <c r="S1" s="1545"/>
    </row>
    <row r="2" spans="1:19" ht="15" customHeight="1">
      <c r="A2" s="1545"/>
      <c r="B2" s="1545"/>
      <c r="C2" s="1545"/>
      <c r="D2" s="1545"/>
      <c r="E2" s="1545"/>
      <c r="F2" s="1545"/>
      <c r="G2" s="1545"/>
      <c r="H2" s="1545"/>
      <c r="I2" s="1545"/>
      <c r="J2" s="1545"/>
      <c r="K2" s="1545"/>
      <c r="L2" s="1545"/>
      <c r="M2" s="1545"/>
      <c r="N2" s="1545"/>
      <c r="O2" s="1545"/>
      <c r="P2" s="1545"/>
      <c r="Q2" s="1545"/>
      <c r="R2" s="1545"/>
      <c r="S2" s="1545"/>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555" t="s">
        <v>2224</v>
      </c>
      <c r="C4" s="1545"/>
      <c r="D4" s="1545"/>
      <c r="E4" s="1545"/>
      <c r="F4" s="1545"/>
      <c r="G4" s="1545"/>
      <c r="H4" s="1545"/>
      <c r="I4" s="1545"/>
      <c r="J4" s="1545"/>
      <c r="K4" s="1545"/>
      <c r="L4" s="1545"/>
      <c r="M4" s="1545"/>
      <c r="N4" s="1545"/>
      <c r="O4" s="1545"/>
      <c r="P4" s="1545"/>
      <c r="Q4" s="1545"/>
      <c r="R4" s="1545"/>
    </row>
    <row r="5" spans="1:19" ht="15" customHeight="1">
      <c r="A5" s="503"/>
      <c r="B5" s="1545"/>
      <c r="C5" s="1545"/>
      <c r="D5" s="1545"/>
      <c r="E5" s="1545"/>
      <c r="F5" s="1545"/>
      <c r="G5" s="1545"/>
      <c r="H5" s="1545"/>
      <c r="I5" s="1545"/>
      <c r="J5" s="1545"/>
      <c r="K5" s="1545"/>
      <c r="L5" s="1545"/>
      <c r="M5" s="1545"/>
      <c r="N5" s="1545"/>
      <c r="O5" s="1545"/>
      <c r="P5" s="1545"/>
      <c r="Q5" s="1545"/>
      <c r="R5" s="1545"/>
    </row>
    <row r="6" spans="1:19" ht="15" customHeight="1">
      <c r="A6" s="503"/>
      <c r="B6" s="1545"/>
      <c r="C6" s="1545"/>
      <c r="D6" s="1545"/>
      <c r="E6" s="1545"/>
      <c r="F6" s="1545"/>
      <c r="G6" s="1545"/>
      <c r="H6" s="1545"/>
      <c r="I6" s="1545"/>
      <c r="J6" s="1545"/>
      <c r="K6" s="1545"/>
      <c r="L6" s="1545"/>
      <c r="M6" s="1545"/>
      <c r="N6" s="1545"/>
      <c r="O6" s="1545"/>
      <c r="P6" s="1545"/>
      <c r="Q6" s="1545"/>
      <c r="R6" s="1545"/>
    </row>
    <row r="7" spans="1:19" ht="15" customHeight="1">
      <c r="A7" s="503"/>
      <c r="B7" s="644"/>
      <c r="C7" s="644"/>
      <c r="D7" s="644"/>
      <c r="E7" s="644"/>
      <c r="F7" s="644"/>
      <c r="G7" s="644"/>
      <c r="H7" s="644"/>
      <c r="I7" s="644"/>
      <c r="J7" s="644"/>
      <c r="K7" s="644"/>
      <c r="L7" s="644"/>
      <c r="M7" s="644"/>
      <c r="N7" s="644"/>
      <c r="O7" s="644"/>
      <c r="P7" s="644"/>
      <c r="Q7" s="644"/>
      <c r="R7" s="644"/>
    </row>
    <row r="8" spans="1:19" ht="32.25" customHeight="1">
      <c r="A8" s="503"/>
      <c r="B8" s="1555" t="s">
        <v>2225</v>
      </c>
      <c r="C8" s="1545"/>
      <c r="D8" s="1545"/>
      <c r="E8" s="1545"/>
      <c r="F8" s="1545"/>
      <c r="G8" s="1545"/>
      <c r="H8" s="1545"/>
      <c r="I8" s="1545"/>
      <c r="J8" s="1545"/>
      <c r="K8" s="1545"/>
      <c r="L8" s="1545"/>
      <c r="M8" s="1545"/>
      <c r="N8" s="1545"/>
      <c r="O8" s="1545"/>
      <c r="P8" s="1545"/>
      <c r="Q8" s="1545"/>
      <c r="R8" s="1545"/>
    </row>
    <row r="9" spans="1:19" ht="15" customHeight="1">
      <c r="A9" s="503"/>
      <c r="B9" s="380"/>
      <c r="C9" s="503"/>
      <c r="D9" s="503"/>
      <c r="E9" s="503"/>
      <c r="F9" s="503"/>
      <c r="G9" s="503"/>
      <c r="H9" s="503"/>
      <c r="I9" s="503"/>
      <c r="J9" s="503"/>
      <c r="K9" s="503"/>
      <c r="L9" s="503"/>
      <c r="M9" s="503"/>
      <c r="N9" s="503"/>
      <c r="O9" s="503"/>
      <c r="P9" s="503"/>
      <c r="Q9" s="503"/>
      <c r="R9" s="503"/>
    </row>
    <row r="10" spans="1:19" ht="15" customHeight="1">
      <c r="A10" s="503"/>
      <c r="B10" s="1555" t="s">
        <v>2226</v>
      </c>
      <c r="C10" s="1545"/>
      <c r="D10" s="1545"/>
      <c r="E10" s="1545"/>
      <c r="F10" s="1545"/>
      <c r="G10" s="1545"/>
      <c r="H10" s="1545"/>
      <c r="I10" s="1545"/>
      <c r="J10" s="1545"/>
      <c r="K10" s="1545"/>
      <c r="L10" s="1545"/>
      <c r="M10" s="1545"/>
      <c r="N10" s="1545"/>
      <c r="O10" s="1545"/>
      <c r="P10" s="1545"/>
      <c r="Q10" s="1545"/>
      <c r="R10" s="1545"/>
    </row>
    <row r="11" spans="1:19" ht="29.25" customHeight="1">
      <c r="A11" s="503"/>
      <c r="B11" s="1545"/>
      <c r="C11" s="1545"/>
      <c r="D11" s="1545"/>
      <c r="E11" s="1545"/>
      <c r="F11" s="1545"/>
      <c r="G11" s="1545"/>
      <c r="H11" s="1545"/>
      <c r="I11" s="1545"/>
      <c r="J11" s="1545"/>
      <c r="K11" s="1545"/>
      <c r="L11" s="1545"/>
      <c r="M11" s="1545"/>
      <c r="N11" s="1545"/>
      <c r="O11" s="1545"/>
      <c r="P11" s="1545"/>
      <c r="Q11" s="1545"/>
      <c r="R11" s="1545"/>
    </row>
    <row r="12" spans="1:19" ht="15" customHeight="1">
      <c r="A12" s="503"/>
      <c r="B12" s="644"/>
      <c r="C12" s="644"/>
      <c r="D12" s="644"/>
      <c r="E12" s="644"/>
      <c r="F12" s="644"/>
      <c r="G12" s="644"/>
      <c r="H12" s="644"/>
      <c r="I12" s="644"/>
      <c r="J12" s="644"/>
      <c r="K12" s="644"/>
      <c r="L12" s="644"/>
      <c r="M12" s="644"/>
      <c r="N12" s="644"/>
      <c r="O12" s="644"/>
      <c r="P12" s="644"/>
      <c r="Q12" s="644"/>
      <c r="R12" s="644"/>
    </row>
    <row r="13" spans="1:19" ht="15" customHeight="1">
      <c r="A13" s="503"/>
      <c r="B13" s="1555" t="s">
        <v>2227</v>
      </c>
      <c r="C13" s="1545"/>
      <c r="D13" s="1545"/>
      <c r="E13" s="1545"/>
      <c r="F13" s="1545"/>
      <c r="G13" s="1545"/>
      <c r="H13" s="1545"/>
      <c r="I13" s="1545"/>
      <c r="J13" s="1545"/>
      <c r="K13" s="1545"/>
      <c r="L13" s="1545"/>
      <c r="M13" s="1545"/>
      <c r="N13" s="1545"/>
      <c r="O13" s="1545"/>
      <c r="P13" s="1545"/>
      <c r="Q13" s="1545"/>
      <c r="R13" s="1545"/>
    </row>
    <row r="14" spans="1:19" ht="15" customHeight="1">
      <c r="A14" s="503"/>
      <c r="B14" s="1545"/>
      <c r="C14" s="1545"/>
      <c r="D14" s="1545"/>
      <c r="E14" s="1545"/>
      <c r="F14" s="1545"/>
      <c r="G14" s="1545"/>
      <c r="H14" s="1545"/>
      <c r="I14" s="1545"/>
      <c r="J14" s="1545"/>
      <c r="K14" s="1545"/>
      <c r="L14" s="1545"/>
      <c r="M14" s="1545"/>
      <c r="N14" s="1545"/>
      <c r="O14" s="1545"/>
      <c r="P14" s="1545"/>
      <c r="Q14" s="1545"/>
      <c r="R14" s="1545"/>
    </row>
    <row r="15" spans="1:19" ht="15" customHeight="1">
      <c r="A15" s="503"/>
      <c r="B15" s="1545"/>
      <c r="C15" s="1545"/>
      <c r="D15" s="1545"/>
      <c r="E15" s="1545"/>
      <c r="F15" s="1545"/>
      <c r="G15" s="1545"/>
      <c r="H15" s="1545"/>
      <c r="I15" s="1545"/>
      <c r="J15" s="1545"/>
      <c r="K15" s="1545"/>
      <c r="L15" s="1545"/>
      <c r="M15" s="1545"/>
      <c r="N15" s="1545"/>
      <c r="O15" s="1545"/>
      <c r="P15" s="1545"/>
      <c r="Q15" s="1545"/>
      <c r="R15" s="1545"/>
    </row>
    <row r="16" spans="1:19" ht="15" customHeight="1">
      <c r="A16" s="503"/>
      <c r="B16" s="1545"/>
      <c r="C16" s="1545"/>
      <c r="D16" s="1545"/>
      <c r="E16" s="1545"/>
      <c r="F16" s="1545"/>
      <c r="G16" s="1545"/>
      <c r="H16" s="1545"/>
      <c r="I16" s="1545"/>
      <c r="J16" s="1545"/>
      <c r="K16" s="1545"/>
      <c r="L16" s="1545"/>
      <c r="M16" s="1545"/>
      <c r="N16" s="1545"/>
      <c r="O16" s="1545"/>
      <c r="P16" s="1545"/>
      <c r="Q16" s="1545"/>
      <c r="R16" s="1545"/>
    </row>
    <row r="17" spans="1:18" ht="15" customHeight="1">
      <c r="A17" s="503"/>
      <c r="B17" s="1545"/>
      <c r="C17" s="1545"/>
      <c r="D17" s="1545"/>
      <c r="E17" s="1545"/>
      <c r="F17" s="1545"/>
      <c r="G17" s="1545"/>
      <c r="H17" s="1545"/>
      <c r="I17" s="1545"/>
      <c r="J17" s="1545"/>
      <c r="K17" s="1545"/>
      <c r="L17" s="1545"/>
      <c r="M17" s="1545"/>
      <c r="N17" s="1545"/>
      <c r="O17" s="1545"/>
      <c r="P17" s="1545"/>
      <c r="Q17" s="1545"/>
      <c r="R17" s="1545"/>
    </row>
    <row r="18" spans="1:18" ht="15" customHeight="1">
      <c r="A18" s="503"/>
      <c r="B18" s="380"/>
      <c r="C18" s="503"/>
      <c r="D18" s="503"/>
      <c r="E18" s="503"/>
      <c r="F18" s="503"/>
      <c r="G18" s="503"/>
      <c r="H18" s="503"/>
      <c r="I18" s="503"/>
      <c r="J18" s="503"/>
      <c r="K18" s="503"/>
      <c r="L18" s="503"/>
      <c r="M18" s="503"/>
      <c r="N18" s="503"/>
      <c r="O18" s="503"/>
      <c r="P18" s="503"/>
      <c r="Q18" s="503"/>
      <c r="R18" s="503"/>
    </row>
    <row r="19" spans="1:18" ht="15" customHeight="1">
      <c r="A19" s="503"/>
      <c r="B19" s="1555" t="s">
        <v>2228</v>
      </c>
      <c r="C19" s="1545"/>
      <c r="D19" s="1545"/>
      <c r="E19" s="1545"/>
      <c r="F19" s="1545"/>
      <c r="G19" s="1545"/>
      <c r="H19" s="1545"/>
      <c r="I19" s="1545"/>
      <c r="J19" s="1545"/>
      <c r="K19" s="1545"/>
      <c r="L19" s="1545"/>
      <c r="M19" s="1545"/>
      <c r="N19" s="1545"/>
      <c r="O19" s="1545"/>
      <c r="P19" s="1545"/>
      <c r="Q19" s="1545"/>
      <c r="R19" s="1545"/>
    </row>
    <row r="20" spans="1:18" ht="15" customHeight="1">
      <c r="A20" s="503"/>
      <c r="B20" s="1545"/>
      <c r="C20" s="1545"/>
      <c r="D20" s="1545"/>
      <c r="E20" s="1545"/>
      <c r="F20" s="1545"/>
      <c r="G20" s="1545"/>
      <c r="H20" s="1545"/>
      <c r="I20" s="1545"/>
      <c r="J20" s="1545"/>
      <c r="K20" s="1545"/>
      <c r="L20" s="1545"/>
      <c r="M20" s="1545"/>
      <c r="N20" s="1545"/>
      <c r="O20" s="1545"/>
      <c r="P20" s="1545"/>
      <c r="Q20" s="1545"/>
      <c r="R20" s="1545"/>
    </row>
    <row r="21" spans="1:18" ht="15" customHeight="1">
      <c r="A21" s="503"/>
      <c r="B21" s="1545"/>
      <c r="C21" s="1545"/>
      <c r="D21" s="1545"/>
      <c r="E21" s="1545"/>
      <c r="F21" s="1545"/>
      <c r="G21" s="1545"/>
      <c r="H21" s="1545"/>
      <c r="I21" s="1545"/>
      <c r="J21" s="1545"/>
      <c r="K21" s="1545"/>
      <c r="L21" s="1545"/>
      <c r="M21" s="1545"/>
      <c r="N21" s="1545"/>
      <c r="O21" s="1545"/>
      <c r="P21" s="1545"/>
      <c r="Q21" s="1545"/>
      <c r="R21" s="1545"/>
    </row>
    <row r="22" spans="1:18" ht="15" customHeight="1">
      <c r="A22" s="503"/>
      <c r="B22" s="644"/>
      <c r="C22" s="644"/>
      <c r="D22" s="644"/>
      <c r="E22" s="644"/>
      <c r="F22" s="644"/>
      <c r="G22" s="644"/>
      <c r="H22" s="644"/>
      <c r="I22" s="644"/>
      <c r="J22" s="644"/>
      <c r="K22" s="644"/>
      <c r="L22" s="644"/>
      <c r="M22" s="644"/>
      <c r="N22" s="644"/>
      <c r="O22" s="644"/>
      <c r="P22" s="644"/>
      <c r="Q22" s="644"/>
      <c r="R22" s="644"/>
    </row>
    <row r="23" spans="1:18" ht="15" customHeight="1">
      <c r="A23" s="503"/>
      <c r="B23" s="1555" t="s">
        <v>2229</v>
      </c>
      <c r="C23" s="1545"/>
      <c r="D23" s="1545"/>
      <c r="E23" s="1545"/>
      <c r="F23" s="1545"/>
      <c r="G23" s="1545"/>
      <c r="H23" s="1545"/>
      <c r="I23" s="1545"/>
      <c r="J23" s="1545"/>
      <c r="K23" s="1545"/>
      <c r="L23" s="1545"/>
      <c r="M23" s="1545"/>
      <c r="N23" s="1545"/>
      <c r="O23" s="1545"/>
      <c r="P23" s="1545"/>
      <c r="Q23" s="1545"/>
      <c r="R23" s="1545"/>
    </row>
    <row r="24" spans="1:18" ht="15" customHeight="1">
      <c r="B24" s="1545"/>
      <c r="C24" s="1545"/>
      <c r="D24" s="1545"/>
      <c r="E24" s="1545"/>
      <c r="F24" s="1545"/>
      <c r="G24" s="1545"/>
      <c r="H24" s="1545"/>
      <c r="I24" s="1545"/>
      <c r="J24" s="1545"/>
      <c r="K24" s="1545"/>
      <c r="L24" s="1545"/>
      <c r="M24" s="1545"/>
      <c r="N24" s="1545"/>
      <c r="O24" s="1545"/>
      <c r="P24" s="1545"/>
      <c r="Q24" s="1545"/>
      <c r="R24" s="1545"/>
    </row>
    <row r="25" spans="1:18" ht="15" customHeight="1">
      <c r="B25" s="644"/>
      <c r="C25" s="644"/>
      <c r="D25" s="644"/>
      <c r="E25" s="644"/>
      <c r="F25" s="644"/>
      <c r="G25" s="644"/>
      <c r="H25" s="644"/>
      <c r="I25" s="644"/>
      <c r="J25" s="644"/>
      <c r="K25" s="644"/>
      <c r="L25" s="644"/>
      <c r="M25" s="644"/>
      <c r="N25" s="644"/>
      <c r="O25" s="644"/>
      <c r="P25" s="644"/>
      <c r="Q25" s="644"/>
      <c r="R25" s="644"/>
    </row>
    <row r="26" spans="1:18" ht="15" customHeight="1">
      <c r="B26" s="1555" t="s">
        <v>2230</v>
      </c>
      <c r="C26" s="1545"/>
      <c r="D26" s="1545"/>
      <c r="E26" s="1545"/>
      <c r="F26" s="1545"/>
      <c r="G26" s="1545"/>
      <c r="H26" s="1545"/>
      <c r="I26" s="1545"/>
      <c r="J26" s="1545"/>
      <c r="K26" s="1545"/>
      <c r="L26" s="1545"/>
      <c r="M26" s="1545"/>
      <c r="N26" s="1545"/>
      <c r="O26" s="1545"/>
      <c r="P26" s="1545"/>
      <c r="Q26" s="1545"/>
      <c r="R26" s="1545"/>
    </row>
    <row r="27" spans="1:18" ht="15" customHeight="1">
      <c r="B27" s="644"/>
      <c r="C27" s="644"/>
      <c r="D27" s="644"/>
      <c r="E27" s="644"/>
      <c r="F27" s="644"/>
      <c r="G27" s="644"/>
      <c r="H27" s="644"/>
      <c r="I27" s="644"/>
      <c r="J27" s="644"/>
      <c r="K27" s="644"/>
      <c r="L27" s="644"/>
      <c r="M27" s="644"/>
      <c r="N27" s="644"/>
      <c r="O27" s="644"/>
      <c r="P27" s="644"/>
      <c r="Q27" s="644"/>
      <c r="R27" s="644"/>
    </row>
    <row r="28" spans="1:18" ht="15" customHeight="1">
      <c r="B28" s="504" t="s">
        <v>2231</v>
      </c>
    </row>
    <row r="29" spans="1:18" ht="15" customHeight="1">
      <c r="B29" s="1570" t="s">
        <v>2232</v>
      </c>
      <c r="C29" s="1038"/>
      <c r="D29" s="1038"/>
      <c r="E29" s="1038"/>
      <c r="F29" s="1038"/>
      <c r="G29" s="1038"/>
      <c r="H29" s="373"/>
      <c r="I29" s="373"/>
      <c r="J29" s="373"/>
      <c r="K29" s="373"/>
      <c r="L29" s="373"/>
      <c r="M29" s="373"/>
      <c r="N29" s="373"/>
      <c r="O29" s="1568" t="s">
        <v>2233</v>
      </c>
    </row>
    <row r="30" spans="1:18" ht="15" customHeight="1">
      <c r="B30" s="1038"/>
      <c r="C30" s="1038"/>
      <c r="D30" s="1038"/>
      <c r="E30" s="1038"/>
      <c r="F30" s="1038"/>
      <c r="G30" s="1038"/>
      <c r="H30" s="373"/>
      <c r="I30" s="373"/>
      <c r="J30" s="373"/>
      <c r="K30" s="373"/>
      <c r="L30" s="373"/>
      <c r="M30" s="373"/>
      <c r="N30" s="373"/>
      <c r="O30" s="1545"/>
    </row>
    <row r="31" spans="1:18" ht="15" customHeight="1">
      <c r="B31" s="1038"/>
      <c r="C31" s="1038"/>
      <c r="D31" s="1038"/>
      <c r="E31" s="1038"/>
      <c r="F31" s="1038"/>
      <c r="G31" s="1038"/>
      <c r="H31" s="373"/>
      <c r="I31" s="373"/>
      <c r="J31" s="373"/>
      <c r="K31" s="373"/>
      <c r="L31" s="373"/>
      <c r="M31" s="373"/>
      <c r="N31" s="373"/>
      <c r="O31" s="1545"/>
    </row>
    <row r="32" spans="1:18" ht="15" customHeight="1">
      <c r="B32" s="1060"/>
      <c r="C32" s="1060"/>
      <c r="D32" s="1060"/>
      <c r="E32" s="1060"/>
      <c r="F32" s="1060"/>
      <c r="G32" s="1060"/>
      <c r="I32" s="1551" t="s">
        <v>2234</v>
      </c>
      <c r="J32" s="1554" t="s">
        <v>2235</v>
      </c>
      <c r="K32" s="1566">
        <v>1</v>
      </c>
      <c r="M32" s="505"/>
      <c r="O32" s="1093"/>
      <c r="P32" s="1554" t="s">
        <v>2236</v>
      </c>
    </row>
    <row r="33" spans="1:21" ht="15" customHeight="1">
      <c r="B33" s="1567" t="s">
        <v>2237</v>
      </c>
      <c r="C33" s="1073"/>
      <c r="D33" s="1073"/>
      <c r="E33" s="1073"/>
      <c r="F33" s="1073"/>
      <c r="G33" s="1073"/>
      <c r="I33" s="1545"/>
      <c r="J33" s="1545"/>
      <c r="K33" s="1545"/>
      <c r="M33" s="506"/>
      <c r="O33" s="1567" t="s">
        <v>2237</v>
      </c>
      <c r="P33" s="1545"/>
    </row>
    <row r="34" spans="1:21" ht="15" customHeight="1">
      <c r="B34" s="1545"/>
      <c r="C34" s="1545"/>
      <c r="D34" s="1545"/>
      <c r="E34" s="1545"/>
      <c r="F34" s="1545"/>
      <c r="G34" s="1545"/>
      <c r="I34" s="643"/>
      <c r="J34" s="642"/>
      <c r="K34" s="523"/>
      <c r="M34" s="506"/>
      <c r="O34" s="1545"/>
      <c r="P34" s="642"/>
    </row>
    <row r="35" spans="1:21" ht="15" customHeight="1">
      <c r="B35" s="507"/>
      <c r="C35" s="507"/>
      <c r="D35" s="507"/>
      <c r="E35" s="507"/>
      <c r="F35" s="507"/>
      <c r="G35" s="507"/>
      <c r="H35" s="392"/>
      <c r="I35" s="508"/>
      <c r="J35" s="509"/>
      <c r="K35" s="510"/>
      <c r="L35" s="392"/>
      <c r="M35" s="505"/>
      <c r="N35" s="392"/>
      <c r="O35" s="507"/>
      <c r="P35" s="509"/>
      <c r="Q35" s="392"/>
      <c r="R35" s="392"/>
    </row>
    <row r="36" spans="1:21" ht="15" customHeight="1">
      <c r="B36" s="535"/>
      <c r="C36" s="535"/>
      <c r="D36" s="535"/>
      <c r="E36" s="535"/>
      <c r="F36" s="535"/>
      <c r="G36" s="535"/>
      <c r="I36" s="643"/>
      <c r="J36" s="642"/>
      <c r="K36" s="523"/>
      <c r="M36" s="506"/>
      <c r="O36" s="535"/>
      <c r="P36" s="642"/>
    </row>
    <row r="37" spans="1:21" ht="15" customHeight="1">
      <c r="A37" s="511"/>
      <c r="B37" s="1559" t="s">
        <v>2238</v>
      </c>
      <c r="C37" s="1545"/>
      <c r="D37" s="1545"/>
      <c r="E37" s="1545"/>
      <c r="F37" s="512"/>
      <c r="G37" s="512"/>
      <c r="H37" s="513"/>
      <c r="I37" s="373"/>
      <c r="J37" s="373"/>
      <c r="L37" s="525"/>
      <c r="M37" s="525"/>
      <c r="N37" s="525"/>
      <c r="O37" s="525"/>
      <c r="P37" s="525"/>
      <c r="Q37" s="525"/>
      <c r="R37" s="525"/>
      <c r="S37" s="525"/>
    </row>
    <row r="38" spans="1:21" ht="15" customHeight="1">
      <c r="B38" s="1543" t="s">
        <v>2239</v>
      </c>
      <c r="C38" s="1093"/>
      <c r="D38" s="1093"/>
      <c r="E38" s="1093"/>
      <c r="F38" s="645"/>
      <c r="G38" s="514">
        <f>D110</f>
        <v>0</v>
      </c>
      <c r="H38" s="381"/>
      <c r="I38" s="515"/>
      <c r="J38" s="381"/>
      <c r="K38" s="1558" t="s">
        <v>2240</v>
      </c>
      <c r="L38" s="1545"/>
      <c r="M38" s="1545"/>
      <c r="N38" s="1545"/>
      <c r="O38" s="1545"/>
      <c r="P38" s="1545"/>
      <c r="Q38" s="1545"/>
      <c r="R38" s="1545"/>
      <c r="S38" s="1545"/>
    </row>
    <row r="39" spans="1:21" ht="15" customHeight="1">
      <c r="B39" s="1565" t="s">
        <v>2241</v>
      </c>
      <c r="C39" s="1063"/>
      <c r="D39" s="1063"/>
      <c r="E39" s="1063"/>
      <c r="F39" s="645"/>
      <c r="G39" s="627"/>
      <c r="H39" s="381"/>
      <c r="I39" s="515"/>
      <c r="J39" s="381"/>
      <c r="K39" s="1545"/>
      <c r="L39" s="1545"/>
      <c r="M39" s="1545"/>
      <c r="N39" s="1545"/>
      <c r="O39" s="1545"/>
      <c r="P39" s="1545"/>
      <c r="Q39" s="1545"/>
      <c r="R39" s="1545"/>
      <c r="S39" s="1545"/>
    </row>
    <row r="40" spans="1:21" ht="15" customHeight="1">
      <c r="B40" s="1565" t="s">
        <v>2242</v>
      </c>
      <c r="C40" s="1063"/>
      <c r="D40" s="1063"/>
      <c r="E40" s="1063"/>
      <c r="F40" s="645"/>
      <c r="G40" s="627"/>
      <c r="H40" s="381"/>
      <c r="I40" s="515"/>
      <c r="J40" s="381"/>
      <c r="K40" s="1545"/>
      <c r="L40" s="1545"/>
      <c r="M40" s="1545"/>
      <c r="N40" s="1545"/>
      <c r="O40" s="1545"/>
      <c r="P40" s="1545"/>
      <c r="Q40" s="1545"/>
      <c r="R40" s="1545"/>
      <c r="S40" s="1545"/>
    </row>
    <row r="41" spans="1:21" ht="15" customHeight="1">
      <c r="B41" s="1569" t="s">
        <v>2243</v>
      </c>
      <c r="C41" s="1073"/>
      <c r="D41" s="1073"/>
      <c r="E41" s="1073"/>
      <c r="F41" s="645"/>
      <c r="G41" s="381"/>
      <c r="H41" s="381"/>
      <c r="I41" s="515"/>
      <c r="J41" s="381"/>
      <c r="K41" s="1573" t="s">
        <v>155</v>
      </c>
      <c r="L41" s="1060"/>
      <c r="M41" s="1060"/>
      <c r="N41" s="1060"/>
      <c r="O41" s="1060"/>
      <c r="P41" s="1060"/>
      <c r="Q41" s="1060"/>
      <c r="R41" s="1060"/>
      <c r="S41" s="1060"/>
    </row>
    <row r="42" spans="1:21" ht="15" customHeight="1">
      <c r="B42" s="629"/>
      <c r="C42" s="629"/>
      <c r="D42" s="623"/>
      <c r="E42" s="647"/>
      <c r="F42" s="645"/>
      <c r="G42" s="381"/>
      <c r="H42" s="381"/>
      <c r="I42" s="515"/>
      <c r="J42" s="381"/>
      <c r="K42" s="1571"/>
      <c r="L42" s="1545"/>
      <c r="M42" s="1545"/>
      <c r="N42" s="1545"/>
      <c r="O42" s="1545"/>
      <c r="Q42" s="1552"/>
      <c r="R42" s="1545"/>
      <c r="U42" s="748" t="s">
        <v>155</v>
      </c>
    </row>
    <row r="43" spans="1:21" ht="15" customHeight="1">
      <c r="B43" s="629"/>
      <c r="C43" s="629"/>
      <c r="D43" s="500"/>
      <c r="E43" s="647"/>
      <c r="F43" s="645"/>
      <c r="G43" s="381"/>
      <c r="H43" s="381"/>
      <c r="I43" s="515"/>
      <c r="J43" s="381"/>
      <c r="L43" s="381"/>
      <c r="M43" s="373"/>
      <c r="N43" s="373"/>
      <c r="O43" s="373"/>
      <c r="Q43" s="516"/>
      <c r="R43" s="516"/>
      <c r="U43" s="748" t="s">
        <v>2244</v>
      </c>
    </row>
    <row r="44" spans="1:21" ht="15" customHeight="1">
      <c r="B44" s="629"/>
      <c r="C44" s="629"/>
      <c r="D44" s="500"/>
      <c r="E44" s="647"/>
      <c r="F44" s="645"/>
      <c r="G44" s="381"/>
      <c r="H44" s="381"/>
      <c r="I44" s="515"/>
      <c r="K44" s="380" t="s">
        <v>2245</v>
      </c>
      <c r="Q44" s="1552"/>
      <c r="R44" s="1545"/>
    </row>
    <row r="45" spans="1:21" ht="15" customHeight="1">
      <c r="B45" s="629"/>
      <c r="C45" s="629"/>
      <c r="D45" s="500"/>
      <c r="E45" s="647"/>
      <c r="F45" s="645"/>
      <c r="G45" s="381"/>
      <c r="H45" s="381"/>
      <c r="I45" s="515"/>
      <c r="K45" s="385" t="s">
        <v>2246</v>
      </c>
      <c r="L45" s="385"/>
      <c r="M45" s="381"/>
      <c r="N45" s="381"/>
      <c r="O45" s="381"/>
      <c r="P45" s="381"/>
    </row>
    <row r="46" spans="1:21" ht="15" customHeight="1">
      <c r="B46" s="629"/>
      <c r="C46" s="629"/>
      <c r="D46" s="500"/>
      <c r="E46" s="647"/>
      <c r="F46" s="645"/>
      <c r="G46" s="381"/>
      <c r="H46" s="381"/>
      <c r="I46" s="515"/>
      <c r="J46" s="381"/>
      <c r="K46" s="1553" t="s">
        <v>2247</v>
      </c>
      <c r="L46" s="1093"/>
      <c r="M46" s="1093"/>
      <c r="N46" s="1093"/>
      <c r="O46" s="1093"/>
      <c r="Q46" s="1547"/>
      <c r="R46" s="1060"/>
    </row>
    <row r="47" spans="1:21" ht="15" customHeight="1">
      <c r="B47" s="629"/>
      <c r="C47" s="629"/>
      <c r="D47" s="500"/>
      <c r="E47" s="647"/>
      <c r="F47" s="645"/>
      <c r="G47" s="381"/>
      <c r="H47" s="381"/>
      <c r="I47" s="515"/>
      <c r="J47" s="381"/>
      <c r="K47" s="1539" t="s">
        <v>2248</v>
      </c>
      <c r="L47" s="973"/>
      <c r="M47" s="973"/>
      <c r="N47" s="973"/>
      <c r="O47" s="973"/>
      <c r="Q47" s="1540"/>
      <c r="R47" s="1063"/>
    </row>
    <row r="48" spans="1:21" ht="15" customHeight="1">
      <c r="B48" s="629"/>
      <c r="C48" s="629"/>
      <c r="D48" s="500"/>
      <c r="E48" s="647"/>
      <c r="F48" s="645"/>
      <c r="G48" s="381"/>
      <c r="H48" s="381"/>
      <c r="I48" s="515"/>
      <c r="J48" s="381"/>
      <c r="K48" s="1563" t="s">
        <v>2249</v>
      </c>
      <c r="L48" s="1093"/>
      <c r="M48" s="1093"/>
      <c r="N48" s="1093"/>
      <c r="O48" s="1093"/>
      <c r="Q48" s="1553">
        <f>Q46+Q47</f>
        <v>0</v>
      </c>
      <c r="R48" s="1093"/>
    </row>
    <row r="49" spans="1:29" ht="15" customHeight="1">
      <c r="B49" s="629"/>
      <c r="C49" s="629"/>
      <c r="D49" s="500"/>
      <c r="E49" s="647"/>
      <c r="F49" s="645"/>
      <c r="G49" s="381"/>
      <c r="H49" s="381"/>
      <c r="I49" s="515"/>
      <c r="J49" s="381"/>
    </row>
    <row r="50" spans="1:29" ht="15" customHeight="1">
      <c r="B50" s="625" t="s">
        <v>2250</v>
      </c>
      <c r="C50" s="625"/>
      <c r="D50" s="628"/>
      <c r="E50" s="626">
        <f>MAX(IF('Sources and Uses Budget'!B15="",0,'Sources and Uses Budget'!B15),IF(Application!AG395="",0,Application!AG395))</f>
        <v>0</v>
      </c>
      <c r="F50" s="645"/>
      <c r="G50" s="381"/>
      <c r="H50" s="381"/>
      <c r="I50" s="515"/>
      <c r="J50" s="381"/>
      <c r="K50" s="385" t="s">
        <v>2251</v>
      </c>
      <c r="Q50" s="1547" t="s">
        <v>2252</v>
      </c>
      <c r="R50" s="1060"/>
    </row>
    <row r="51" spans="1:29" ht="15" customHeight="1">
      <c r="B51" s="624" t="s">
        <v>2253</v>
      </c>
      <c r="C51" s="624"/>
      <c r="D51" s="628"/>
      <c r="E51" s="626"/>
      <c r="F51" s="645"/>
      <c r="G51" s="381"/>
      <c r="H51" s="381"/>
      <c r="I51" s="515"/>
      <c r="J51" s="381"/>
    </row>
    <row r="52" spans="1:29" ht="15" customHeight="1">
      <c r="B52" s="1543" t="s">
        <v>2254</v>
      </c>
      <c r="C52" s="1093"/>
      <c r="D52" s="1093"/>
      <c r="E52" s="1093"/>
      <c r="F52" s="645"/>
      <c r="G52" s="514">
        <f>SUM(E42:E49)-ABS(E50)-ABS(E51)</f>
        <v>0</v>
      </c>
      <c r="H52" s="381"/>
      <c r="I52" s="515"/>
      <c r="J52" s="381"/>
    </row>
    <row r="53" spans="1:29" ht="15" customHeight="1">
      <c r="C53" s="519"/>
      <c r="D53" s="519" t="s">
        <v>701</v>
      </c>
      <c r="E53" s="519"/>
      <c r="F53" s="519"/>
      <c r="G53" s="520">
        <f>SUM(G38:G40)+G52</f>
        <v>0</v>
      </c>
      <c r="H53" s="517"/>
      <c r="I53" s="515"/>
      <c r="J53" s="381"/>
      <c r="K53" s="381"/>
      <c r="L53" s="381"/>
    </row>
    <row r="54" spans="1:29" ht="15" customHeight="1">
      <c r="B54" s="521"/>
      <c r="C54" s="521"/>
      <c r="D54" s="521"/>
      <c r="E54" s="521"/>
      <c r="F54" s="521"/>
      <c r="G54" s="521"/>
      <c r="H54" s="392"/>
      <c r="I54" s="518"/>
      <c r="J54" s="518"/>
      <c r="K54" s="518"/>
      <c r="L54" s="518"/>
      <c r="M54" s="518"/>
      <c r="N54" s="518"/>
      <c r="O54" s="392"/>
      <c r="P54" s="392"/>
      <c r="Q54" s="392"/>
      <c r="R54" s="392"/>
    </row>
    <row r="55" spans="1:29" ht="15" customHeight="1">
      <c r="B55" s="645"/>
      <c r="C55" s="645"/>
      <c r="D55" s="645"/>
      <c r="E55" s="645"/>
      <c r="F55" s="645"/>
      <c r="G55" s="645"/>
      <c r="H55" s="645"/>
      <c r="I55" s="645"/>
      <c r="J55" s="645"/>
      <c r="K55" s="645"/>
      <c r="L55" s="645"/>
      <c r="M55" s="645"/>
      <c r="N55" s="645"/>
      <c r="O55" s="645"/>
      <c r="P55" s="645"/>
      <c r="U55" s="748" t="s">
        <v>155</v>
      </c>
      <c r="AC55" s="748" t="s">
        <v>2011</v>
      </c>
    </row>
    <row r="56" spans="1:29" ht="15" customHeight="1">
      <c r="B56" s="1550" t="s">
        <v>2255</v>
      </c>
      <c r="C56" s="1545"/>
      <c r="D56" s="645"/>
      <c r="E56" s="645"/>
      <c r="F56" s="645"/>
      <c r="G56" s="645"/>
      <c r="H56" s="645"/>
      <c r="I56" s="645"/>
      <c r="J56" s="645"/>
      <c r="K56" s="645"/>
      <c r="L56" s="645"/>
      <c r="M56" s="645"/>
      <c r="N56" s="645"/>
      <c r="O56" s="645"/>
      <c r="P56" s="645"/>
      <c r="U56" s="943" t="s">
        <v>2256</v>
      </c>
      <c r="AC56" s="944">
        <v>0.2</v>
      </c>
    </row>
    <row r="57" spans="1:29" ht="15" customHeight="1">
      <c r="A57" s="517"/>
      <c r="B57" s="1556" t="s">
        <v>2257</v>
      </c>
      <c r="C57" s="1545"/>
      <c r="D57" s="1545"/>
      <c r="E57" s="1545"/>
      <c r="F57" s="1545"/>
      <c r="G57" s="1545"/>
      <c r="H57" s="1545"/>
      <c r="I57" s="1545"/>
      <c r="J57" s="1545"/>
      <c r="K57" s="1545"/>
      <c r="L57" s="1545"/>
      <c r="M57" s="1545"/>
      <c r="N57" s="1545"/>
      <c r="O57" s="1545"/>
      <c r="P57" s="645"/>
      <c r="U57" s="943" t="s">
        <v>2258</v>
      </c>
      <c r="AC57" s="944">
        <v>0.1</v>
      </c>
    </row>
    <row r="58" spans="1:29" ht="15" customHeight="1">
      <c r="B58" s="1559" t="s">
        <v>2259</v>
      </c>
      <c r="C58" s="1545"/>
      <c r="D58" s="1545"/>
      <c r="E58" s="1545"/>
      <c r="F58" s="522"/>
      <c r="G58" s="522"/>
      <c r="H58" s="512"/>
      <c r="I58" s="512"/>
      <c r="J58" s="1546">
        <f>('Sources and Uses Budget'!D104+Q47)/('Sources and Uses Budget'!B104+Q48)</f>
        <v>0</v>
      </c>
      <c r="K58" s="973"/>
      <c r="L58" s="973"/>
      <c r="M58" s="973"/>
      <c r="N58" s="974"/>
      <c r="O58" s="512"/>
      <c r="P58" s="512"/>
      <c r="U58" s="943" t="s">
        <v>2260</v>
      </c>
      <c r="AC58" s="944">
        <v>0.1</v>
      </c>
    </row>
    <row r="59" spans="1:29" ht="15" customHeight="1">
      <c r="B59" s="1555" t="s">
        <v>2261</v>
      </c>
      <c r="C59" s="1545"/>
      <c r="D59" s="1545"/>
      <c r="E59" s="1545"/>
      <c r="F59" s="1545"/>
      <c r="G59" s="1545"/>
      <c r="H59" s="1545"/>
      <c r="I59" s="1545"/>
      <c r="J59" s="1545"/>
      <c r="K59" s="1545"/>
      <c r="L59" s="1545"/>
      <c r="M59" s="1545"/>
      <c r="N59" s="1545"/>
      <c r="O59" s="1545"/>
      <c r="P59" s="512"/>
      <c r="U59" s="943" t="s">
        <v>2262</v>
      </c>
      <c r="AC59" s="944">
        <v>0.05</v>
      </c>
    </row>
    <row r="60" spans="1:29" ht="15" customHeight="1">
      <c r="B60" s="1545"/>
      <c r="C60" s="1545"/>
      <c r="D60" s="1545"/>
      <c r="E60" s="1545"/>
      <c r="F60" s="1545"/>
      <c r="G60" s="1545"/>
      <c r="H60" s="1545"/>
      <c r="I60" s="1545"/>
      <c r="J60" s="1545"/>
      <c r="K60" s="1545"/>
      <c r="L60" s="1545"/>
      <c r="M60" s="1545"/>
      <c r="N60" s="1545"/>
      <c r="O60" s="1545"/>
      <c r="P60" s="512"/>
      <c r="AC60" s="945"/>
    </row>
    <row r="61" spans="1:29" ht="15" customHeight="1">
      <c r="B61" s="1556"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545"/>
      <c r="D61" s="1545"/>
      <c r="E61" s="1545"/>
      <c r="F61" s="1545"/>
      <c r="G61" s="1545"/>
      <c r="H61" s="1545"/>
      <c r="I61" s="1545"/>
      <c r="J61" s="1545"/>
      <c r="K61" s="1545"/>
      <c r="L61" s="1545"/>
      <c r="M61" s="1545"/>
      <c r="N61" s="1545"/>
      <c r="O61" s="1545"/>
      <c r="P61" s="512"/>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1"/>
      <c r="J63" s="1544" t="s">
        <v>2263</v>
      </c>
      <c r="K63" s="1073"/>
      <c r="L63" s="1073"/>
      <c r="M63" s="1073"/>
      <c r="N63" s="1073"/>
      <c r="O63" s="1073"/>
      <c r="P63" s="1073"/>
      <c r="Q63" s="1073"/>
      <c r="R63" s="1073"/>
    </row>
    <row r="64" spans="1:29" ht="15" customHeight="1" thickBot="1">
      <c r="B64" s="1550" t="s">
        <v>2264</v>
      </c>
      <c r="C64" s="1545"/>
      <c r="D64" s="373"/>
      <c r="F64" s="373"/>
      <c r="G64" s="519" t="s">
        <v>2265</v>
      </c>
      <c r="H64" s="373"/>
      <c r="I64" s="752"/>
      <c r="J64" s="1499"/>
      <c r="K64" s="1545"/>
      <c r="L64" s="1545"/>
      <c r="M64" s="1545"/>
      <c r="N64" s="1545"/>
      <c r="O64" s="1545"/>
      <c r="P64" s="1545"/>
      <c r="Q64" s="1545"/>
      <c r="R64" s="1545"/>
      <c r="U64" s="942">
        <f>IF(K41="Rural project in a county where no tax credit applications have been received within 5 years",AC59,0)</f>
        <v>0</v>
      </c>
    </row>
    <row r="65" spans="1:22" ht="15" customHeight="1" thickBot="1">
      <c r="B65" s="523" t="s">
        <v>2266</v>
      </c>
      <c r="C65" s="508" t="str">
        <f>IF(OR(Application!M357="Yes",Application!M358="Yes"),"Yes","No")</f>
        <v>Yes</v>
      </c>
      <c r="E65" s="782"/>
      <c r="F65" s="782"/>
      <c r="G65" s="519" t="s">
        <v>2267</v>
      </c>
      <c r="H65" s="373"/>
      <c r="I65" s="752"/>
      <c r="J65" s="1499"/>
      <c r="K65" s="1545"/>
      <c r="L65" s="1545"/>
      <c r="M65" s="1545"/>
      <c r="N65" s="1545"/>
      <c r="O65" s="1545"/>
      <c r="P65" s="1545"/>
      <c r="Q65" s="1545"/>
      <c r="R65" s="1545"/>
      <c r="U65" s="942">
        <f>IF(J67="Non-rural project, Census Tract is Highest Resource (20 percentage points)",AC56,0)</f>
        <v>0</v>
      </c>
    </row>
    <row r="66" spans="1:22" ht="15" customHeight="1" thickBot="1">
      <c r="B66" s="524" t="s">
        <v>2268</v>
      </c>
      <c r="C66" s="633">
        <f>Application!AG438-Application!AG439</f>
        <v>39</v>
      </c>
      <c r="D66" s="782"/>
      <c r="E66" s="524" t="s">
        <v>2269</v>
      </c>
      <c r="F66" s="782"/>
      <c r="G66" s="650"/>
      <c r="H66" s="525"/>
      <c r="I66" s="753"/>
      <c r="J66" s="1499"/>
      <c r="K66" s="1545"/>
      <c r="L66" s="1545"/>
      <c r="M66" s="1545"/>
      <c r="N66" s="1545"/>
      <c r="O66" s="1545"/>
      <c r="P66" s="1545"/>
      <c r="Q66" s="1545"/>
      <c r="R66" s="1545"/>
      <c r="U66" s="942">
        <f>IF(J67="Non-rural project, Census Tract is High Resource (10 percentage points)",AC57,0)</f>
        <v>0</v>
      </c>
    </row>
    <row r="67" spans="1:22" ht="15" customHeight="1" thickBot="1">
      <c r="B67" s="524" t="s">
        <v>2270</v>
      </c>
      <c r="C67" s="634">
        <f>MIN(IF(AND(C65="Yes",G67&gt;=50),(0.75+(G67/200)),1),1.5)</f>
        <v>1</v>
      </c>
      <c r="D67" s="525"/>
      <c r="E67" s="524" t="s">
        <v>2271</v>
      </c>
      <c r="G67" s="633">
        <f>C66+G66</f>
        <v>39</v>
      </c>
      <c r="H67" s="525"/>
      <c r="I67" s="753"/>
      <c r="J67" s="1562" t="s">
        <v>155</v>
      </c>
      <c r="K67" s="1060"/>
      <c r="L67" s="1060"/>
      <c r="M67" s="1060"/>
      <c r="N67" s="1060"/>
      <c r="O67" s="1060"/>
      <c r="P67" s="1060"/>
      <c r="Q67" s="1060"/>
      <c r="R67" s="1060"/>
      <c r="U67" s="942">
        <f>IF(J67="Rural project, Census Tract is Highest Resource (10 percentage points)",AC58,0)</f>
        <v>0</v>
      </c>
    </row>
    <row r="68" spans="1:22" ht="15" customHeight="1" thickBot="1">
      <c r="B68" s="392"/>
      <c r="C68" s="392"/>
      <c r="D68" s="392"/>
      <c r="E68" s="392"/>
      <c r="F68" s="392"/>
      <c r="G68" s="392"/>
      <c r="H68" s="392"/>
      <c r="I68" s="754"/>
      <c r="J68" s="392"/>
      <c r="K68" s="392"/>
      <c r="L68" s="392"/>
      <c r="M68" s="392"/>
      <c r="N68" s="392"/>
      <c r="O68" s="392"/>
      <c r="P68" s="392"/>
      <c r="Q68" s="392"/>
      <c r="R68" s="392"/>
      <c r="U68" s="942">
        <f>IF(J67="Rural project, Census Tract is High Resource (5 percentage points)",AC59,0)</f>
        <v>0</v>
      </c>
    </row>
    <row r="69" spans="1:22" ht="15" customHeight="1">
      <c r="U69" s="1541">
        <f>SUM(U62:U68)</f>
        <v>0</v>
      </c>
    </row>
    <row r="70" spans="1:22" ht="15" customHeight="1" thickBot="1">
      <c r="B70" s="504" t="s">
        <v>2272</v>
      </c>
      <c r="C70" s="504"/>
      <c r="D70" s="504"/>
      <c r="E70" s="504"/>
      <c r="F70" s="504"/>
      <c r="G70" s="504"/>
      <c r="U70" s="1542"/>
      <c r="V70" s="370" t="s">
        <v>2273</v>
      </c>
    </row>
    <row r="71" spans="1:22" ht="15" customHeight="1">
      <c r="B71" s="1543" t="s">
        <v>2274</v>
      </c>
      <c r="C71" s="1093"/>
      <c r="D71" s="1093"/>
      <c r="E71" s="504"/>
      <c r="F71" s="504"/>
      <c r="G71" s="514">
        <f>G53*(1-J58)</f>
        <v>0</v>
      </c>
      <c r="J71" s="526"/>
      <c r="K71" s="681" t="s">
        <v>2233</v>
      </c>
      <c r="L71" s="681"/>
      <c r="M71" s="681"/>
      <c r="N71" s="681"/>
      <c r="O71" s="681"/>
      <c r="Q71" s="1553">
        <f>'Basis &amp; Credits'!T23+'Basis &amp; Credits'!Y23+'Basis &amp; Credits'!AD23+'Basis &amp; Credits'!AI23</f>
        <v>21367521</v>
      </c>
      <c r="R71" s="1093"/>
    </row>
    <row r="72" spans="1:22" ht="15" customHeight="1">
      <c r="B72" s="1564" t="s">
        <v>2275</v>
      </c>
      <c r="C72" s="973"/>
      <c r="D72" s="973"/>
      <c r="E72" s="504"/>
      <c r="F72" s="504"/>
      <c r="G72" s="514">
        <f>G71*C67</f>
        <v>0</v>
      </c>
      <c r="J72" s="526"/>
      <c r="K72" s="645"/>
      <c r="L72" s="645"/>
      <c r="M72" s="645"/>
      <c r="N72" s="645"/>
      <c r="O72" s="645"/>
      <c r="Q72" s="1552"/>
      <c r="R72" s="1545"/>
    </row>
    <row r="73" spans="1:22" ht="15" customHeight="1">
      <c r="B73" s="630"/>
      <c r="C73" s="631"/>
      <c r="D73" s="520"/>
      <c r="E73" s="504"/>
      <c r="F73" s="504"/>
      <c r="G73" s="381"/>
      <c r="J73" s="526"/>
    </row>
    <row r="74" spans="1:22" ht="15" customHeight="1" thickBot="1">
      <c r="B74" s="504"/>
      <c r="C74" s="504"/>
      <c r="D74" s="504"/>
      <c r="E74" s="504"/>
      <c r="F74" s="504"/>
      <c r="G74" s="504"/>
    </row>
    <row r="75" spans="1:22" ht="15" customHeight="1">
      <c r="A75" s="517"/>
      <c r="B75" s="1549">
        <f>$G$72</f>
        <v>0</v>
      </c>
      <c r="C75" s="1093"/>
      <c r="D75" s="1093"/>
      <c r="E75" s="1093"/>
      <c r="F75" s="1093"/>
      <c r="G75" s="1093"/>
      <c r="H75" s="527"/>
      <c r="I75" s="1551" t="s">
        <v>2234</v>
      </c>
      <c r="J75" s="1554" t="s">
        <v>2235</v>
      </c>
      <c r="K75" s="1551">
        <v>1</v>
      </c>
      <c r="M75" s="392"/>
      <c r="N75" s="506"/>
      <c r="O75" s="652">
        <f>$Q$71</f>
        <v>21367521</v>
      </c>
      <c r="P75" s="1554" t="s">
        <v>2236</v>
      </c>
      <c r="Q75" s="1548" t="s">
        <v>2276</v>
      </c>
      <c r="R75" s="1557">
        <f>((B75/B76)+((1-(O75/O76))/2))+U69</f>
        <v>0.14486238241786059</v>
      </c>
    </row>
    <row r="76" spans="1:22" ht="15" customHeight="1" thickBot="1">
      <c r="B76" s="1560">
        <f>'Sources and Uses Budget'!$C$104+$Q$46-($E$50+$E$51)*(1-$J$58)</f>
        <v>30083438</v>
      </c>
      <c r="C76" s="1073"/>
      <c r="D76" s="1073"/>
      <c r="E76" s="1073"/>
      <c r="F76" s="1073"/>
      <c r="G76" s="1073"/>
      <c r="I76" s="1545"/>
      <c r="J76" s="1545"/>
      <c r="K76" s="1545"/>
      <c r="M76" s="643"/>
      <c r="O76" s="651">
        <f>B76</f>
        <v>30083438</v>
      </c>
      <c r="P76" s="1545"/>
      <c r="Q76" s="1545"/>
      <c r="R76" s="154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0" t="s">
        <v>2277</v>
      </c>
      <c r="C79" s="373"/>
      <c r="D79" s="373"/>
      <c r="E79" s="373"/>
      <c r="F79" s="373"/>
      <c r="G79" s="373"/>
      <c r="H79" s="373"/>
      <c r="I79" s="373"/>
      <c r="J79" s="373"/>
      <c r="K79" s="373"/>
      <c r="L79" s="373"/>
      <c r="M79" s="373"/>
      <c r="N79" s="373"/>
      <c r="O79" s="373"/>
      <c r="P79" s="373"/>
      <c r="Q79" s="373"/>
      <c r="R79" s="373"/>
    </row>
    <row r="80" spans="1:22" ht="15" customHeight="1">
      <c r="C80" s="680"/>
      <c r="D80" s="680"/>
      <c r="E80" s="680"/>
      <c r="F80" s="680"/>
      <c r="G80" s="680"/>
      <c r="H80" s="680"/>
      <c r="I80" s="680"/>
      <c r="J80" s="680"/>
      <c r="K80" s="680"/>
      <c r="L80" s="680"/>
      <c r="M80" s="680"/>
      <c r="N80" s="680"/>
      <c r="O80" s="680"/>
    </row>
    <row r="81" spans="2:18" ht="15" customHeight="1">
      <c r="B81" s="380" t="s">
        <v>2278</v>
      </c>
      <c r="C81" s="646"/>
      <c r="D81" s="646"/>
      <c r="E81" s="646"/>
      <c r="F81" s="646"/>
      <c r="H81" s="646"/>
      <c r="I81" s="515"/>
      <c r="J81" s="646"/>
      <c r="K81" s="380" t="s">
        <v>2279</v>
      </c>
      <c r="L81" s="646"/>
      <c r="M81" s="646"/>
      <c r="N81" s="646"/>
      <c r="O81" s="646"/>
    </row>
    <row r="82" spans="2:18" ht="15" customHeight="1">
      <c r="B82" s="768" t="s">
        <v>2280</v>
      </c>
      <c r="C82" s="760"/>
      <c r="D82" s="755"/>
      <c r="E82" s="760"/>
      <c r="F82" s="760"/>
      <c r="G82" s="761"/>
      <c r="I82" s="515"/>
    </row>
    <row r="83" spans="2:18" ht="15" customHeight="1">
      <c r="B83" s="766" t="s">
        <v>2281</v>
      </c>
      <c r="C83" s="760"/>
      <c r="D83" s="760"/>
      <c r="E83" s="758"/>
      <c r="F83" s="758"/>
      <c r="G83" s="761"/>
      <c r="I83" s="515"/>
      <c r="K83" s="749" t="s">
        <v>2282</v>
      </c>
    </row>
    <row r="84" spans="2:18" ht="15" customHeight="1">
      <c r="B84" s="767" t="s">
        <v>2283</v>
      </c>
      <c r="C84" s="762"/>
      <c r="D84" s="762"/>
      <c r="E84" s="756"/>
      <c r="F84" s="756"/>
      <c r="G84" s="763"/>
      <c r="I84" s="515"/>
      <c r="K84" s="749" t="s">
        <v>2284</v>
      </c>
      <c r="L84" s="646"/>
      <c r="M84" s="646"/>
      <c r="N84" s="646"/>
      <c r="O84" s="646"/>
      <c r="P84" s="646"/>
      <c r="Q84" s="1547"/>
      <c r="R84" s="1060"/>
    </row>
    <row r="85" spans="2:18" ht="15" customHeight="1">
      <c r="B85" s="767" t="s">
        <v>2285</v>
      </c>
      <c r="C85" s="764"/>
      <c r="D85" s="764"/>
      <c r="E85" s="759"/>
      <c r="F85" s="759"/>
      <c r="G85" s="765"/>
      <c r="I85" s="515"/>
      <c r="L85" s="678"/>
      <c r="M85" s="678"/>
      <c r="N85" s="678"/>
      <c r="O85" s="678"/>
      <c r="P85" s="678"/>
    </row>
    <row r="86" spans="2:18" ht="15" customHeight="1">
      <c r="B86" s="768" t="s">
        <v>2286</v>
      </c>
      <c r="C86" s="762"/>
      <c r="D86" s="762"/>
      <c r="E86" s="756"/>
      <c r="F86" s="756"/>
      <c r="G86" s="757"/>
      <c r="I86" s="515"/>
      <c r="L86" s="679"/>
      <c r="M86" s="679"/>
      <c r="N86" s="679"/>
      <c r="O86" s="783" t="s">
        <v>1578</v>
      </c>
      <c r="P86" s="679"/>
    </row>
    <row r="87" spans="2:18" ht="15" customHeight="1">
      <c r="B87" s="768" t="s">
        <v>2287</v>
      </c>
      <c r="C87" s="764"/>
      <c r="D87" s="755"/>
      <c r="E87" s="760"/>
      <c r="F87" s="760"/>
      <c r="G87" s="786"/>
      <c r="I87" s="515"/>
    </row>
    <row r="88" spans="2:18" ht="15" customHeight="1">
      <c r="B88" s="784"/>
      <c r="C88" s="760"/>
      <c r="D88" s="760"/>
      <c r="E88" s="785" t="s">
        <v>2288</v>
      </c>
      <c r="F88" s="758"/>
      <c r="G88" s="758" t="s">
        <v>2289</v>
      </c>
      <c r="I88" s="515"/>
      <c r="K88" s="750" t="s">
        <v>2290</v>
      </c>
      <c r="L88" s="646"/>
      <c r="M88" s="646"/>
      <c r="N88" s="646"/>
      <c r="O88" s="646"/>
      <c r="P88" s="646"/>
    </row>
    <row r="89" spans="2:18" ht="15" customHeight="1">
      <c r="B89" s="528" t="s">
        <v>2213</v>
      </c>
      <c r="C89" s="529" t="s">
        <v>2291</v>
      </c>
      <c r="D89" s="769" t="s">
        <v>2292</v>
      </c>
      <c r="E89" s="769" t="s">
        <v>2293</v>
      </c>
      <c r="F89" s="507"/>
      <c r="G89" s="507" t="s">
        <v>2294</v>
      </c>
      <c r="I89" s="515"/>
      <c r="K89" s="750" t="s">
        <v>2295</v>
      </c>
      <c r="L89" s="678"/>
      <c r="M89" s="678"/>
      <c r="N89" s="678"/>
      <c r="O89" s="678"/>
      <c r="P89" s="678"/>
      <c r="Q89" s="1547"/>
      <c r="R89" s="1060"/>
    </row>
    <row r="90" spans="2:18" ht="15" customHeight="1">
      <c r="B90" s="494" t="s">
        <v>168</v>
      </c>
      <c r="C90" s="495"/>
      <c r="D90" s="496"/>
      <c r="E90" s="496"/>
      <c r="F90" s="536"/>
      <c r="G90" s="381">
        <f t="shared" ref="G90:G97" si="0">MAX(($E90-$D90)*$C90*12,0)</f>
        <v>0</v>
      </c>
      <c r="I90" s="515"/>
      <c r="K90" s="750" t="s">
        <v>2296</v>
      </c>
      <c r="L90" s="678"/>
      <c r="M90" s="678"/>
      <c r="N90" s="678"/>
      <c r="O90" s="678"/>
      <c r="P90" s="678"/>
      <c r="Q90" s="1561"/>
      <c r="R90" s="1063"/>
    </row>
    <row r="91" spans="2:18" ht="15" customHeight="1">
      <c r="B91" s="494" t="s">
        <v>168</v>
      </c>
      <c r="C91" s="495"/>
      <c r="D91" s="496"/>
      <c r="E91" s="496"/>
      <c r="F91" s="536"/>
      <c r="G91" s="381">
        <f t="shared" si="0"/>
        <v>0</v>
      </c>
      <c r="I91" s="515"/>
      <c r="K91" s="750" t="s">
        <v>2297</v>
      </c>
      <c r="L91" s="678"/>
      <c r="M91" s="678"/>
      <c r="N91" s="678"/>
      <c r="O91" s="678"/>
      <c r="P91" s="678"/>
      <c r="Q91" s="1539">
        <f>IFERROR(Q89/Q90,0)</f>
        <v>0</v>
      </c>
      <c r="R91" s="973"/>
    </row>
    <row r="92" spans="2:18" ht="15" customHeight="1">
      <c r="B92" s="494" t="s">
        <v>168</v>
      </c>
      <c r="C92" s="495"/>
      <c r="D92" s="496"/>
      <c r="E92" s="496"/>
      <c r="F92" s="536"/>
      <c r="G92" s="381">
        <f t="shared" si="0"/>
        <v>0</v>
      </c>
      <c r="I92" s="515"/>
    </row>
    <row r="93" spans="2:18" ht="15" customHeight="1">
      <c r="B93" s="494" t="s">
        <v>168</v>
      </c>
      <c r="C93" s="495"/>
      <c r="D93" s="496"/>
      <c r="E93" s="496"/>
      <c r="F93" s="536"/>
      <c r="G93" s="381">
        <f t="shared" si="0"/>
        <v>0</v>
      </c>
      <c r="I93" s="515"/>
      <c r="K93" s="373" t="s">
        <v>2298</v>
      </c>
      <c r="L93" s="524"/>
      <c r="M93" s="524"/>
      <c r="N93" s="524"/>
      <c r="O93" s="524"/>
      <c r="P93" s="524"/>
      <c r="Q93" s="1553">
        <f>MAX(Q84,Q91)</f>
        <v>0</v>
      </c>
      <c r="R93" s="1093"/>
    </row>
    <row r="94" spans="2:18" ht="15" customHeight="1">
      <c r="B94" s="494" t="s">
        <v>168</v>
      </c>
      <c r="C94" s="495"/>
      <c r="D94" s="496"/>
      <c r="E94" s="496"/>
      <c r="F94" s="536"/>
      <c r="G94" s="381">
        <f t="shared" si="0"/>
        <v>0</v>
      </c>
      <c r="I94" s="515"/>
      <c r="K94" s="373"/>
      <c r="L94" s="524"/>
      <c r="M94" s="524"/>
      <c r="N94" s="524"/>
      <c r="O94" s="524"/>
      <c r="P94" s="524"/>
      <c r="Q94" s="516"/>
      <c r="R94" s="516"/>
    </row>
    <row r="95" spans="2:18" ht="15" customHeight="1">
      <c r="B95" s="494" t="s">
        <v>168</v>
      </c>
      <c r="C95" s="495"/>
      <c r="D95" s="496"/>
      <c r="E95" s="496"/>
      <c r="F95" s="536"/>
      <c r="G95" s="381">
        <f t="shared" si="0"/>
        <v>0</v>
      </c>
      <c r="I95" s="515"/>
      <c r="K95" s="373"/>
      <c r="L95" s="524"/>
      <c r="M95" s="524"/>
      <c r="N95" s="524"/>
      <c r="O95" s="524"/>
      <c r="P95" s="524"/>
      <c r="Q95" s="516"/>
      <c r="R95" s="516"/>
    </row>
    <row r="96" spans="2:18" ht="15" customHeight="1">
      <c r="B96" s="494" t="s">
        <v>168</v>
      </c>
      <c r="C96" s="495"/>
      <c r="D96" s="496"/>
      <c r="E96" s="496"/>
      <c r="F96" s="536"/>
      <c r="G96" s="381">
        <f t="shared" si="0"/>
        <v>0</v>
      </c>
      <c r="I96" s="515"/>
    </row>
    <row r="97" spans="2:9" ht="15" customHeight="1">
      <c r="B97" s="494" t="s">
        <v>168</v>
      </c>
      <c r="C97" s="495"/>
      <c r="D97" s="496"/>
      <c r="E97" s="496"/>
      <c r="F97" s="536"/>
      <c r="G97" s="381">
        <f t="shared" si="0"/>
        <v>0</v>
      </c>
      <c r="I97" s="515"/>
    </row>
    <row r="98" spans="2:9" ht="15" customHeight="1">
      <c r="C98" s="531"/>
      <c r="D98" s="373"/>
      <c r="E98" s="524" t="s">
        <v>2299</v>
      </c>
      <c r="F98" s="524"/>
      <c r="G98" s="520">
        <f>SUM(G90:G97)</f>
        <v>0</v>
      </c>
      <c r="I98" s="515"/>
    </row>
    <row r="99" spans="2:9" ht="15" customHeight="1">
      <c r="I99" s="515"/>
    </row>
    <row r="100" spans="2:9" ht="15" customHeight="1">
      <c r="B100" s="373" t="s">
        <v>2300</v>
      </c>
      <c r="D100" s="516">
        <f>G98+Q93</f>
        <v>0</v>
      </c>
      <c r="I100" s="515"/>
    </row>
    <row r="101" spans="2:9" ht="15" customHeight="1">
      <c r="B101" s="373" t="s">
        <v>2301</v>
      </c>
      <c r="D101" s="532">
        <v>0.05</v>
      </c>
      <c r="I101" s="515"/>
    </row>
    <row r="102" spans="2:9" ht="15" customHeight="1">
      <c r="B102" s="373" t="s">
        <v>2302</v>
      </c>
      <c r="D102" s="516">
        <f>D100-(D100*D101)</f>
        <v>0</v>
      </c>
    </row>
    <row r="103" spans="2:9" ht="15" customHeight="1">
      <c r="B103" s="373" t="s">
        <v>2303</v>
      </c>
      <c r="D103" s="533"/>
    </row>
    <row r="104" spans="2:9" ht="15" customHeight="1">
      <c r="B104" s="373" t="s">
        <v>2304</v>
      </c>
      <c r="D104" s="516">
        <f>D102/D108</f>
        <v>0</v>
      </c>
    </row>
    <row r="105" spans="2:9" ht="15" customHeight="1"/>
    <row r="106" spans="2:9" ht="15" customHeight="1">
      <c r="B106" s="373" t="s">
        <v>2305</v>
      </c>
      <c r="D106" s="373">
        <v>15</v>
      </c>
    </row>
    <row r="107" spans="2:9" ht="15" customHeight="1">
      <c r="B107" s="373" t="s">
        <v>2306</v>
      </c>
      <c r="D107" s="638">
        <v>0.04</v>
      </c>
    </row>
    <row r="108" spans="2:9" ht="15" customHeight="1">
      <c r="B108" s="373" t="s">
        <v>2307</v>
      </c>
      <c r="D108" s="534">
        <v>1.1499999999999999</v>
      </c>
    </row>
    <row r="109" spans="2:9" ht="15" customHeight="1">
      <c r="B109" s="373"/>
      <c r="C109" s="373"/>
      <c r="D109" s="535"/>
      <c r="E109" s="535"/>
      <c r="F109" s="535"/>
    </row>
    <row r="110" spans="2:9" ht="15" customHeight="1">
      <c r="B110" s="373" t="s">
        <v>2308</v>
      </c>
      <c r="C110" s="373"/>
      <c r="D110" s="632">
        <f>PV(D107/12,D106*12,-D104/12, ,0)</f>
        <v>0</v>
      </c>
      <c r="E110" s="373"/>
      <c r="F110" s="373"/>
      <c r="G110" s="530"/>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4:R6"/>
    <mergeCell ref="A1:S2"/>
    <mergeCell ref="K41:S41"/>
    <mergeCell ref="B10:R11"/>
    <mergeCell ref="B19:R21"/>
    <mergeCell ref="B26:R26"/>
    <mergeCell ref="Q44:R44"/>
    <mergeCell ref="B59:O60"/>
    <mergeCell ref="K46:O46"/>
    <mergeCell ref="I32:I33"/>
    <mergeCell ref="B40:E40"/>
    <mergeCell ref="K32:K33"/>
    <mergeCell ref="B33:G34"/>
    <mergeCell ref="O29:O32"/>
    <mergeCell ref="B41:E41"/>
    <mergeCell ref="K47:O47"/>
    <mergeCell ref="B29:G32"/>
    <mergeCell ref="B37:E37"/>
    <mergeCell ref="K42:O42"/>
    <mergeCell ref="B39:E39"/>
    <mergeCell ref="O33:O34"/>
    <mergeCell ref="Q72:R72"/>
    <mergeCell ref="Q50:R50"/>
    <mergeCell ref="B61:O61"/>
    <mergeCell ref="J67:R67"/>
    <mergeCell ref="K48:O48"/>
    <mergeCell ref="B72:D72"/>
    <mergeCell ref="Q48:R48"/>
    <mergeCell ref="B64:C64"/>
    <mergeCell ref="Q93:R93"/>
    <mergeCell ref="J32:J33"/>
    <mergeCell ref="B8:R8"/>
    <mergeCell ref="B57:O57"/>
    <mergeCell ref="P75:P76"/>
    <mergeCell ref="R75:R76"/>
    <mergeCell ref="J75:J76"/>
    <mergeCell ref="K38:S40"/>
    <mergeCell ref="B58:E58"/>
    <mergeCell ref="B76:G76"/>
    <mergeCell ref="Q90:R90"/>
    <mergeCell ref="B52:E52"/>
    <mergeCell ref="P32:P33"/>
    <mergeCell ref="Q46:R46"/>
    <mergeCell ref="B13:R17"/>
    <mergeCell ref="B23:R24"/>
    <mergeCell ref="Q91:R91"/>
    <mergeCell ref="Q47:R47"/>
    <mergeCell ref="U69:U70"/>
    <mergeCell ref="B71:D71"/>
    <mergeCell ref="B38:E38"/>
    <mergeCell ref="J63:R66"/>
    <mergeCell ref="J58:N58"/>
    <mergeCell ref="Q84:R84"/>
    <mergeCell ref="Q89:R89"/>
    <mergeCell ref="Q75:Q76"/>
    <mergeCell ref="B75:G75"/>
    <mergeCell ref="B56:C56"/>
    <mergeCell ref="I75:I76"/>
    <mergeCell ref="K75:K76"/>
    <mergeCell ref="Q42:R42"/>
    <mergeCell ref="Q71:R71"/>
  </mergeCells>
  <dataValidations count="4">
    <dataValidation type="whole" operator="greaterThanOrEqual" allowBlank="1" showInputMessage="1" showErrorMessage="1" sqref="E42:E51 G39:G40 G66 Q46:R47 Q90:R90"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headerFooter>
    <oddFooter>&amp;C&amp;P&amp;R&amp;8 &amp;A</oddFooter>
  </headerFooter>
  <rowBreaks count="2" manualBreakCount="2">
    <brk id="35" max="18" man="1"/>
    <brk id="77" max="18" man="1"/>
  </row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ustomWidth="1"/>
    <col min="16384" max="16384" width="0.42578125" style="286" customWidth="1"/>
  </cols>
  <sheetData>
    <row r="1" spans="1:9">
      <c r="A1" s="1574" t="s">
        <v>2309</v>
      </c>
      <c r="B1" s="1093"/>
      <c r="C1" s="1093"/>
      <c r="D1" s="1093"/>
      <c r="E1" s="1093"/>
      <c r="F1" s="1093"/>
      <c r="G1" s="1093"/>
      <c r="H1" s="1093"/>
      <c r="I1" s="1093"/>
    </row>
    <row r="2" spans="1:9">
      <c r="A2" s="594"/>
      <c r="B2" s="594"/>
      <c r="C2" s="594"/>
      <c r="D2" s="594"/>
      <c r="E2" s="594"/>
      <c r="F2" s="594"/>
      <c r="G2" s="594"/>
      <c r="H2" s="594"/>
      <c r="I2" s="594"/>
    </row>
    <row r="3" spans="1:9" ht="105" customHeight="1">
      <c r="A3" s="595" t="s">
        <v>2310</v>
      </c>
      <c r="B3" s="595" t="s">
        <v>2311</v>
      </c>
      <c r="C3" s="466" t="s">
        <v>2312</v>
      </c>
      <c r="D3" s="594"/>
      <c r="E3" s="466" t="s">
        <v>2313</v>
      </c>
      <c r="F3" s="595" t="s">
        <v>2314</v>
      </c>
      <c r="G3" s="596"/>
      <c r="H3" s="595" t="s">
        <v>2315</v>
      </c>
      <c r="I3" s="595" t="s">
        <v>2316</v>
      </c>
    </row>
    <row r="4" spans="1:9">
      <c r="A4" s="597" t="str">
        <f>Application!$B703</f>
        <v>SRO/Studio</v>
      </c>
      <c r="B4" s="935">
        <f>Application!$G703</f>
        <v>5</v>
      </c>
      <c r="C4" s="597">
        <f>Application!$O703</f>
        <v>890</v>
      </c>
      <c r="D4" s="598"/>
      <c r="E4" s="933"/>
      <c r="F4" s="597">
        <f t="shared" ref="F4:F38" si="0">$E4*$B4</f>
        <v>0</v>
      </c>
      <c r="G4" s="598"/>
      <c r="H4" s="597">
        <f t="shared" ref="H4:H38" si="1">IF($E4=0,0,MAX($E4-$C4,0))</f>
        <v>0</v>
      </c>
      <c r="I4" s="597">
        <f t="shared" ref="I4:I38" si="2">IF($H4=0,0,($H4*$B4))</f>
        <v>0</v>
      </c>
    </row>
    <row r="5" spans="1:9">
      <c r="A5" s="597" t="str">
        <f>Application!$B704</f>
        <v>SRO/Studio</v>
      </c>
      <c r="B5" s="934">
        <f>Application!$G704</f>
        <v>8</v>
      </c>
      <c r="C5" s="597">
        <f>Application!$O704</f>
        <v>1237</v>
      </c>
      <c r="D5" s="598"/>
      <c r="E5" s="933"/>
      <c r="F5" s="597">
        <f t="shared" si="0"/>
        <v>0</v>
      </c>
      <c r="G5" s="598"/>
      <c r="H5" s="597">
        <f t="shared" si="1"/>
        <v>0</v>
      </c>
      <c r="I5" s="597">
        <f t="shared" si="2"/>
        <v>0</v>
      </c>
    </row>
    <row r="6" spans="1:9">
      <c r="A6" s="597" t="str">
        <f>Application!$B705</f>
        <v>SRO/Studio</v>
      </c>
      <c r="B6" s="934">
        <f>Application!$G705</f>
        <v>13</v>
      </c>
      <c r="C6" s="597">
        <f>Application!$O705</f>
        <v>1583</v>
      </c>
      <c r="D6" s="598"/>
      <c r="E6" s="933"/>
      <c r="F6" s="597">
        <f t="shared" si="0"/>
        <v>0</v>
      </c>
      <c r="G6" s="598"/>
      <c r="H6" s="597">
        <f t="shared" si="1"/>
        <v>0</v>
      </c>
      <c r="I6" s="597">
        <f t="shared" si="2"/>
        <v>0</v>
      </c>
    </row>
    <row r="7" spans="1:9">
      <c r="A7" s="597" t="str">
        <f>Application!$B706</f>
        <v>SRO/Studio</v>
      </c>
      <c r="B7" s="934">
        <f>Application!$G706</f>
        <v>12</v>
      </c>
      <c r="C7" s="597">
        <f>Application!$O706</f>
        <v>1929</v>
      </c>
      <c r="D7" s="598"/>
      <c r="E7" s="933"/>
      <c r="F7" s="597">
        <f t="shared" si="0"/>
        <v>0</v>
      </c>
      <c r="G7" s="598"/>
      <c r="H7" s="597">
        <f t="shared" si="1"/>
        <v>0</v>
      </c>
      <c r="I7" s="597">
        <f t="shared" si="2"/>
        <v>0</v>
      </c>
    </row>
    <row r="8" spans="1:9">
      <c r="A8" s="597">
        <f>Application!$B707</f>
        <v>0</v>
      </c>
      <c r="B8" s="934">
        <f>Application!$G707</f>
        <v>0</v>
      </c>
      <c r="C8" s="597">
        <f>Application!$O707</f>
        <v>0</v>
      </c>
      <c r="D8" s="598"/>
      <c r="E8" s="933"/>
      <c r="F8" s="597">
        <f t="shared" si="0"/>
        <v>0</v>
      </c>
      <c r="G8" s="598"/>
      <c r="H8" s="597">
        <f t="shared" si="1"/>
        <v>0</v>
      </c>
      <c r="I8" s="597">
        <f t="shared" si="2"/>
        <v>0</v>
      </c>
    </row>
    <row r="9" spans="1:9">
      <c r="A9" s="597">
        <f>Application!$B708</f>
        <v>0</v>
      </c>
      <c r="B9" s="934">
        <f>Application!$G708</f>
        <v>0</v>
      </c>
      <c r="C9" s="597">
        <f>Application!$O708</f>
        <v>0</v>
      </c>
      <c r="D9" s="598"/>
      <c r="E9" s="933"/>
      <c r="F9" s="597">
        <f t="shared" si="0"/>
        <v>0</v>
      </c>
      <c r="G9" s="598"/>
      <c r="H9" s="597">
        <f t="shared" si="1"/>
        <v>0</v>
      </c>
      <c r="I9" s="597">
        <f t="shared" si="2"/>
        <v>0</v>
      </c>
    </row>
    <row r="10" spans="1:9">
      <c r="A10" s="597">
        <f>Application!$B709</f>
        <v>0</v>
      </c>
      <c r="B10" s="934">
        <f>Application!$G709</f>
        <v>0</v>
      </c>
      <c r="C10" s="597">
        <f>Application!$O709</f>
        <v>0</v>
      </c>
      <c r="D10" s="598"/>
      <c r="E10" s="933"/>
      <c r="F10" s="597">
        <f t="shared" si="0"/>
        <v>0</v>
      </c>
      <c r="G10" s="598"/>
      <c r="H10" s="597">
        <f t="shared" si="1"/>
        <v>0</v>
      </c>
      <c r="I10" s="597">
        <f t="shared" si="2"/>
        <v>0</v>
      </c>
    </row>
    <row r="11" spans="1:9">
      <c r="A11" s="597">
        <f>Application!$B710</f>
        <v>0</v>
      </c>
      <c r="B11" s="934">
        <f>Application!$G710</f>
        <v>0</v>
      </c>
      <c r="C11" s="597">
        <f>Application!$O710</f>
        <v>0</v>
      </c>
      <c r="D11" s="598"/>
      <c r="E11" s="933"/>
      <c r="F11" s="597">
        <f t="shared" si="0"/>
        <v>0</v>
      </c>
      <c r="G11" s="598"/>
      <c r="H11" s="597">
        <f t="shared" si="1"/>
        <v>0</v>
      </c>
      <c r="I11" s="597">
        <f t="shared" si="2"/>
        <v>0</v>
      </c>
    </row>
    <row r="12" spans="1:9">
      <c r="A12" s="597">
        <f>Application!$B711</f>
        <v>0</v>
      </c>
      <c r="B12" s="934">
        <f>Application!$G711</f>
        <v>0</v>
      </c>
      <c r="C12" s="597">
        <f>Application!$O711</f>
        <v>0</v>
      </c>
      <c r="D12" s="598"/>
      <c r="E12" s="933"/>
      <c r="F12" s="597">
        <f t="shared" si="0"/>
        <v>0</v>
      </c>
      <c r="G12" s="598"/>
      <c r="H12" s="597">
        <f t="shared" si="1"/>
        <v>0</v>
      </c>
      <c r="I12" s="597">
        <f t="shared" si="2"/>
        <v>0</v>
      </c>
    </row>
    <row r="13" spans="1:9">
      <c r="A13" s="597">
        <f>Application!$B712</f>
        <v>0</v>
      </c>
      <c r="B13" s="934">
        <f>Application!$G712</f>
        <v>0</v>
      </c>
      <c r="C13" s="597">
        <f>Application!$O712</f>
        <v>0</v>
      </c>
      <c r="D13" s="598"/>
      <c r="E13" s="933"/>
      <c r="F13" s="597">
        <f t="shared" si="0"/>
        <v>0</v>
      </c>
      <c r="G13" s="598"/>
      <c r="H13" s="597">
        <f t="shared" si="1"/>
        <v>0</v>
      </c>
      <c r="I13" s="597">
        <f t="shared" si="2"/>
        <v>0</v>
      </c>
    </row>
    <row r="14" spans="1:9">
      <c r="A14" s="597">
        <f>Application!$B713</f>
        <v>0</v>
      </c>
      <c r="B14" s="934">
        <f>Application!$G713</f>
        <v>0</v>
      </c>
      <c r="C14" s="597">
        <f>Application!$O713</f>
        <v>0</v>
      </c>
      <c r="D14" s="598"/>
      <c r="E14" s="933"/>
      <c r="F14" s="597">
        <f t="shared" si="0"/>
        <v>0</v>
      </c>
      <c r="G14" s="598"/>
      <c r="H14" s="597">
        <f t="shared" si="1"/>
        <v>0</v>
      </c>
      <c r="I14" s="597">
        <f t="shared" si="2"/>
        <v>0</v>
      </c>
    </row>
    <row r="15" spans="1:9">
      <c r="A15" s="597">
        <f>Application!$B714</f>
        <v>0</v>
      </c>
      <c r="B15" s="934">
        <f>Application!$G714</f>
        <v>0</v>
      </c>
      <c r="C15" s="597">
        <f>Application!$O714</f>
        <v>0</v>
      </c>
      <c r="D15" s="598"/>
      <c r="E15" s="933"/>
      <c r="F15" s="597">
        <f t="shared" si="0"/>
        <v>0</v>
      </c>
      <c r="G15" s="598"/>
      <c r="H15" s="597">
        <f t="shared" si="1"/>
        <v>0</v>
      </c>
      <c r="I15" s="597">
        <f t="shared" si="2"/>
        <v>0</v>
      </c>
    </row>
    <row r="16" spans="1:9">
      <c r="A16" s="597">
        <f>Application!$B715</f>
        <v>0</v>
      </c>
      <c r="B16" s="934">
        <f>Application!$G715</f>
        <v>0</v>
      </c>
      <c r="C16" s="597">
        <f>Application!$O715</f>
        <v>0</v>
      </c>
      <c r="D16" s="598"/>
      <c r="E16" s="933"/>
      <c r="F16" s="597">
        <f t="shared" si="0"/>
        <v>0</v>
      </c>
      <c r="G16" s="598"/>
      <c r="H16" s="597">
        <f t="shared" si="1"/>
        <v>0</v>
      </c>
      <c r="I16" s="597">
        <f t="shared" si="2"/>
        <v>0</v>
      </c>
    </row>
    <row r="17" spans="1:9">
      <c r="A17" s="597">
        <f>Application!$B716</f>
        <v>0</v>
      </c>
      <c r="B17" s="934">
        <f>Application!$G716</f>
        <v>0</v>
      </c>
      <c r="C17" s="597">
        <f>Application!$O716</f>
        <v>0</v>
      </c>
      <c r="D17" s="598"/>
      <c r="E17" s="933"/>
      <c r="F17" s="597">
        <f t="shared" si="0"/>
        <v>0</v>
      </c>
      <c r="G17" s="598"/>
      <c r="H17" s="597">
        <f t="shared" si="1"/>
        <v>0</v>
      </c>
      <c r="I17" s="597">
        <f t="shared" si="2"/>
        <v>0</v>
      </c>
    </row>
    <row r="18" spans="1:9">
      <c r="A18" s="597">
        <f>Application!$B717</f>
        <v>0</v>
      </c>
      <c r="B18" s="934">
        <f>Application!$G717</f>
        <v>0</v>
      </c>
      <c r="C18" s="597">
        <f>Application!$O717</f>
        <v>0</v>
      </c>
      <c r="D18" s="598"/>
      <c r="E18" s="933"/>
      <c r="F18" s="597">
        <f t="shared" si="0"/>
        <v>0</v>
      </c>
      <c r="G18" s="598"/>
      <c r="H18" s="597">
        <f t="shared" si="1"/>
        <v>0</v>
      </c>
      <c r="I18" s="597">
        <f t="shared" si="2"/>
        <v>0</v>
      </c>
    </row>
    <row r="19" spans="1:9">
      <c r="A19" s="597">
        <f>Application!$B718</f>
        <v>0</v>
      </c>
      <c r="B19" s="934">
        <f>Application!$G718</f>
        <v>0</v>
      </c>
      <c r="C19" s="597">
        <f>Application!$O718</f>
        <v>0</v>
      </c>
      <c r="D19" s="598"/>
      <c r="E19" s="933"/>
      <c r="F19" s="597">
        <f t="shared" si="0"/>
        <v>0</v>
      </c>
      <c r="G19" s="598"/>
      <c r="H19" s="597">
        <f t="shared" si="1"/>
        <v>0</v>
      </c>
      <c r="I19" s="597">
        <f t="shared" si="2"/>
        <v>0</v>
      </c>
    </row>
    <row r="20" spans="1:9">
      <c r="A20" s="597">
        <f>Application!$B719</f>
        <v>0</v>
      </c>
      <c r="B20" s="934">
        <f>Application!$G719</f>
        <v>0</v>
      </c>
      <c r="C20" s="597">
        <f>Application!$O719</f>
        <v>0</v>
      </c>
      <c r="D20" s="598"/>
      <c r="E20" s="933"/>
      <c r="F20" s="597">
        <f t="shared" si="0"/>
        <v>0</v>
      </c>
      <c r="G20" s="598"/>
      <c r="H20" s="597">
        <f t="shared" si="1"/>
        <v>0</v>
      </c>
      <c r="I20" s="597">
        <f t="shared" si="2"/>
        <v>0</v>
      </c>
    </row>
    <row r="21" spans="1:9">
      <c r="A21" s="597">
        <f>Application!$B720</f>
        <v>0</v>
      </c>
      <c r="B21" s="934">
        <f>Application!$G720</f>
        <v>0</v>
      </c>
      <c r="C21" s="597">
        <f>Application!$O720</f>
        <v>0</v>
      </c>
      <c r="D21" s="598"/>
      <c r="E21" s="933"/>
      <c r="F21" s="597">
        <f t="shared" si="0"/>
        <v>0</v>
      </c>
      <c r="G21" s="598"/>
      <c r="H21" s="597">
        <f t="shared" si="1"/>
        <v>0</v>
      </c>
      <c r="I21" s="597">
        <f t="shared" si="2"/>
        <v>0</v>
      </c>
    </row>
    <row r="22" spans="1:9">
      <c r="A22" s="597">
        <f>Application!$B721</f>
        <v>0</v>
      </c>
      <c r="B22" s="934">
        <f>Application!$G721</f>
        <v>0</v>
      </c>
      <c r="C22" s="597">
        <f>Application!$O721</f>
        <v>0</v>
      </c>
      <c r="D22" s="598"/>
      <c r="E22" s="933"/>
      <c r="F22" s="597">
        <f t="shared" si="0"/>
        <v>0</v>
      </c>
      <c r="G22" s="598"/>
      <c r="H22" s="597">
        <f t="shared" si="1"/>
        <v>0</v>
      </c>
      <c r="I22" s="597">
        <f t="shared" si="2"/>
        <v>0</v>
      </c>
    </row>
    <row r="23" spans="1:9">
      <c r="A23" s="597">
        <f>Application!$B722</f>
        <v>0</v>
      </c>
      <c r="B23" s="934">
        <f>Application!$G722</f>
        <v>0</v>
      </c>
      <c r="C23" s="597">
        <f>Application!$O722</f>
        <v>0</v>
      </c>
      <c r="D23" s="598"/>
      <c r="E23" s="933"/>
      <c r="F23" s="597">
        <f t="shared" si="0"/>
        <v>0</v>
      </c>
      <c r="G23" s="598"/>
      <c r="H23" s="597">
        <f t="shared" si="1"/>
        <v>0</v>
      </c>
      <c r="I23" s="597">
        <f t="shared" si="2"/>
        <v>0</v>
      </c>
    </row>
    <row r="24" spans="1:9">
      <c r="A24" s="597">
        <f>Application!$B723</f>
        <v>0</v>
      </c>
      <c r="B24" s="934">
        <f>Application!$G723</f>
        <v>0</v>
      </c>
      <c r="C24" s="597">
        <f>Application!$O723</f>
        <v>0</v>
      </c>
      <c r="D24" s="598"/>
      <c r="E24" s="933"/>
      <c r="F24" s="597">
        <f t="shared" si="0"/>
        <v>0</v>
      </c>
      <c r="G24" s="598"/>
      <c r="H24" s="597">
        <f t="shared" si="1"/>
        <v>0</v>
      </c>
      <c r="I24" s="597">
        <f t="shared" si="2"/>
        <v>0</v>
      </c>
    </row>
    <row r="25" spans="1:9">
      <c r="A25" s="597">
        <f>Application!$B724</f>
        <v>0</v>
      </c>
      <c r="B25" s="934">
        <f>Application!$G724</f>
        <v>0</v>
      </c>
      <c r="C25" s="597">
        <f>Application!$O724</f>
        <v>0</v>
      </c>
      <c r="D25" s="598"/>
      <c r="E25" s="933"/>
      <c r="F25" s="597">
        <f t="shared" si="0"/>
        <v>0</v>
      </c>
      <c r="G25" s="598"/>
      <c r="H25" s="597">
        <f t="shared" si="1"/>
        <v>0</v>
      </c>
      <c r="I25" s="597">
        <f t="shared" si="2"/>
        <v>0</v>
      </c>
    </row>
    <row r="26" spans="1:9">
      <c r="A26" s="597">
        <f>Application!$B725</f>
        <v>0</v>
      </c>
      <c r="B26" s="934">
        <f>Application!$G725</f>
        <v>0</v>
      </c>
      <c r="C26" s="597">
        <f>Application!$O725</f>
        <v>0</v>
      </c>
      <c r="D26" s="598"/>
      <c r="E26" s="933"/>
      <c r="F26" s="597">
        <f t="shared" si="0"/>
        <v>0</v>
      </c>
      <c r="G26" s="598"/>
      <c r="H26" s="597">
        <f t="shared" si="1"/>
        <v>0</v>
      </c>
      <c r="I26" s="597">
        <f t="shared" si="2"/>
        <v>0</v>
      </c>
    </row>
    <row r="27" spans="1:9">
      <c r="A27" s="597">
        <f>Application!$B726</f>
        <v>0</v>
      </c>
      <c r="B27" s="934">
        <f>Application!$G726</f>
        <v>0</v>
      </c>
      <c r="C27" s="597">
        <f>Application!$O726</f>
        <v>0</v>
      </c>
      <c r="D27" s="598"/>
      <c r="E27" s="933"/>
      <c r="F27" s="597">
        <f t="shared" si="0"/>
        <v>0</v>
      </c>
      <c r="G27" s="598"/>
      <c r="H27" s="597">
        <f t="shared" si="1"/>
        <v>0</v>
      </c>
      <c r="I27" s="597">
        <f t="shared" si="2"/>
        <v>0</v>
      </c>
    </row>
    <row r="28" spans="1:9">
      <c r="A28" s="597">
        <f>Application!$B727</f>
        <v>0</v>
      </c>
      <c r="B28" s="934">
        <f>Application!$G727</f>
        <v>0</v>
      </c>
      <c r="C28" s="597">
        <f>Application!$O727</f>
        <v>0</v>
      </c>
      <c r="D28" s="598"/>
      <c r="E28" s="933"/>
      <c r="F28" s="597">
        <f t="shared" si="0"/>
        <v>0</v>
      </c>
      <c r="G28" s="598"/>
      <c r="H28" s="597">
        <f t="shared" si="1"/>
        <v>0</v>
      </c>
      <c r="I28" s="597">
        <f t="shared" si="2"/>
        <v>0</v>
      </c>
    </row>
    <row r="29" spans="1:9">
      <c r="A29" s="597">
        <f>Application!$B728</f>
        <v>0</v>
      </c>
      <c r="B29" s="934">
        <f>Application!$G728</f>
        <v>0</v>
      </c>
      <c r="C29" s="597">
        <f>Application!$O728</f>
        <v>0</v>
      </c>
      <c r="D29" s="598"/>
      <c r="E29" s="933"/>
      <c r="F29" s="597">
        <f t="shared" si="0"/>
        <v>0</v>
      </c>
      <c r="G29" s="598"/>
      <c r="H29" s="597">
        <f t="shared" si="1"/>
        <v>0</v>
      </c>
      <c r="I29" s="597">
        <f t="shared" si="2"/>
        <v>0</v>
      </c>
    </row>
    <row r="30" spans="1:9">
      <c r="A30" s="597">
        <f>Application!$B729</f>
        <v>0</v>
      </c>
      <c r="B30" s="934">
        <f>Application!$G729</f>
        <v>0</v>
      </c>
      <c r="C30" s="597">
        <f>Application!$O729</f>
        <v>0</v>
      </c>
      <c r="D30" s="598"/>
      <c r="E30" s="933"/>
      <c r="F30" s="597">
        <f t="shared" si="0"/>
        <v>0</v>
      </c>
      <c r="G30" s="598"/>
      <c r="H30" s="597">
        <f t="shared" si="1"/>
        <v>0</v>
      </c>
      <c r="I30" s="597">
        <f t="shared" si="2"/>
        <v>0</v>
      </c>
    </row>
    <row r="31" spans="1:9">
      <c r="A31" s="597">
        <f>Application!$B730</f>
        <v>0</v>
      </c>
      <c r="B31" s="934">
        <f>Application!$G730</f>
        <v>0</v>
      </c>
      <c r="C31" s="597">
        <f>Application!$O730</f>
        <v>0</v>
      </c>
      <c r="D31" s="598"/>
      <c r="E31" s="933"/>
      <c r="F31" s="597">
        <f t="shared" si="0"/>
        <v>0</v>
      </c>
      <c r="G31" s="598"/>
      <c r="H31" s="597">
        <f t="shared" si="1"/>
        <v>0</v>
      </c>
      <c r="I31" s="597">
        <f t="shared" si="2"/>
        <v>0</v>
      </c>
    </row>
    <row r="32" spans="1:9">
      <c r="A32" s="597">
        <f>Application!$B731</f>
        <v>0</v>
      </c>
      <c r="B32" s="934">
        <f>Application!$G731</f>
        <v>0</v>
      </c>
      <c r="C32" s="597">
        <f>Application!$O731</f>
        <v>0</v>
      </c>
      <c r="D32" s="598"/>
      <c r="E32" s="933"/>
      <c r="F32" s="597">
        <f t="shared" si="0"/>
        <v>0</v>
      </c>
      <c r="G32" s="598"/>
      <c r="H32" s="597">
        <f t="shared" si="1"/>
        <v>0</v>
      </c>
      <c r="I32" s="597">
        <f t="shared" si="2"/>
        <v>0</v>
      </c>
    </row>
    <row r="33" spans="1:9">
      <c r="A33" s="597">
        <f>Application!$B732</f>
        <v>0</v>
      </c>
      <c r="B33" s="934">
        <f>Application!$G732</f>
        <v>0</v>
      </c>
      <c r="C33" s="597">
        <f>Application!$O732</f>
        <v>0</v>
      </c>
      <c r="D33" s="598"/>
      <c r="E33" s="933"/>
      <c r="F33" s="597">
        <f t="shared" si="0"/>
        <v>0</v>
      </c>
      <c r="G33" s="598"/>
      <c r="H33" s="597">
        <f t="shared" si="1"/>
        <v>0</v>
      </c>
      <c r="I33" s="597">
        <f t="shared" si="2"/>
        <v>0</v>
      </c>
    </row>
    <row r="34" spans="1:9">
      <c r="A34" s="597">
        <f>Application!$B733</f>
        <v>0</v>
      </c>
      <c r="B34" s="934">
        <f>Application!$G733</f>
        <v>0</v>
      </c>
      <c r="C34" s="597">
        <f>Application!$O733</f>
        <v>0</v>
      </c>
      <c r="D34" s="598"/>
      <c r="E34" s="933"/>
      <c r="F34" s="597">
        <f t="shared" si="0"/>
        <v>0</v>
      </c>
      <c r="G34" s="598"/>
      <c r="H34" s="597">
        <f t="shared" si="1"/>
        <v>0</v>
      </c>
      <c r="I34" s="597">
        <f t="shared" si="2"/>
        <v>0</v>
      </c>
    </row>
    <row r="35" spans="1:9">
      <c r="A35" s="597">
        <f>Application!$B734</f>
        <v>0</v>
      </c>
      <c r="B35" s="934">
        <f>Application!$G734</f>
        <v>0</v>
      </c>
      <c r="C35" s="597">
        <f>Application!$O734</f>
        <v>0</v>
      </c>
      <c r="D35" s="598"/>
      <c r="E35" s="933"/>
      <c r="F35" s="597">
        <f t="shared" si="0"/>
        <v>0</v>
      </c>
      <c r="G35" s="598"/>
      <c r="H35" s="597">
        <f t="shared" si="1"/>
        <v>0</v>
      </c>
      <c r="I35" s="597">
        <f t="shared" si="2"/>
        <v>0</v>
      </c>
    </row>
    <row r="36" spans="1:9">
      <c r="A36" s="597">
        <f>Application!$B735</f>
        <v>0</v>
      </c>
      <c r="B36" s="934">
        <f>Application!$G735</f>
        <v>0</v>
      </c>
      <c r="C36" s="597">
        <f>Application!$O735</f>
        <v>0</v>
      </c>
      <c r="D36" s="598"/>
      <c r="E36" s="933"/>
      <c r="F36" s="597">
        <f t="shared" si="0"/>
        <v>0</v>
      </c>
      <c r="G36" s="598"/>
      <c r="H36" s="597">
        <f t="shared" si="1"/>
        <v>0</v>
      </c>
      <c r="I36" s="597">
        <f t="shared" si="2"/>
        <v>0</v>
      </c>
    </row>
    <row r="37" spans="1:9">
      <c r="A37" s="597">
        <f>Application!$B736</f>
        <v>0</v>
      </c>
      <c r="B37" s="934">
        <f>Application!$G736</f>
        <v>0</v>
      </c>
      <c r="C37" s="597">
        <f>Application!$O736</f>
        <v>0</v>
      </c>
      <c r="D37" s="598"/>
      <c r="E37" s="933"/>
      <c r="F37" s="597">
        <f t="shared" si="0"/>
        <v>0</v>
      </c>
      <c r="G37" s="598"/>
      <c r="H37" s="597">
        <f t="shared" si="1"/>
        <v>0</v>
      </c>
      <c r="I37" s="597">
        <f t="shared" si="2"/>
        <v>0</v>
      </c>
    </row>
    <row r="38" spans="1:9">
      <c r="A38" s="597">
        <f>Application!$B737</f>
        <v>0</v>
      </c>
      <c r="B38" s="934">
        <f>Application!$G737</f>
        <v>0</v>
      </c>
      <c r="C38" s="597">
        <f>Application!$O737</f>
        <v>0</v>
      </c>
      <c r="D38" s="598"/>
      <c r="E38" s="933"/>
      <c r="F38" s="597">
        <f t="shared" si="0"/>
        <v>0</v>
      </c>
      <c r="G38" s="598"/>
      <c r="H38" s="597">
        <f t="shared" si="1"/>
        <v>0</v>
      </c>
      <c r="I38" s="597">
        <f t="shared" si="2"/>
        <v>0</v>
      </c>
    </row>
    <row r="39" spans="1:9">
      <c r="A39" s="594"/>
      <c r="B39" s="594"/>
      <c r="C39" s="598"/>
      <c r="D39" s="598"/>
      <c r="E39" s="598"/>
      <c r="F39" s="598"/>
      <c r="G39" s="598"/>
      <c r="H39" s="598"/>
      <c r="I39" s="594"/>
    </row>
    <row r="40" spans="1:9" ht="15" customHeight="1">
      <c r="A40" s="599" t="s">
        <v>2317</v>
      </c>
      <c r="B40" s="600"/>
      <c r="C40" s="601">
        <f>Application!$T$738*12</f>
        <v>696876</v>
      </c>
      <c r="D40" s="598"/>
      <c r="E40" s="598"/>
      <c r="F40" s="601">
        <f>SUM(F4:F38)*12</f>
        <v>0</v>
      </c>
      <c r="G40" s="602"/>
      <c r="H40" s="600"/>
      <c r="I40" s="601">
        <f>SUM(I4:I38)*12</f>
        <v>0</v>
      </c>
    </row>
    <row r="41" spans="1:9" ht="15" customHeight="1">
      <c r="A41" s="599"/>
      <c r="B41" s="600"/>
      <c r="C41" s="602"/>
      <c r="D41" s="598"/>
      <c r="E41" s="598"/>
      <c r="F41" s="602"/>
      <c r="G41" s="602"/>
      <c r="H41" s="600"/>
      <c r="I41" s="602"/>
    </row>
    <row r="42" spans="1:9">
      <c r="A42" s="594" t="s">
        <v>2318</v>
      </c>
      <c r="B42" s="594"/>
      <c r="C42" s="594"/>
      <c r="D42" s="594"/>
      <c r="E42" s="594"/>
      <c r="F42" s="594"/>
      <c r="G42" s="594"/>
      <c r="H42" s="594"/>
      <c r="I42" s="594"/>
    </row>
    <row r="43" spans="1:9">
      <c r="A43" s="594" t="s">
        <v>2319</v>
      </c>
      <c r="B43" s="594"/>
      <c r="C43" s="594"/>
      <c r="D43" s="594"/>
      <c r="E43" s="594"/>
      <c r="F43" s="594"/>
      <c r="G43" s="594"/>
      <c r="H43" s="594"/>
      <c r="I43" s="594"/>
    </row>
    <row r="44" spans="1:9">
      <c r="A44" s="594" t="s">
        <v>2320</v>
      </c>
      <c r="B44" s="594"/>
      <c r="C44" s="594"/>
      <c r="D44" s="594"/>
      <c r="E44" s="594"/>
      <c r="F44" s="594"/>
      <c r="G44" s="594"/>
      <c r="H44" s="594"/>
      <c r="I44" s="594"/>
    </row>
  </sheetData>
  <sheetProtection algorithmName="SHA-512" hashValue="eNAHu+I7B8zPWP56V9NfmrQbt73R9tUyCXUArpEhjUlosQt6ggAP+jmsjLiIREgBSyjqDrG6dHxhFuqpF7gyYw==" saltValue="GggCHbIlTEnbuimaXp4ECA==" spinCount="100000" sheet="1" objects="1" scenarios="1"/>
  <mergeCells count="1">
    <mergeCell ref="A1:I1"/>
  </mergeCells>
  <printOptions horizontalCentered="1"/>
  <pageMargins left="0.7" right="0.7" top="0.75" bottom="0.75" header="0.3" footer="0.3"/>
  <pageSetup scale="90" firstPageNumber="47" orientation="landscape" useFirstPageNumber="1"/>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7" workbookViewId="0">
      <selection activeCell="C63" sqref="C6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ustomHeight="1">
      <c r="A1" s="374" t="s">
        <v>2321</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3" spans="1:34" ht="15.75" customHeight="1">
      <c r="A3" s="375" t="s">
        <v>2322</v>
      </c>
      <c r="B3" s="375"/>
      <c r="C3" s="401" t="s">
        <v>2323</v>
      </c>
      <c r="D3" s="376"/>
      <c r="E3" s="402" t="s">
        <v>2324</v>
      </c>
      <c r="F3" s="372"/>
      <c r="G3" s="402" t="s">
        <v>2325</v>
      </c>
      <c r="H3" s="372"/>
      <c r="I3" s="402" t="s">
        <v>2326</v>
      </c>
      <c r="J3" s="372"/>
      <c r="K3" s="402" t="s">
        <v>2327</v>
      </c>
      <c r="L3" s="372"/>
      <c r="M3" s="402" t="s">
        <v>2328</v>
      </c>
      <c r="N3" s="372"/>
      <c r="O3" s="402" t="s">
        <v>2329</v>
      </c>
      <c r="P3" s="372"/>
      <c r="Q3" s="402" t="s">
        <v>2330</v>
      </c>
      <c r="R3" s="372"/>
      <c r="S3" s="402" t="s">
        <v>2331</v>
      </c>
      <c r="T3" s="372"/>
      <c r="U3" s="402" t="s">
        <v>2332</v>
      </c>
      <c r="V3" s="372"/>
      <c r="W3" s="402" t="s">
        <v>2333</v>
      </c>
      <c r="X3" s="372"/>
      <c r="Y3" s="402" t="s">
        <v>2334</v>
      </c>
      <c r="Z3" s="372"/>
      <c r="AA3" s="402" t="s">
        <v>2335</v>
      </c>
      <c r="AB3" s="372"/>
      <c r="AC3" s="402" t="s">
        <v>2336</v>
      </c>
      <c r="AD3" s="372"/>
      <c r="AE3" s="402" t="s">
        <v>2337</v>
      </c>
      <c r="AF3" s="372"/>
      <c r="AG3" s="402" t="s">
        <v>2338</v>
      </c>
      <c r="AH3" s="376"/>
    </row>
    <row r="4" spans="1:34" ht="14.25" customHeight="1">
      <c r="A4" s="381" t="s">
        <v>2339</v>
      </c>
      <c r="B4" s="381"/>
      <c r="C4" s="404">
        <v>1.0249999999999999</v>
      </c>
      <c r="D4" s="381"/>
      <c r="E4" s="381">
        <f>Application!Y788</f>
        <v>696876</v>
      </c>
      <c r="F4" s="381"/>
      <c r="G4" s="381">
        <f>E4*$C$4</f>
        <v>714297.89999999991</v>
      </c>
      <c r="H4" s="381"/>
      <c r="I4" s="381">
        <f>G4*$C$4</f>
        <v>732155.3474999998</v>
      </c>
      <c r="J4" s="381"/>
      <c r="K4" s="381">
        <f>I4*$C$4</f>
        <v>750459.23118749971</v>
      </c>
      <c r="L4" s="381"/>
      <c r="M4" s="381">
        <f>K4*$C$4</f>
        <v>769220.71196718712</v>
      </c>
      <c r="N4" s="381"/>
      <c r="O4" s="381">
        <f>M4*$C$4</f>
        <v>788451.22976636677</v>
      </c>
      <c r="P4" s="381"/>
      <c r="Q4" s="381">
        <f>O4*$C$4</f>
        <v>808162.5105105259</v>
      </c>
      <c r="R4" s="381"/>
      <c r="S4" s="381">
        <f>Q4*$C$4</f>
        <v>828366.57327328902</v>
      </c>
      <c r="T4" s="381"/>
      <c r="U4" s="381">
        <f>S4*$C$4</f>
        <v>849075.73760512122</v>
      </c>
      <c r="V4" s="381"/>
      <c r="W4" s="381">
        <f>U4*$C$4</f>
        <v>870302.63104524917</v>
      </c>
      <c r="X4" s="381"/>
      <c r="Y4" s="381">
        <f>W4*$C$4</f>
        <v>892060.19682138029</v>
      </c>
      <c r="Z4" s="381"/>
      <c r="AA4" s="381">
        <f>Y4*$C$4</f>
        <v>914361.70174191473</v>
      </c>
      <c r="AB4" s="381"/>
      <c r="AC4" s="381">
        <f>AA4*$C$4</f>
        <v>937220.74428546254</v>
      </c>
      <c r="AD4" s="381"/>
      <c r="AE4" s="381">
        <f>AC4*$C$4</f>
        <v>960651.26289259898</v>
      </c>
      <c r="AF4" s="381"/>
      <c r="AG4" s="381">
        <f>AE4*$C$4</f>
        <v>984667.5444649139</v>
      </c>
      <c r="AH4" s="381"/>
    </row>
    <row r="5" spans="1:34" ht="14.25" customHeight="1">
      <c r="A5" s="373"/>
      <c r="B5" s="373" t="s">
        <v>2301</v>
      </c>
      <c r="C5" s="405">
        <f>IF(Application!$D$214="Special Needs",(((0.1*Application!$V$215)+(0.05*(1-Application!$V$215)))),0.05)</f>
        <v>0.05</v>
      </c>
      <c r="D5" s="373"/>
      <c r="E5" s="383">
        <f>-E4*$C$5</f>
        <v>-34843.800000000003</v>
      </c>
      <c r="F5" s="383"/>
      <c r="G5" s="383">
        <f>-G4*$C$5</f>
        <v>-35714.894999999997</v>
      </c>
      <c r="H5" s="383"/>
      <c r="I5" s="383">
        <f>-I4*$C$5</f>
        <v>-36607.767374999989</v>
      </c>
      <c r="J5" s="383"/>
      <c r="K5" s="383">
        <f>-K4*$C$5</f>
        <v>-37522.961559374984</v>
      </c>
      <c r="L5" s="383"/>
      <c r="M5" s="383">
        <f>-M4*$C$5</f>
        <v>-38461.035598359354</v>
      </c>
      <c r="N5" s="383"/>
      <c r="O5" s="383">
        <f>-O4*$C$5</f>
        <v>-39422.561488318344</v>
      </c>
      <c r="P5" s="383"/>
      <c r="Q5" s="383">
        <f>-Q4*$C$5</f>
        <v>-40408.125525526295</v>
      </c>
      <c r="R5" s="383"/>
      <c r="S5" s="383">
        <f>-S4*$C$5</f>
        <v>-41418.328663664455</v>
      </c>
      <c r="T5" s="383"/>
      <c r="U5" s="383">
        <f>-U4*$C$5</f>
        <v>-42453.786880256062</v>
      </c>
      <c r="V5" s="383"/>
      <c r="W5" s="383">
        <f>-W4*$C$5</f>
        <v>-43515.131552262465</v>
      </c>
      <c r="X5" s="383"/>
      <c r="Y5" s="383">
        <f>-Y4*$C$5</f>
        <v>-44603.009841069019</v>
      </c>
      <c r="Z5" s="383"/>
      <c r="AA5" s="383">
        <f>-AA4*$C$5</f>
        <v>-45718.085087095737</v>
      </c>
      <c r="AB5" s="383"/>
      <c r="AC5" s="383">
        <f>-AC4*$C$5</f>
        <v>-46861.037214273128</v>
      </c>
      <c r="AD5" s="383"/>
      <c r="AE5" s="383">
        <f>-AE4*$C$5</f>
        <v>-48032.563144629952</v>
      </c>
      <c r="AF5" s="383"/>
      <c r="AG5" s="383">
        <f>-AG4*$C$5</f>
        <v>-49233.377223245698</v>
      </c>
      <c r="AH5" s="373"/>
    </row>
    <row r="6" spans="1:34" ht="14.25" customHeight="1">
      <c r="A6" s="373" t="s">
        <v>2340</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ustomHeight="1">
      <c r="A7" s="373"/>
      <c r="B7" s="373" t="s">
        <v>2301</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ustomHeight="1">
      <c r="A8" s="373" t="s">
        <v>720</v>
      </c>
      <c r="B8" s="373"/>
      <c r="C8" s="404">
        <v>1.0249999999999999</v>
      </c>
      <c r="D8" s="373"/>
      <c r="E8" s="384">
        <f>Application!Z804</f>
        <v>5928</v>
      </c>
      <c r="F8" s="384"/>
      <c r="G8" s="384">
        <f>E8*$C$8</f>
        <v>6076.2</v>
      </c>
      <c r="H8" s="384"/>
      <c r="I8" s="384">
        <f>G8*$C$8</f>
        <v>6228.1049999999996</v>
      </c>
      <c r="J8" s="384"/>
      <c r="K8" s="384">
        <f>I8*$C$8</f>
        <v>6383.8076249999986</v>
      </c>
      <c r="L8" s="384"/>
      <c r="M8" s="384">
        <f>K8*$C$8</f>
        <v>6543.4028156249979</v>
      </c>
      <c r="N8" s="384"/>
      <c r="O8" s="384">
        <f>M8*$C$8</f>
        <v>6706.9878860156223</v>
      </c>
      <c r="P8" s="384"/>
      <c r="Q8" s="384">
        <f>O8*$C$8</f>
        <v>6874.6625831660122</v>
      </c>
      <c r="R8" s="384"/>
      <c r="S8" s="384">
        <f>Q8*$C$8</f>
        <v>7046.5291477451619</v>
      </c>
      <c r="T8" s="384"/>
      <c r="U8" s="384">
        <f>S8*$C$8</f>
        <v>7222.6923764387902</v>
      </c>
      <c r="V8" s="384"/>
      <c r="W8" s="384">
        <f>U8*$C$8</f>
        <v>7403.2596858497591</v>
      </c>
      <c r="X8" s="384"/>
      <c r="Y8" s="384">
        <f>W8*$C$8</f>
        <v>7588.3411779960024</v>
      </c>
      <c r="Z8" s="384"/>
      <c r="AA8" s="384">
        <f>Y8*$C$8</f>
        <v>7778.0497074459017</v>
      </c>
      <c r="AB8" s="384"/>
      <c r="AC8" s="384">
        <f>AA8*$C$8</f>
        <v>7972.5009501320483</v>
      </c>
      <c r="AD8" s="384"/>
      <c r="AE8" s="384">
        <f>AC8*$C$8</f>
        <v>8171.8134738853487</v>
      </c>
      <c r="AF8" s="384"/>
      <c r="AG8" s="384">
        <f>AE8*$C$8</f>
        <v>8376.1088107324813</v>
      </c>
      <c r="AH8" s="373"/>
    </row>
    <row r="9" spans="1:34" ht="14.25" customHeight="1">
      <c r="A9" s="373"/>
      <c r="B9" s="373" t="s">
        <v>2301</v>
      </c>
      <c r="C9" s="405">
        <f>IF(Application!$D$214="Special Needs",(((0.1*Application!$V$215)+(0.05*(1-Application!$V$215)))),0.05)</f>
        <v>0.05</v>
      </c>
      <c r="D9" s="373"/>
      <c r="E9" s="383">
        <f>-E8*$C$9</f>
        <v>-296.40000000000003</v>
      </c>
      <c r="F9" s="383"/>
      <c r="G9" s="383">
        <f>-G8*$C$9</f>
        <v>-303.81</v>
      </c>
      <c r="H9" s="383"/>
      <c r="I9" s="383">
        <f>-I8*$C$9</f>
        <v>-311.40525000000002</v>
      </c>
      <c r="J9" s="383"/>
      <c r="K9" s="383">
        <f>-K8*$C$9</f>
        <v>-319.19038124999997</v>
      </c>
      <c r="L9" s="383"/>
      <c r="M9" s="383">
        <f>-M8*$C$9</f>
        <v>-327.17014078124993</v>
      </c>
      <c r="N9" s="383"/>
      <c r="O9" s="383">
        <f>-O8*$C$9</f>
        <v>-335.34939430078111</v>
      </c>
      <c r="P9" s="383"/>
      <c r="Q9" s="383">
        <f>-Q8*$C$9</f>
        <v>-343.73312915830064</v>
      </c>
      <c r="R9" s="383"/>
      <c r="S9" s="383">
        <f>-S8*$C$9</f>
        <v>-352.32645738725813</v>
      </c>
      <c r="T9" s="383"/>
      <c r="U9" s="383">
        <f>-U8*$C$9</f>
        <v>-361.13461882193951</v>
      </c>
      <c r="V9" s="383"/>
      <c r="W9" s="383">
        <f>-W8*$C$9</f>
        <v>-370.16298429248798</v>
      </c>
      <c r="X9" s="383"/>
      <c r="Y9" s="383">
        <f>-Y8*$C$9</f>
        <v>-379.41705889980017</v>
      </c>
      <c r="Z9" s="383"/>
      <c r="AA9" s="383">
        <f>-AA8*$C$9</f>
        <v>-388.90248537229513</v>
      </c>
      <c r="AB9" s="383"/>
      <c r="AC9" s="383">
        <f>-AC8*$C$9</f>
        <v>-398.62504750660241</v>
      </c>
      <c r="AD9" s="383"/>
      <c r="AE9" s="383">
        <f>-AE8*$C$9</f>
        <v>-408.59067369426748</v>
      </c>
      <c r="AF9" s="383"/>
      <c r="AG9" s="383">
        <f>-AG8*$C$9</f>
        <v>-418.80544053662408</v>
      </c>
      <c r="AH9" s="373"/>
    </row>
    <row r="10" spans="1:34" ht="14.25" customHeight="1">
      <c r="A10" s="926" t="s">
        <v>2341</v>
      </c>
      <c r="B10" s="926"/>
      <c r="C10" s="405"/>
      <c r="D10" s="373"/>
      <c r="E10" s="927"/>
      <c r="F10" s="383"/>
      <c r="G10" s="927"/>
      <c r="H10" s="383"/>
      <c r="I10" s="927"/>
      <c r="J10" s="383"/>
      <c r="K10" s="927"/>
      <c r="L10" s="383"/>
      <c r="M10" s="927"/>
      <c r="N10" s="383"/>
      <c r="O10" s="927"/>
      <c r="P10" s="383"/>
      <c r="Q10" s="927"/>
      <c r="R10" s="383"/>
      <c r="S10" s="927"/>
      <c r="T10" s="383"/>
      <c r="U10" s="927"/>
      <c r="V10" s="383"/>
      <c r="W10" s="927"/>
      <c r="X10" s="383"/>
      <c r="Y10" s="927"/>
      <c r="Z10" s="383"/>
      <c r="AA10" s="927"/>
      <c r="AB10" s="383"/>
      <c r="AC10" s="927"/>
      <c r="AD10" s="383"/>
      <c r="AE10" s="927"/>
      <c r="AF10" s="383"/>
      <c r="AG10" s="927"/>
      <c r="AH10" s="373"/>
    </row>
    <row r="11" spans="1:34" ht="15" customHeight="1">
      <c r="A11" s="385" t="s">
        <v>2342</v>
      </c>
      <c r="B11" s="385"/>
      <c r="C11" s="378"/>
      <c r="D11" s="385"/>
      <c r="E11" s="385">
        <f>SUM(E4:E10)</f>
        <v>667663.79999999993</v>
      </c>
      <c r="F11" s="385"/>
      <c r="G11" s="385">
        <f>SUM(G4:G10)</f>
        <v>684355.39499999979</v>
      </c>
      <c r="H11" s="385"/>
      <c r="I11" s="385">
        <f>SUM(I4:I10)</f>
        <v>701464.27987499989</v>
      </c>
      <c r="J11" s="385"/>
      <c r="K11" s="385">
        <f>SUM(K4:K10)</f>
        <v>719000.8868718748</v>
      </c>
      <c r="L11" s="385"/>
      <c r="M11" s="385">
        <f>SUM(M4:M10)</f>
        <v>736975.90904367156</v>
      </c>
      <c r="N11" s="385"/>
      <c r="O11" s="385">
        <f>SUM(O4:O10)</f>
        <v>755400.30676976324</v>
      </c>
      <c r="P11" s="385"/>
      <c r="Q11" s="385">
        <f>SUM(Q4:Q10)</f>
        <v>774285.31443900743</v>
      </c>
      <c r="R11" s="385"/>
      <c r="S11" s="385">
        <f>SUM(S4:S10)</f>
        <v>793642.44729998242</v>
      </c>
      <c r="T11" s="385"/>
      <c r="U11" s="385">
        <f>SUM(U4:U10)</f>
        <v>813483.50848248205</v>
      </c>
      <c r="V11" s="385"/>
      <c r="W11" s="385">
        <f>SUM(W4:W10)</f>
        <v>833820.59619454399</v>
      </c>
      <c r="X11" s="385"/>
      <c r="Y11" s="385">
        <f>SUM(Y4:Y10)</f>
        <v>854666.11109940754</v>
      </c>
      <c r="Z11" s="385"/>
      <c r="AA11" s="385">
        <f>SUM(AA4:AA10)</f>
        <v>876032.76387689263</v>
      </c>
      <c r="AB11" s="385"/>
      <c r="AC11" s="385">
        <f>SUM(AC4:AC10)</f>
        <v>897933.5829738148</v>
      </c>
      <c r="AD11" s="385"/>
      <c r="AE11" s="385">
        <f>SUM(AE4:AE10)</f>
        <v>920381.92254816007</v>
      </c>
      <c r="AF11" s="385"/>
      <c r="AG11" s="385">
        <f>SUM(AG4:AG10)</f>
        <v>943391.47061186412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ustomHeight="1">
      <c r="A13" s="375" t="s">
        <v>2343</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ustomHeight="1">
      <c r="A14" s="373" t="s">
        <v>2344</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ustomHeight="1">
      <c r="A15" s="381" t="s">
        <v>2345</v>
      </c>
      <c r="B15" s="381"/>
      <c r="C15" s="396"/>
      <c r="D15" s="381"/>
      <c r="E15" s="381">
        <f>Application!W834</f>
        <v>20000</v>
      </c>
      <c r="F15" s="381"/>
      <c r="G15" s="381">
        <f t="shared" ref="G15:G21" si="0">E15*$C$14</f>
        <v>20700</v>
      </c>
      <c r="H15" s="381"/>
      <c r="I15" s="381">
        <f t="shared" ref="I15:I21" si="1">G15*$C$14</f>
        <v>21424.5</v>
      </c>
      <c r="J15" s="381"/>
      <c r="K15" s="381">
        <f t="shared" ref="K15:K21" si="2">I15*$C$14</f>
        <v>22174.357499999998</v>
      </c>
      <c r="L15" s="381"/>
      <c r="M15" s="381">
        <f t="shared" ref="M15:M21" si="3">K15*$C$14</f>
        <v>22950.460012499996</v>
      </c>
      <c r="N15" s="381"/>
      <c r="O15" s="381">
        <f t="shared" ref="O15:O21" si="4">M15*$C$14</f>
        <v>23753.726112937493</v>
      </c>
      <c r="P15" s="381"/>
      <c r="Q15" s="381">
        <f t="shared" ref="Q15:Q21" si="5">O15*$C$14</f>
        <v>24585.106526890304</v>
      </c>
      <c r="R15" s="381"/>
      <c r="S15" s="381">
        <f t="shared" ref="S15:S21" si="6">Q15*$C$14</f>
        <v>25445.585255331462</v>
      </c>
      <c r="T15" s="381"/>
      <c r="U15" s="381">
        <f t="shared" ref="U15:U21" si="7">S15*$C$14</f>
        <v>26336.18073926806</v>
      </c>
      <c r="V15" s="381"/>
      <c r="W15" s="381">
        <f t="shared" ref="W15:W21" si="8">U15*$C$14</f>
        <v>27257.947065142442</v>
      </c>
      <c r="X15" s="381"/>
      <c r="Y15" s="381">
        <f t="shared" ref="Y15:Y21" si="9">W15*$C$14</f>
        <v>28211.975212422425</v>
      </c>
      <c r="Z15" s="381"/>
      <c r="AA15" s="381">
        <f t="shared" ref="AA15:AA21" si="10">Y15*$C$14</f>
        <v>29199.394344857206</v>
      </c>
      <c r="AB15" s="381"/>
      <c r="AC15" s="381">
        <f t="shared" ref="AC15:AC21" si="11">AA15*$C$14</f>
        <v>30221.373146927206</v>
      </c>
      <c r="AD15" s="381"/>
      <c r="AE15" s="381">
        <f t="shared" ref="AE15:AE21" si="12">AC15*$C$14</f>
        <v>31279.121207069657</v>
      </c>
      <c r="AF15" s="381"/>
      <c r="AG15" s="381">
        <f t="shared" ref="AG15:AG21" si="13">AE15*$C$14</f>
        <v>32373.890449317092</v>
      </c>
      <c r="AH15" s="381"/>
    </row>
    <row r="16" spans="1:34" ht="14.25" customHeight="1">
      <c r="A16" s="373" t="s">
        <v>756</v>
      </c>
      <c r="B16" s="373"/>
      <c r="C16" s="395"/>
      <c r="D16" s="373"/>
      <c r="E16" s="384">
        <f>Application!W836</f>
        <v>40060</v>
      </c>
      <c r="F16" s="384"/>
      <c r="G16" s="384">
        <f t="shared" si="0"/>
        <v>41462.1</v>
      </c>
      <c r="H16" s="384"/>
      <c r="I16" s="384">
        <f t="shared" si="1"/>
        <v>42913.273499999996</v>
      </c>
      <c r="J16" s="384"/>
      <c r="K16" s="384">
        <f t="shared" si="2"/>
        <v>44415.238072499989</v>
      </c>
      <c r="L16" s="384"/>
      <c r="M16" s="384">
        <f t="shared" si="3"/>
        <v>45969.771405037485</v>
      </c>
      <c r="N16" s="384"/>
      <c r="O16" s="384">
        <f t="shared" si="4"/>
        <v>47578.713404213791</v>
      </c>
      <c r="P16" s="384"/>
      <c r="Q16" s="384">
        <f t="shared" si="5"/>
        <v>49243.968373361269</v>
      </c>
      <c r="R16" s="384"/>
      <c r="S16" s="384">
        <f t="shared" si="6"/>
        <v>50967.507266428911</v>
      </c>
      <c r="T16" s="384"/>
      <c r="U16" s="384">
        <f t="shared" si="7"/>
        <v>52751.370020753922</v>
      </c>
      <c r="V16" s="384"/>
      <c r="W16" s="384">
        <f t="shared" si="8"/>
        <v>54597.667971480303</v>
      </c>
      <c r="X16" s="384"/>
      <c r="Y16" s="384">
        <f t="shared" si="9"/>
        <v>56508.58635048211</v>
      </c>
      <c r="Z16" s="384"/>
      <c r="AA16" s="384">
        <f t="shared" si="10"/>
        <v>58486.386872748983</v>
      </c>
      <c r="AB16" s="384"/>
      <c r="AC16" s="384">
        <f t="shared" si="11"/>
        <v>60533.410413295191</v>
      </c>
      <c r="AD16" s="384"/>
      <c r="AE16" s="384">
        <f t="shared" si="12"/>
        <v>62652.079777760518</v>
      </c>
      <c r="AF16" s="384"/>
      <c r="AG16" s="384">
        <f t="shared" si="13"/>
        <v>64844.902569982129</v>
      </c>
      <c r="AH16" s="373"/>
    </row>
    <row r="17" spans="1:34" ht="14.25" customHeight="1">
      <c r="A17" s="373" t="s">
        <v>760</v>
      </c>
      <c r="B17" s="373"/>
      <c r="C17" s="395"/>
      <c r="D17" s="373"/>
      <c r="E17" s="384">
        <f>Application!W842</f>
        <v>50000</v>
      </c>
      <c r="F17" s="384"/>
      <c r="G17" s="384">
        <f t="shared" si="0"/>
        <v>51749.999999999993</v>
      </c>
      <c r="H17" s="384"/>
      <c r="I17" s="384">
        <f t="shared" si="1"/>
        <v>53561.249999999985</v>
      </c>
      <c r="J17" s="384"/>
      <c r="K17" s="384">
        <f t="shared" si="2"/>
        <v>55435.893749999981</v>
      </c>
      <c r="L17" s="384"/>
      <c r="M17" s="384">
        <f t="shared" si="3"/>
        <v>57376.150031249977</v>
      </c>
      <c r="N17" s="384"/>
      <c r="O17" s="384">
        <f t="shared" si="4"/>
        <v>59384.315282343719</v>
      </c>
      <c r="P17" s="384"/>
      <c r="Q17" s="384">
        <f t="shared" si="5"/>
        <v>61462.766317225745</v>
      </c>
      <c r="R17" s="384"/>
      <c r="S17" s="384">
        <f t="shared" si="6"/>
        <v>63613.96313832864</v>
      </c>
      <c r="T17" s="384"/>
      <c r="U17" s="384">
        <f t="shared" si="7"/>
        <v>65840.451848170138</v>
      </c>
      <c r="V17" s="384"/>
      <c r="W17" s="384">
        <f t="shared" si="8"/>
        <v>68144.867662856093</v>
      </c>
      <c r="X17" s="384"/>
      <c r="Y17" s="384">
        <f t="shared" si="9"/>
        <v>70529.938031056052</v>
      </c>
      <c r="Z17" s="384"/>
      <c r="AA17" s="384">
        <f t="shared" si="10"/>
        <v>72998.485862143003</v>
      </c>
      <c r="AB17" s="384"/>
      <c r="AC17" s="384">
        <f t="shared" si="11"/>
        <v>75553.432867317999</v>
      </c>
      <c r="AD17" s="384"/>
      <c r="AE17" s="384">
        <f t="shared" si="12"/>
        <v>78197.803017674116</v>
      </c>
      <c r="AF17" s="384"/>
      <c r="AG17" s="384">
        <f t="shared" si="13"/>
        <v>80934.726123292698</v>
      </c>
      <c r="AH17" s="373"/>
    </row>
    <row r="18" spans="1:34" ht="14.25" customHeight="1">
      <c r="A18" s="373" t="s">
        <v>2346</v>
      </c>
      <c r="B18" s="373"/>
      <c r="C18" s="395"/>
      <c r="D18" s="373"/>
      <c r="E18" s="384">
        <f>Application!W849</f>
        <v>45000</v>
      </c>
      <c r="F18" s="384"/>
      <c r="G18" s="384">
        <f t="shared" si="0"/>
        <v>46575</v>
      </c>
      <c r="H18" s="384"/>
      <c r="I18" s="384">
        <f t="shared" si="1"/>
        <v>48205.124999999993</v>
      </c>
      <c r="J18" s="384"/>
      <c r="K18" s="384">
        <f t="shared" si="2"/>
        <v>49892.304374999985</v>
      </c>
      <c r="L18" s="384"/>
      <c r="M18" s="384">
        <f t="shared" si="3"/>
        <v>51638.535028124978</v>
      </c>
      <c r="N18" s="384"/>
      <c r="O18" s="384">
        <f t="shared" si="4"/>
        <v>53445.883754109345</v>
      </c>
      <c r="P18" s="384"/>
      <c r="Q18" s="384">
        <f t="shared" si="5"/>
        <v>55316.489685503169</v>
      </c>
      <c r="R18" s="384"/>
      <c r="S18" s="384">
        <f t="shared" si="6"/>
        <v>57252.566824495778</v>
      </c>
      <c r="T18" s="384"/>
      <c r="U18" s="384">
        <f t="shared" si="7"/>
        <v>59256.406663353126</v>
      </c>
      <c r="V18" s="384"/>
      <c r="W18" s="384">
        <f t="shared" si="8"/>
        <v>61330.380896570481</v>
      </c>
      <c r="X18" s="384"/>
      <c r="Y18" s="384">
        <f t="shared" si="9"/>
        <v>63476.944227950444</v>
      </c>
      <c r="Z18" s="384"/>
      <c r="AA18" s="384">
        <f t="shared" si="10"/>
        <v>65698.637275928704</v>
      </c>
      <c r="AB18" s="384"/>
      <c r="AC18" s="384">
        <f t="shared" si="11"/>
        <v>67998.089580586209</v>
      </c>
      <c r="AD18" s="384"/>
      <c r="AE18" s="384">
        <f t="shared" si="12"/>
        <v>70378.022715906714</v>
      </c>
      <c r="AF18" s="384"/>
      <c r="AG18" s="384">
        <f t="shared" si="13"/>
        <v>72841.253510963448</v>
      </c>
    </row>
    <row r="19" spans="1:34" ht="14.25" customHeight="1">
      <c r="A19" s="373" t="s">
        <v>772</v>
      </c>
      <c r="B19" s="373"/>
      <c r="C19" s="395"/>
      <c r="D19" s="373"/>
      <c r="E19" s="384">
        <f>Application!W851</f>
        <v>35000</v>
      </c>
      <c r="F19" s="384"/>
      <c r="G19" s="384">
        <f t="shared" si="0"/>
        <v>36225</v>
      </c>
      <c r="H19" s="384"/>
      <c r="I19" s="384">
        <f t="shared" si="1"/>
        <v>37492.875</v>
      </c>
      <c r="J19" s="384"/>
      <c r="K19" s="384">
        <f t="shared" si="2"/>
        <v>38805.125625000001</v>
      </c>
      <c r="L19" s="384"/>
      <c r="M19" s="384">
        <f t="shared" si="3"/>
        <v>40163.305021875</v>
      </c>
      <c r="N19" s="384"/>
      <c r="O19" s="384">
        <f t="shared" si="4"/>
        <v>41569.020697640619</v>
      </c>
      <c r="P19" s="384"/>
      <c r="Q19" s="384">
        <f t="shared" si="5"/>
        <v>43023.936422058039</v>
      </c>
      <c r="R19" s="384"/>
      <c r="S19" s="384">
        <f t="shared" si="6"/>
        <v>44529.774196830069</v>
      </c>
      <c r="T19" s="384"/>
      <c r="U19" s="384">
        <f t="shared" si="7"/>
        <v>46088.316293719115</v>
      </c>
      <c r="V19" s="384"/>
      <c r="W19" s="384">
        <f t="shared" si="8"/>
        <v>47701.407363999278</v>
      </c>
      <c r="X19" s="384"/>
      <c r="Y19" s="384">
        <f t="shared" si="9"/>
        <v>49370.956621739249</v>
      </c>
      <c r="Z19" s="384"/>
      <c r="AA19" s="384">
        <f t="shared" si="10"/>
        <v>51098.940103500121</v>
      </c>
      <c r="AB19" s="384"/>
      <c r="AC19" s="384">
        <f t="shared" si="11"/>
        <v>52887.403007122623</v>
      </c>
      <c r="AD19" s="384"/>
      <c r="AE19" s="384">
        <f t="shared" si="12"/>
        <v>54738.462112371912</v>
      </c>
      <c r="AF19" s="384"/>
      <c r="AG19" s="384">
        <f t="shared" si="13"/>
        <v>56654.308286304928</v>
      </c>
    </row>
    <row r="20" spans="1:34" ht="14.25" customHeight="1">
      <c r="A20" s="373" t="s">
        <v>774</v>
      </c>
      <c r="B20" s="373"/>
      <c r="C20" s="395"/>
      <c r="D20" s="373"/>
      <c r="E20" s="384">
        <f>Application!W860</f>
        <v>80000</v>
      </c>
      <c r="F20" s="384"/>
      <c r="G20" s="384">
        <f t="shared" si="0"/>
        <v>82800</v>
      </c>
      <c r="H20" s="384"/>
      <c r="I20" s="384">
        <f t="shared" si="1"/>
        <v>85698</v>
      </c>
      <c r="J20" s="384"/>
      <c r="K20" s="384">
        <f t="shared" si="2"/>
        <v>88697.43</v>
      </c>
      <c r="L20" s="384"/>
      <c r="M20" s="384">
        <f t="shared" si="3"/>
        <v>91801.840049999984</v>
      </c>
      <c r="N20" s="384"/>
      <c r="O20" s="384">
        <f t="shared" si="4"/>
        <v>95014.904451749971</v>
      </c>
      <c r="P20" s="384"/>
      <c r="Q20" s="384">
        <f t="shared" si="5"/>
        <v>98340.426107561216</v>
      </c>
      <c r="R20" s="384"/>
      <c r="S20" s="384">
        <f t="shared" si="6"/>
        <v>101782.34102132585</v>
      </c>
      <c r="T20" s="384"/>
      <c r="U20" s="384">
        <f t="shared" si="7"/>
        <v>105344.72295707224</v>
      </c>
      <c r="V20" s="384"/>
      <c r="W20" s="384">
        <f t="shared" si="8"/>
        <v>109031.78826056977</v>
      </c>
      <c r="X20" s="384"/>
      <c r="Y20" s="384">
        <f t="shared" si="9"/>
        <v>112847.9008496897</v>
      </c>
      <c r="Z20" s="384"/>
      <c r="AA20" s="384">
        <f t="shared" si="10"/>
        <v>116797.57737942883</v>
      </c>
      <c r="AB20" s="384"/>
      <c r="AC20" s="384">
        <f t="shared" si="11"/>
        <v>120885.49258770882</v>
      </c>
      <c r="AD20" s="384"/>
      <c r="AE20" s="384">
        <f t="shared" si="12"/>
        <v>125116.48482827863</v>
      </c>
      <c r="AF20" s="384"/>
      <c r="AG20" s="384">
        <f t="shared" si="13"/>
        <v>129495.56179726837</v>
      </c>
    </row>
    <row r="21" spans="1:34" ht="14.25" customHeight="1">
      <c r="A21" s="594" t="s">
        <v>2347</v>
      </c>
      <c r="B21" s="594"/>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ustomHeight="1">
      <c r="A22" s="385" t="s">
        <v>2348</v>
      </c>
      <c r="B22" s="385"/>
      <c r="C22" s="395"/>
      <c r="D22" s="385"/>
      <c r="E22" s="385">
        <f>SUM(E15:E21)</f>
        <v>270060</v>
      </c>
      <c r="F22" s="385"/>
      <c r="G22" s="385">
        <f>SUM(G15:G21)</f>
        <v>279512.09999999998</v>
      </c>
      <c r="H22" s="385"/>
      <c r="I22" s="385">
        <f>SUM(I15:I21)</f>
        <v>289295.02350000001</v>
      </c>
      <c r="J22" s="385"/>
      <c r="K22" s="385">
        <f>SUM(K15:K21)</f>
        <v>299420.34932249994</v>
      </c>
      <c r="L22" s="385"/>
      <c r="M22" s="385">
        <f>SUM(M15:M21)</f>
        <v>309900.06154878746</v>
      </c>
      <c r="N22" s="385"/>
      <c r="O22" s="385">
        <f>SUM(O15:O21)</f>
        <v>320746.56370299496</v>
      </c>
      <c r="P22" s="385"/>
      <c r="Q22" s="385">
        <f>SUM(Q15:Q21)</f>
        <v>331972.69343259977</v>
      </c>
      <c r="R22" s="385"/>
      <c r="S22" s="385">
        <f>SUM(S15:S21)</f>
        <v>343591.73770274071</v>
      </c>
      <c r="T22" s="385"/>
      <c r="U22" s="385">
        <f>SUM(U15:U21)</f>
        <v>355617.44852233661</v>
      </c>
      <c r="V22" s="385"/>
      <c r="W22" s="385">
        <f>SUM(W15:W21)</f>
        <v>368064.05922061834</v>
      </c>
      <c r="X22" s="385"/>
      <c r="Y22" s="385">
        <f>SUM(Y15:Y21)</f>
        <v>380946.30129333993</v>
      </c>
      <c r="Z22" s="385"/>
      <c r="AA22" s="385">
        <f>SUM(AA15:AA21)</f>
        <v>394279.42183860688</v>
      </c>
      <c r="AB22" s="385"/>
      <c r="AC22" s="385">
        <f>SUM(AC15:AC21)</f>
        <v>408079.20160295803</v>
      </c>
      <c r="AD22" s="385"/>
      <c r="AE22" s="385">
        <f>SUM(AE15:AE21)</f>
        <v>422361.97365906159</v>
      </c>
      <c r="AF22" s="385"/>
      <c r="AG22" s="385">
        <f>SUM(AG15:AG21)</f>
        <v>437144.64273712866</v>
      </c>
    </row>
    <row r="23" spans="1:34" ht="15" customHeight="1">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ustomHeight="1">
      <c r="A24" s="594" t="s">
        <v>2349</v>
      </c>
      <c r="B24" s="594"/>
      <c r="C24" s="809"/>
      <c r="D24" s="594"/>
      <c r="E24" s="810"/>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ustomHeight="1">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ustomHeight="1">
      <c r="A26" s="373" t="s">
        <v>2350</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ustomHeight="1">
      <c r="A27" s="373" t="s">
        <v>2351</v>
      </c>
      <c r="B27" s="373"/>
      <c r="C27" s="404">
        <v>1.0349999999999999</v>
      </c>
      <c r="D27" s="373"/>
      <c r="E27" s="384">
        <f>Application!AC876</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ustomHeight="1">
      <c r="A28" s="594" t="s">
        <v>2352</v>
      </c>
      <c r="B28" s="373"/>
      <c r="C28" s="404"/>
      <c r="D28" s="373"/>
      <c r="E28" s="384">
        <f>Application!AC877</f>
        <v>9750</v>
      </c>
      <c r="F28" s="384"/>
      <c r="G28" s="384">
        <f>$E$28</f>
        <v>9750</v>
      </c>
      <c r="H28" s="384"/>
      <c r="I28" s="384">
        <f>$E$28</f>
        <v>9750</v>
      </c>
      <c r="J28" s="384"/>
      <c r="K28" s="384">
        <f>$E$28</f>
        <v>9750</v>
      </c>
      <c r="L28" s="384"/>
      <c r="M28" s="384">
        <f>$E$28</f>
        <v>9750</v>
      </c>
      <c r="N28" s="384"/>
      <c r="O28" s="384">
        <f>$E$28</f>
        <v>9750</v>
      </c>
      <c r="P28" s="384"/>
      <c r="Q28" s="384">
        <f>$E$28</f>
        <v>9750</v>
      </c>
      <c r="R28" s="384"/>
      <c r="S28" s="384">
        <f>$E$28</f>
        <v>9750</v>
      </c>
      <c r="T28" s="384"/>
      <c r="U28" s="384">
        <f>$E$28</f>
        <v>9750</v>
      </c>
      <c r="V28" s="384"/>
      <c r="W28" s="384">
        <f>$E$28</f>
        <v>9750</v>
      </c>
      <c r="X28" s="384"/>
      <c r="Y28" s="384">
        <f>$E$28</f>
        <v>9750</v>
      </c>
      <c r="Z28" s="384"/>
      <c r="AA28" s="384">
        <f>$E$28</f>
        <v>9750</v>
      </c>
      <c r="AB28" s="384"/>
      <c r="AC28" s="384">
        <f>$E$28</f>
        <v>9750</v>
      </c>
      <c r="AD28" s="384"/>
      <c r="AE28" s="384">
        <f>$E$28</f>
        <v>9750</v>
      </c>
      <c r="AF28" s="384"/>
      <c r="AG28" s="384">
        <f>$E$28</f>
        <v>9750</v>
      </c>
    </row>
    <row r="29" spans="1:34" ht="14.25" customHeight="1">
      <c r="A29" s="594" t="s">
        <v>2353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ustomHeight="1">
      <c r="A30" s="594" t="s">
        <v>2354</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ustomHeight="1">
      <c r="A31" s="594" t="s">
        <v>2355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ustomHeight="1">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ustomHeight="1">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ustomHeight="1">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ustomHeight="1">
      <c r="A35" s="385" t="s">
        <v>785</v>
      </c>
      <c r="B35" s="385"/>
      <c r="C35" s="386"/>
      <c r="D35" s="385"/>
      <c r="E35" s="385">
        <f>SUM(E22:E33)</f>
        <v>302610</v>
      </c>
      <c r="F35" s="385"/>
      <c r="G35" s="385">
        <f>SUM(G22:G33)</f>
        <v>312860.09999999998</v>
      </c>
      <c r="H35" s="385"/>
      <c r="I35" s="385">
        <f>SUM(I22:I33)</f>
        <v>323468.9535</v>
      </c>
      <c r="J35" s="385"/>
      <c r="K35" s="385">
        <f>SUM(K22:K33)</f>
        <v>334449.11687249993</v>
      </c>
      <c r="L35" s="385"/>
      <c r="M35" s="385">
        <f>SUM(M22:M33)</f>
        <v>345813.58596303745</v>
      </c>
      <c r="N35" s="385"/>
      <c r="O35" s="385">
        <f>SUM(O22:O33)</f>
        <v>357575.81147174368</v>
      </c>
      <c r="P35" s="385"/>
      <c r="Q35" s="385">
        <f>SUM(Q22:Q33)</f>
        <v>369749.71487325471</v>
      </c>
      <c r="R35" s="385"/>
      <c r="S35" s="385">
        <f>SUM(S22:S33)</f>
        <v>382349.70489381859</v>
      </c>
      <c r="T35" s="385"/>
      <c r="U35" s="385">
        <f>SUM(U22:U33)</f>
        <v>395390.69456510217</v>
      </c>
      <c r="V35" s="385"/>
      <c r="W35" s="385">
        <f>SUM(W22:W33)</f>
        <v>408888.11887488072</v>
      </c>
      <c r="X35" s="385"/>
      <c r="Y35" s="385">
        <f>SUM(Y22:Y33)</f>
        <v>422857.95303550147</v>
      </c>
      <c r="Z35" s="385"/>
      <c r="AA35" s="385">
        <f>SUM(AA22:AA33)</f>
        <v>437316.73139174411</v>
      </c>
      <c r="AB35" s="385"/>
      <c r="AC35" s="385">
        <f>SUM(AC22:AC33)</f>
        <v>452281.56699045503</v>
      </c>
      <c r="AD35" s="385"/>
      <c r="AE35" s="385">
        <f>SUM(AE22:AE33)</f>
        <v>467770.171835121</v>
      </c>
      <c r="AF35" s="385"/>
      <c r="AG35" s="385">
        <f>SUM(AG22:AG33)</f>
        <v>483800.87784935016</v>
      </c>
    </row>
    <row r="36" spans="1:35" ht="14.25" customHeight="1">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ustomHeight="1">
      <c r="A37" s="385" t="s">
        <v>2356</v>
      </c>
      <c r="B37" s="385"/>
      <c r="C37" s="386"/>
      <c r="D37" s="385"/>
      <c r="E37" s="385">
        <f>E11-E35</f>
        <v>365053.79999999993</v>
      </c>
      <c r="F37" s="385"/>
      <c r="G37" s="385">
        <f>G11-G35</f>
        <v>371495.29499999981</v>
      </c>
      <c r="H37" s="385"/>
      <c r="I37" s="385">
        <f>I11-I35</f>
        <v>377995.32637499989</v>
      </c>
      <c r="J37" s="385"/>
      <c r="K37" s="385">
        <f>K11-K35</f>
        <v>384551.76999937487</v>
      </c>
      <c r="L37" s="385"/>
      <c r="M37" s="385">
        <f>M11-M35</f>
        <v>391162.32308063412</v>
      </c>
      <c r="N37" s="385"/>
      <c r="O37" s="385">
        <f>O11-O35</f>
        <v>397824.49529801955</v>
      </c>
      <c r="P37" s="385"/>
      <c r="Q37" s="385">
        <f>Q11-Q35</f>
        <v>404535.59956575272</v>
      </c>
      <c r="R37" s="385"/>
      <c r="S37" s="385">
        <f>S11-S35</f>
        <v>411292.74240616383</v>
      </c>
      <c r="T37" s="385"/>
      <c r="U37" s="385">
        <f>U11-U35</f>
        <v>418092.81391737988</v>
      </c>
      <c r="V37" s="385"/>
      <c r="W37" s="385">
        <f>W11-W35</f>
        <v>424932.47731966327</v>
      </c>
      <c r="X37" s="385"/>
      <c r="Y37" s="385">
        <f>Y11-Y35</f>
        <v>431808.15806390607</v>
      </c>
      <c r="Z37" s="385"/>
      <c r="AA37" s="385">
        <f>AA11-AA35</f>
        <v>438716.03248514852</v>
      </c>
      <c r="AB37" s="385"/>
      <c r="AC37" s="385">
        <f>AC11-AC35</f>
        <v>445652.01598335977</v>
      </c>
      <c r="AD37" s="385"/>
      <c r="AE37" s="385">
        <f>AE11-AE35</f>
        <v>452611.75071303907</v>
      </c>
      <c r="AF37" s="385"/>
      <c r="AG37" s="385">
        <f>AG11-AG35</f>
        <v>459590.59276251396</v>
      </c>
    </row>
    <row r="38" spans="1:35" ht="14.25" customHeight="1">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ustomHeight="1">
      <c r="A39" s="380" t="s">
        <v>2357</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ustomHeight="1">
      <c r="A40" s="387" t="str">
        <f>Application!C629</f>
        <v>Citi Bank Permanent Loan</v>
      </c>
      <c r="B40" s="388"/>
      <c r="C40" s="382"/>
      <c r="D40" s="373"/>
      <c r="E40" s="381">
        <f>Application!AF629</f>
        <v>317438</v>
      </c>
      <c r="F40" s="381"/>
      <c r="G40" s="381">
        <f>$E$40</f>
        <v>317438</v>
      </c>
      <c r="H40" s="381"/>
      <c r="I40" s="381">
        <f>$E$40</f>
        <v>317438</v>
      </c>
      <c r="J40" s="381"/>
      <c r="K40" s="381">
        <f>$E$40</f>
        <v>317438</v>
      </c>
      <c r="L40" s="381"/>
      <c r="M40" s="381">
        <f>$E$40</f>
        <v>317438</v>
      </c>
      <c r="N40" s="381"/>
      <c r="O40" s="381">
        <f>$E$40</f>
        <v>317438</v>
      </c>
      <c r="P40" s="381"/>
      <c r="Q40" s="381">
        <f>$E$40</f>
        <v>317438</v>
      </c>
      <c r="R40" s="381"/>
      <c r="S40" s="381">
        <f>$E$40</f>
        <v>317438</v>
      </c>
      <c r="T40" s="381"/>
      <c r="U40" s="381">
        <f>$E$40</f>
        <v>317438</v>
      </c>
      <c r="V40" s="381"/>
      <c r="W40" s="381">
        <f>$E$40</f>
        <v>317438</v>
      </c>
      <c r="X40" s="381"/>
      <c r="Y40" s="381">
        <f>$E$40</f>
        <v>317438</v>
      </c>
      <c r="Z40" s="381"/>
      <c r="AA40" s="381">
        <f>$E$40</f>
        <v>317438</v>
      </c>
      <c r="AB40" s="381"/>
      <c r="AC40" s="381">
        <f>$E$40</f>
        <v>317438</v>
      </c>
      <c r="AD40" s="381"/>
      <c r="AE40" s="381">
        <f>$E$40</f>
        <v>317438</v>
      </c>
      <c r="AF40" s="381"/>
      <c r="AG40" s="381">
        <f>$E$40</f>
        <v>317438</v>
      </c>
      <c r="AH40" s="373"/>
      <c r="AI40" s="373"/>
    </row>
    <row r="41" spans="1:35" ht="14.25" customHeight="1">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ustomHeight="1">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ustomHeight="1">
      <c r="A43" s="385" t="s">
        <v>2358</v>
      </c>
      <c r="B43" s="385"/>
      <c r="C43" s="386"/>
      <c r="D43" s="385"/>
      <c r="E43" s="385">
        <f>SUM(E40:E42)</f>
        <v>317438</v>
      </c>
      <c r="F43" s="385"/>
      <c r="G43" s="385">
        <f>SUM(G40:G42)</f>
        <v>317438</v>
      </c>
      <c r="H43" s="385"/>
      <c r="I43" s="385">
        <f>SUM(I40:I42)</f>
        <v>317438</v>
      </c>
      <c r="J43" s="385"/>
      <c r="K43" s="385">
        <f>SUM(K40:K42)</f>
        <v>317438</v>
      </c>
      <c r="L43" s="385"/>
      <c r="M43" s="385">
        <f>SUM(M40:M42)</f>
        <v>317438</v>
      </c>
      <c r="N43" s="385"/>
      <c r="O43" s="385">
        <f>SUM(O40:O42)</f>
        <v>317438</v>
      </c>
      <c r="P43" s="385"/>
      <c r="Q43" s="385">
        <f>SUM(Q40:Q42)</f>
        <v>317438</v>
      </c>
      <c r="R43" s="385"/>
      <c r="S43" s="385">
        <f>SUM(S40:S42)</f>
        <v>317438</v>
      </c>
      <c r="T43" s="385"/>
      <c r="U43" s="385">
        <f>SUM(U40:U42)</f>
        <v>317438</v>
      </c>
      <c r="V43" s="385"/>
      <c r="W43" s="385">
        <f>SUM(W40:W42)</f>
        <v>317438</v>
      </c>
      <c r="X43" s="385"/>
      <c r="Y43" s="385">
        <f>SUM(Y40:Y42)</f>
        <v>317438</v>
      </c>
      <c r="Z43" s="385"/>
      <c r="AA43" s="385">
        <f>SUM(AA40:AA42)</f>
        <v>317438</v>
      </c>
      <c r="AB43" s="385"/>
      <c r="AC43" s="385">
        <f>SUM(AC40:AC42)</f>
        <v>317438</v>
      </c>
      <c r="AD43" s="385"/>
      <c r="AE43" s="385">
        <f>SUM(AE40:AE42)</f>
        <v>317438</v>
      </c>
      <c r="AF43" s="385"/>
      <c r="AG43" s="385">
        <f>SUM(AG40:AG42)</f>
        <v>317438</v>
      </c>
      <c r="AH43" s="385"/>
      <c r="AI43" s="385"/>
    </row>
    <row r="44" spans="1:35" ht="14.25" customHeight="1">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ustomHeight="1">
      <c r="A45" s="385" t="s">
        <v>2359</v>
      </c>
      <c r="B45" s="385"/>
      <c r="C45" s="386"/>
      <c r="D45" s="385"/>
      <c r="E45" s="385">
        <f>E37-E43</f>
        <v>47615.79999999993</v>
      </c>
      <c r="F45" s="385"/>
      <c r="G45" s="385">
        <f>G37-G43</f>
        <v>54057.294999999809</v>
      </c>
      <c r="H45" s="385"/>
      <c r="I45" s="385">
        <f>I37-I43</f>
        <v>60557.326374999888</v>
      </c>
      <c r="J45" s="385"/>
      <c r="K45" s="385">
        <f>K37-K43</f>
        <v>67113.769999374868</v>
      </c>
      <c r="L45" s="385"/>
      <c r="M45" s="385">
        <f>M37-M43</f>
        <v>73724.323080634116</v>
      </c>
      <c r="N45" s="385"/>
      <c r="O45" s="385">
        <f>O37-O43</f>
        <v>80386.495298019552</v>
      </c>
      <c r="P45" s="385"/>
      <c r="Q45" s="385">
        <f>Q37-Q43</f>
        <v>87097.599565752724</v>
      </c>
      <c r="R45" s="385"/>
      <c r="S45" s="385">
        <f>S37-S43</f>
        <v>93854.74240616383</v>
      </c>
      <c r="T45" s="385"/>
      <c r="U45" s="385">
        <f>U37-U43</f>
        <v>100654.81391737988</v>
      </c>
      <c r="V45" s="385"/>
      <c r="W45" s="385">
        <f>W37-W43</f>
        <v>107494.47731966327</v>
      </c>
      <c r="X45" s="385"/>
      <c r="Y45" s="385">
        <f>Y37-Y43</f>
        <v>114370.15806390607</v>
      </c>
      <c r="Z45" s="385"/>
      <c r="AA45" s="385">
        <f>AA37-AA43</f>
        <v>121278.03248514852</v>
      </c>
      <c r="AB45" s="385"/>
      <c r="AC45" s="385">
        <f>AC37-AC43</f>
        <v>128214.01598335977</v>
      </c>
      <c r="AD45" s="385"/>
      <c r="AE45" s="385">
        <f>AE37-AE43</f>
        <v>135173.75071303907</v>
      </c>
      <c r="AF45" s="385"/>
      <c r="AG45" s="385">
        <f>AG37-AG43</f>
        <v>142152.59276251396</v>
      </c>
      <c r="AH45" s="385"/>
      <c r="AI45" s="385"/>
    </row>
    <row r="46" spans="1:35" ht="14.25" customHeight="1">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ustomHeight="1">
      <c r="A47" s="389" t="s">
        <v>2360</v>
      </c>
      <c r="B47" s="389"/>
      <c r="C47" s="382"/>
      <c r="D47" s="389"/>
      <c r="E47" s="389">
        <f>E45/(E4+E6+E8)</f>
        <v>6.7751179560730915E-2</v>
      </c>
      <c r="F47" s="389"/>
      <c r="G47" s="389">
        <f>G45/(G4+G6+G8)</f>
        <v>7.5040586550793292E-2</v>
      </c>
      <c r="H47" s="389"/>
      <c r="I47" s="389">
        <f>I45/(I4+I6+I8)</f>
        <v>8.201338501014134E-2</v>
      </c>
      <c r="J47" s="389"/>
      <c r="K47" s="389">
        <f>K45/(K4+K6+K8)</f>
        <v>8.8675942774974287E-2</v>
      </c>
      <c r="L47" s="389"/>
      <c r="M47" s="389">
        <f>M45/(M4+M6+M8)</f>
        <v>9.503445915550561E-2</v>
      </c>
      <c r="N47" s="389"/>
      <c r="O47" s="389">
        <f>O45/(O4+O6+O8)</f>
        <v>0.10109496891744624</v>
      </c>
      <c r="P47" s="389"/>
      <c r="Q47" s="389">
        <f>Q45/(Q4+Q6+Q8)</f>
        <v>0.10686334616512085</v>
      </c>
      <c r="R47" s="389"/>
      <c r="S47" s="389">
        <f>S45/(S4+S6+S8)</f>
        <v>0.11234530812860369</v>
      </c>
      <c r="T47" s="389"/>
      <c r="U47" s="389">
        <f>U45/(U4+U6+U8)</f>
        <v>0.11754641885720547</v>
      </c>
      <c r="V47" s="389"/>
      <c r="W47" s="389">
        <f>W45/(W4+W6+W8)</f>
        <v>0.12247209282157609</v>
      </c>
      <c r="X47" s="389"/>
      <c r="Y47" s="389">
        <f>Y45/(Y4+Y6+Y8)</f>
        <v>0.12712759842664842</v>
      </c>
      <c r="Z47" s="389"/>
      <c r="AA47" s="389">
        <f>AA45/(AA4+AA6+AA8)</f>
        <v>0.13151806143757649</v>
      </c>
      <c r="AB47" s="389"/>
      <c r="AC47" s="389">
        <f>AC45/(AC4+AC6+AC8)</f>
        <v>0.1356484683207842</v>
      </c>
      <c r="AD47" s="389"/>
      <c r="AE47" s="389">
        <f>AE45/(AE4+AE6+AE8)</f>
        <v>0.13952366950217632</v>
      </c>
      <c r="AF47" s="389"/>
      <c r="AG47" s="389">
        <f>AG45/(AG4+AG6+AG8)</f>
        <v>0.14314838254452408</v>
      </c>
      <c r="AH47" s="389"/>
      <c r="AI47" s="389"/>
    </row>
    <row r="48" spans="1:35" ht="14.25" customHeight="1">
      <c r="A48" s="389" t="s">
        <v>2361</v>
      </c>
      <c r="B48" s="389"/>
      <c r="C48" s="382"/>
      <c r="D48" s="389"/>
      <c r="E48" s="389">
        <f>E45/E43</f>
        <v>0.15000031502214584</v>
      </c>
      <c r="F48" s="389"/>
      <c r="G48" s="389">
        <f>G45/G43</f>
        <v>0.17029245080929128</v>
      </c>
      <c r="H48" s="389"/>
      <c r="I48" s="389">
        <f>I45/I43</f>
        <v>0.19076898914118628</v>
      </c>
      <c r="J48" s="389"/>
      <c r="K48" s="389">
        <f>K45/K43</f>
        <v>0.21142323855170103</v>
      </c>
      <c r="L48" s="389"/>
      <c r="M48" s="389">
        <f>M45/M43</f>
        <v>0.2322479447345123</v>
      </c>
      <c r="N48" s="389"/>
      <c r="O48" s="389">
        <f>O45/O43</f>
        <v>0.25323526262772433</v>
      </c>
      <c r="P48" s="389"/>
      <c r="Q48" s="389">
        <f>Q45/Q43</f>
        <v>0.27437672731605139</v>
      </c>
      <c r="R48" s="389"/>
      <c r="S48" s="389">
        <f>S45/S43</f>
        <v>0.29566322370404247</v>
      </c>
      <c r="T48" s="389"/>
      <c r="U48" s="389">
        <f>U45/U43</f>
        <v>0.31708495491207694</v>
      </c>
      <c r="V48" s="389"/>
      <c r="W48" s="389">
        <f>W45/W43</f>
        <v>0.33863140934501629</v>
      </c>
      <c r="X48" s="389"/>
      <c r="Y48" s="389">
        <f>Y45/Y43</f>
        <v>0.36029132638154876</v>
      </c>
      <c r="Z48" s="389"/>
      <c r="AA48" s="389">
        <f>AA45/AA43</f>
        <v>0.38205266063026017</v>
      </c>
      <c r="AB48" s="389"/>
      <c r="AC48" s="389">
        <f>AC45/AC43</f>
        <v>0.40390254469647546</v>
      </c>
      <c r="AD48" s="389"/>
      <c r="AE48" s="389">
        <f>AE45/AE43</f>
        <v>0.42582725040177632</v>
      </c>
      <c r="AF48" s="389"/>
      <c r="AG48" s="389">
        <f>AG45/AG43</f>
        <v>0.44781214839595118</v>
      </c>
      <c r="AH48" s="389"/>
      <c r="AI48" s="389"/>
    </row>
    <row r="49" spans="1:35" ht="14.25" customHeight="1">
      <c r="A49" s="390" t="s">
        <v>2307</v>
      </c>
      <c r="B49" s="390"/>
      <c r="C49" s="391"/>
      <c r="D49" s="390"/>
      <c r="E49" s="390">
        <f>E37/E43</f>
        <v>1.1500003150221458</v>
      </c>
      <c r="F49" s="390"/>
      <c r="G49" s="390">
        <f>G37/G43</f>
        <v>1.1702924508092913</v>
      </c>
      <c r="H49" s="390"/>
      <c r="I49" s="390">
        <f>I37/I43</f>
        <v>1.1907689891411863</v>
      </c>
      <c r="J49" s="390"/>
      <c r="K49" s="390">
        <f>K37/K43</f>
        <v>1.211423238551701</v>
      </c>
      <c r="L49" s="390"/>
      <c r="M49" s="390">
        <f>M37/M43</f>
        <v>1.2322479447345123</v>
      </c>
      <c r="N49" s="390"/>
      <c r="O49" s="390">
        <f>O37/O43</f>
        <v>1.2532352626277243</v>
      </c>
      <c r="P49" s="390"/>
      <c r="Q49" s="390">
        <f>Q37/Q43</f>
        <v>1.2743767273160513</v>
      </c>
      <c r="R49" s="390"/>
      <c r="S49" s="390">
        <f>S37/S43</f>
        <v>1.2956632237040424</v>
      </c>
      <c r="T49" s="390"/>
      <c r="U49" s="390">
        <f>U37/U43</f>
        <v>1.3170849549120769</v>
      </c>
      <c r="V49" s="390"/>
      <c r="W49" s="390">
        <f>W37/W43</f>
        <v>1.3386314093450162</v>
      </c>
      <c r="X49" s="390"/>
      <c r="Y49" s="390">
        <f>Y37/Y43</f>
        <v>1.3602913263815488</v>
      </c>
      <c r="Z49" s="390"/>
      <c r="AA49" s="390">
        <f>AA37/AA43</f>
        <v>1.3820526606302601</v>
      </c>
      <c r="AB49" s="390"/>
      <c r="AC49" s="390">
        <f>AC37/AC43</f>
        <v>1.4039025446964755</v>
      </c>
      <c r="AD49" s="390"/>
      <c r="AE49" s="390">
        <f>AE37/AE43</f>
        <v>1.4258272504017764</v>
      </c>
      <c r="AF49" s="390"/>
      <c r="AG49" s="390">
        <f>AG37/AG43</f>
        <v>1.4478121483959512</v>
      </c>
      <c r="AH49" s="390"/>
      <c r="AI49" s="390"/>
    </row>
    <row r="50" spans="1:35" ht="14.25" customHeight="1">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2362</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2363</v>
      </c>
      <c r="B53" s="371"/>
      <c r="C53" s="811">
        <v>1</v>
      </c>
      <c r="D53" s="371"/>
      <c r="E53" s="398">
        <v>3900</v>
      </c>
      <c r="F53" s="371"/>
      <c r="G53" s="813">
        <f>E53*$C$53</f>
        <v>3900</v>
      </c>
      <c r="H53" s="813"/>
      <c r="I53" s="813">
        <f>G53*$C$53</f>
        <v>3900</v>
      </c>
      <c r="J53" s="813"/>
      <c r="K53" s="813">
        <f>I53*$C$53</f>
        <v>3900</v>
      </c>
      <c r="L53" s="813"/>
      <c r="M53" s="813">
        <f>K53*$C$53</f>
        <v>3900</v>
      </c>
      <c r="N53" s="813"/>
      <c r="O53" s="813">
        <f>M53*$C$53</f>
        <v>3900</v>
      </c>
      <c r="P53" s="813"/>
      <c r="Q53" s="813">
        <f>O53*$C$53</f>
        <v>3900</v>
      </c>
      <c r="R53" s="813"/>
      <c r="S53" s="813">
        <f>Q53*$C$53</f>
        <v>3900</v>
      </c>
      <c r="T53" s="813"/>
      <c r="U53" s="813">
        <f>S53*$C$53</f>
        <v>3900</v>
      </c>
      <c r="V53" s="813"/>
      <c r="W53" s="813">
        <f>U53*$C$53</f>
        <v>3900</v>
      </c>
      <c r="X53" s="813"/>
      <c r="Y53" s="813">
        <f>W53*$C$53</f>
        <v>3900</v>
      </c>
      <c r="Z53" s="813"/>
      <c r="AA53" s="813">
        <f>Y53*$C$53</f>
        <v>3900</v>
      </c>
      <c r="AB53" s="813"/>
      <c r="AC53" s="813">
        <f>AA53*$C$53</f>
        <v>3900</v>
      </c>
      <c r="AD53" s="813"/>
      <c r="AE53" s="813">
        <f>AC53*$C$53</f>
        <v>3900</v>
      </c>
      <c r="AF53" s="813"/>
      <c r="AG53" s="813">
        <f>AE53*$C$53</f>
        <v>3900</v>
      </c>
      <c r="AH53" s="371"/>
      <c r="AI53" s="371"/>
    </row>
    <row r="54" spans="1:35">
      <c r="A54" s="358" t="s">
        <v>2364</v>
      </c>
      <c r="B54" s="358"/>
      <c r="C54" s="406"/>
      <c r="D54" s="358"/>
      <c r="E54" s="399">
        <v>7500</v>
      </c>
      <c r="F54" s="377"/>
      <c r="G54" s="812">
        <f>E54*$C$53</f>
        <v>7500</v>
      </c>
      <c r="H54" s="812"/>
      <c r="I54" s="812">
        <f>G54*$C$53</f>
        <v>7500</v>
      </c>
      <c r="J54" s="812"/>
      <c r="K54" s="812">
        <f>I54*$C$53</f>
        <v>7500</v>
      </c>
      <c r="L54" s="812"/>
      <c r="M54" s="812">
        <f>K54*$C$53</f>
        <v>7500</v>
      </c>
      <c r="N54" s="812"/>
      <c r="O54" s="812">
        <f>M54*$C$53</f>
        <v>7500</v>
      </c>
      <c r="P54" s="812"/>
      <c r="Q54" s="812">
        <f>O54*$C$53</f>
        <v>7500</v>
      </c>
      <c r="R54" s="812"/>
      <c r="S54" s="812">
        <f>Q54*$C$53</f>
        <v>7500</v>
      </c>
      <c r="T54" s="812"/>
      <c r="U54" s="812">
        <f>S54*$C$53</f>
        <v>7500</v>
      </c>
      <c r="V54" s="812"/>
      <c r="W54" s="812">
        <f>U54*$C$53</f>
        <v>7500</v>
      </c>
      <c r="X54" s="812"/>
      <c r="Y54" s="812">
        <f>W54*$C$53</f>
        <v>7500</v>
      </c>
      <c r="Z54" s="812"/>
      <c r="AA54" s="812">
        <f>Y54*$C$53</f>
        <v>7500</v>
      </c>
      <c r="AB54" s="812"/>
      <c r="AC54" s="812">
        <f>AA54*$C$53</f>
        <v>7500</v>
      </c>
      <c r="AD54" s="812"/>
      <c r="AE54" s="812">
        <f>AC54*$C$53</f>
        <v>7500</v>
      </c>
      <c r="AF54" s="812"/>
      <c r="AG54" s="812">
        <f>AE54*$C$53</f>
        <v>7500</v>
      </c>
      <c r="AH54" s="377"/>
      <c r="AI54" s="377"/>
    </row>
    <row r="55" spans="1:35">
      <c r="A55" s="358" t="s">
        <v>2365</v>
      </c>
      <c r="B55" s="358"/>
      <c r="C55" s="406"/>
      <c r="D55" s="358"/>
      <c r="E55" s="399">
        <v>3900</v>
      </c>
      <c r="F55" s="377"/>
      <c r="G55" s="812">
        <f>E55*$C$53</f>
        <v>3900</v>
      </c>
      <c r="H55" s="812"/>
      <c r="I55" s="812">
        <f>G55*$C$53</f>
        <v>3900</v>
      </c>
      <c r="J55" s="812"/>
      <c r="K55" s="812">
        <f>I55*$C$53</f>
        <v>3900</v>
      </c>
      <c r="L55" s="812"/>
      <c r="M55" s="812">
        <f>K55*$C$53</f>
        <v>3900</v>
      </c>
      <c r="N55" s="812"/>
      <c r="O55" s="812">
        <f>M55*$C$53</f>
        <v>3900</v>
      </c>
      <c r="P55" s="812"/>
      <c r="Q55" s="812">
        <f>O55*$C$53</f>
        <v>3900</v>
      </c>
      <c r="R55" s="812"/>
      <c r="S55" s="812">
        <f>Q55*$C$53</f>
        <v>3900</v>
      </c>
      <c r="T55" s="812"/>
      <c r="U55" s="812">
        <f>S55*$C$53</f>
        <v>3900</v>
      </c>
      <c r="V55" s="812"/>
      <c r="W55" s="812">
        <f>U55*$C$53</f>
        <v>3900</v>
      </c>
      <c r="X55" s="812"/>
      <c r="Y55" s="812">
        <f>W55*$C$53</f>
        <v>3900</v>
      </c>
      <c r="Z55" s="812"/>
      <c r="AA55" s="812">
        <f>Y55*$C$53</f>
        <v>3900</v>
      </c>
      <c r="AB55" s="812"/>
      <c r="AC55" s="812">
        <f>AA55*$C$53</f>
        <v>3900</v>
      </c>
      <c r="AD55" s="812"/>
      <c r="AE55" s="812">
        <f>AC55*$C$53</f>
        <v>3900</v>
      </c>
      <c r="AF55" s="812"/>
      <c r="AG55" s="812">
        <f>AE55*$C$53</f>
        <v>3900</v>
      </c>
      <c r="AH55" s="377"/>
      <c r="AI55" s="377"/>
    </row>
    <row r="56" spans="1:35">
      <c r="A56" s="397"/>
      <c r="B56" s="397"/>
      <c r="C56" s="406"/>
      <c r="D56" s="358"/>
      <c r="E56" s="399"/>
      <c r="F56" s="377"/>
      <c r="G56" s="812">
        <f>E56*$C$53</f>
        <v>0</v>
      </c>
      <c r="H56" s="812"/>
      <c r="I56" s="812">
        <f>G56*$C$53</f>
        <v>0</v>
      </c>
      <c r="J56" s="812"/>
      <c r="K56" s="812">
        <f>I56*$C$53</f>
        <v>0</v>
      </c>
      <c r="L56" s="812"/>
      <c r="M56" s="812">
        <f>K56*$C$53</f>
        <v>0</v>
      </c>
      <c r="N56" s="812"/>
      <c r="O56" s="812">
        <f>M56*$C$53</f>
        <v>0</v>
      </c>
      <c r="P56" s="812"/>
      <c r="Q56" s="812">
        <f>O56*$C$53</f>
        <v>0</v>
      </c>
      <c r="R56" s="812"/>
      <c r="S56" s="812">
        <f>Q56*$C$53</f>
        <v>0</v>
      </c>
      <c r="T56" s="812"/>
      <c r="U56" s="812">
        <f>S56*$C$53</f>
        <v>0</v>
      </c>
      <c r="V56" s="812"/>
      <c r="W56" s="812">
        <f>U56*$C$53</f>
        <v>0</v>
      </c>
      <c r="X56" s="812"/>
      <c r="Y56" s="812">
        <f>W56*$C$53</f>
        <v>0</v>
      </c>
      <c r="Z56" s="812"/>
      <c r="AA56" s="812">
        <f>Y56*$C$53</f>
        <v>0</v>
      </c>
      <c r="AB56" s="812"/>
      <c r="AC56" s="812">
        <f>AA56*$C$53</f>
        <v>0</v>
      </c>
      <c r="AD56" s="812"/>
      <c r="AE56" s="812">
        <f>AC56*$C$53</f>
        <v>0</v>
      </c>
      <c r="AF56" s="812"/>
      <c r="AG56" s="812">
        <f>AE56*$C$53</f>
        <v>0</v>
      </c>
      <c r="AH56" s="377"/>
      <c r="AI56" s="377"/>
    </row>
    <row r="57" spans="1:35">
      <c r="A57" s="397"/>
      <c r="B57" s="397"/>
      <c r="C57" s="406"/>
      <c r="D57" s="358"/>
      <c r="E57" s="403"/>
      <c r="F57" s="377"/>
      <c r="G57" s="814">
        <f>E57*$C$53</f>
        <v>0</v>
      </c>
      <c r="H57" s="812"/>
      <c r="I57" s="814">
        <f>G57*$C$53</f>
        <v>0</v>
      </c>
      <c r="J57" s="812"/>
      <c r="K57" s="814">
        <f>I57*$C$53</f>
        <v>0</v>
      </c>
      <c r="L57" s="812"/>
      <c r="M57" s="814">
        <f>K57*$C$53</f>
        <v>0</v>
      </c>
      <c r="N57" s="812"/>
      <c r="O57" s="814">
        <f>M57*$C$53</f>
        <v>0</v>
      </c>
      <c r="P57" s="812"/>
      <c r="Q57" s="814">
        <f>O57*$C$53</f>
        <v>0</v>
      </c>
      <c r="R57" s="812"/>
      <c r="S57" s="814">
        <f>Q57*$C$53</f>
        <v>0</v>
      </c>
      <c r="T57" s="812"/>
      <c r="U57" s="814">
        <f>S57*$C$53</f>
        <v>0</v>
      </c>
      <c r="V57" s="812"/>
      <c r="W57" s="814">
        <f>U57*$C$53</f>
        <v>0</v>
      </c>
      <c r="X57" s="812"/>
      <c r="Y57" s="814">
        <f>W57*$C$53</f>
        <v>0</v>
      </c>
      <c r="Z57" s="812"/>
      <c r="AA57" s="814">
        <f>Y57*$C$53</f>
        <v>0</v>
      </c>
      <c r="AB57" s="812"/>
      <c r="AC57" s="814">
        <f>AA57*$C$53</f>
        <v>0</v>
      </c>
      <c r="AD57" s="812"/>
      <c r="AE57" s="814">
        <f>AC57*$C$53</f>
        <v>0</v>
      </c>
      <c r="AF57" s="812"/>
      <c r="AG57" s="814">
        <f>AE57*$C$53</f>
        <v>0</v>
      </c>
      <c r="AH57" s="377"/>
      <c r="AI57" s="377"/>
    </row>
    <row r="58" spans="1:35">
      <c r="A58" s="371" t="s">
        <v>2366</v>
      </c>
      <c r="B58" s="358"/>
      <c r="C58" s="395"/>
      <c r="D58" s="358"/>
      <c r="E58" s="377">
        <f>SUM(E53:E57)</f>
        <v>15300</v>
      </c>
      <c r="F58" s="377"/>
      <c r="G58" s="377">
        <f>SUM(G53:G57)</f>
        <v>15300</v>
      </c>
      <c r="H58" s="377"/>
      <c r="I58" s="377">
        <f>SUM(I53:I57)</f>
        <v>15300</v>
      </c>
      <c r="J58" s="377"/>
      <c r="K58" s="377">
        <f>SUM(K53:K57)</f>
        <v>15300</v>
      </c>
      <c r="L58" s="377"/>
      <c r="M58" s="377">
        <f>SUM(M53:M57)</f>
        <v>15300</v>
      </c>
      <c r="N58" s="377"/>
      <c r="O58" s="377">
        <f>SUM(O53:O57)</f>
        <v>15300</v>
      </c>
      <c r="P58" s="377"/>
      <c r="Q58" s="377">
        <f>SUM(Q53:Q57)</f>
        <v>15300</v>
      </c>
      <c r="R58" s="377"/>
      <c r="S58" s="377">
        <f>SUM(S53:S57)</f>
        <v>15300</v>
      </c>
      <c r="T58" s="377"/>
      <c r="U58" s="377">
        <f>SUM(U53:U57)</f>
        <v>15300</v>
      </c>
      <c r="V58" s="377"/>
      <c r="W58" s="377">
        <f>SUM(W53:W57)</f>
        <v>15300</v>
      </c>
      <c r="X58" s="377"/>
      <c r="Y58" s="377">
        <f>SUM(Y53:Y57)</f>
        <v>15300</v>
      </c>
      <c r="Z58" s="377"/>
      <c r="AA58" s="377">
        <f>SUM(AA53:AA57)</f>
        <v>15300</v>
      </c>
      <c r="AB58" s="377"/>
      <c r="AC58" s="377">
        <f>SUM(AC53:AC57)</f>
        <v>15300</v>
      </c>
      <c r="AD58" s="377"/>
      <c r="AE58" s="377">
        <f>SUM(AE53:AE57)</f>
        <v>15300</v>
      </c>
      <c r="AF58" s="377"/>
      <c r="AG58" s="377">
        <f>SUM(AG53:AG57)</f>
        <v>15300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2367</v>
      </c>
      <c r="B60" s="371"/>
      <c r="C60" s="396"/>
      <c r="D60" s="371"/>
      <c r="E60" s="371">
        <f>E45-E58</f>
        <v>32315.79999999993</v>
      </c>
      <c r="F60" s="371"/>
      <c r="G60" s="371">
        <f>G45-G58</f>
        <v>38757.294999999809</v>
      </c>
      <c r="H60" s="371"/>
      <c r="I60" s="371">
        <f>I45-I58</f>
        <v>45257.326374999888</v>
      </c>
      <c r="J60" s="371"/>
      <c r="K60" s="371">
        <f>K45-K58</f>
        <v>51813.769999374868</v>
      </c>
      <c r="L60" s="371"/>
      <c r="M60" s="371">
        <f>M45-M58</f>
        <v>58424.323080634116</v>
      </c>
      <c r="N60" s="371"/>
      <c r="O60" s="371">
        <f>O45-O58</f>
        <v>65086.495298019552</v>
      </c>
      <c r="P60" s="371"/>
      <c r="Q60" s="371">
        <f>Q45-Q58</f>
        <v>71797.599565752724</v>
      </c>
      <c r="R60" s="371"/>
      <c r="S60" s="371">
        <f>S45-S58</f>
        <v>78554.74240616383</v>
      </c>
      <c r="T60" s="371"/>
      <c r="U60" s="371">
        <f>U45-U58</f>
        <v>85354.813917379885</v>
      </c>
      <c r="V60" s="371"/>
      <c r="W60" s="371">
        <f>W45-W58</f>
        <v>92194.477319663274</v>
      </c>
      <c r="X60" s="371"/>
      <c r="Y60" s="371">
        <f>Y45-Y58</f>
        <v>99070.15806390607</v>
      </c>
      <c r="Z60" s="371"/>
      <c r="AA60" s="371">
        <f>AA45-AA58</f>
        <v>105978.03248514852</v>
      </c>
      <c r="AB60" s="371"/>
      <c r="AC60" s="371">
        <f>AC45-AC58</f>
        <v>112914.01598335977</v>
      </c>
      <c r="AD60" s="371"/>
      <c r="AE60" s="371">
        <f>AE45-AE58</f>
        <v>119873.75071303907</v>
      </c>
      <c r="AF60" s="371"/>
      <c r="AG60" s="371">
        <f>AG45-AG58</f>
        <v>126852.59276251396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2368</v>
      </c>
      <c r="B62" s="371"/>
      <c r="C62" s="816">
        <v>1</v>
      </c>
      <c r="D62" s="371"/>
      <c r="E62" s="398">
        <v>32316</v>
      </c>
      <c r="F62" s="371"/>
      <c r="G62" s="815">
        <f>G60*$C$62</f>
        <v>38757.294999999809</v>
      </c>
      <c r="H62" s="371"/>
      <c r="I62" s="815">
        <f>I60*$C$62</f>
        <v>45257.326374999888</v>
      </c>
      <c r="J62" s="371"/>
      <c r="K62" s="815">
        <f>K60*$C$62</f>
        <v>51813.769999374868</v>
      </c>
      <c r="L62" s="371"/>
      <c r="M62" s="815">
        <f>M60*$C$62</f>
        <v>58424.323080634116</v>
      </c>
      <c r="N62" s="371"/>
      <c r="O62" s="815">
        <f>O60*$C$62</f>
        <v>65086.495298019552</v>
      </c>
      <c r="P62" s="371"/>
      <c r="Q62" s="815">
        <f>Q60*$C$62</f>
        <v>71797.599565752724</v>
      </c>
      <c r="R62" s="371"/>
      <c r="S62" s="815">
        <f>S60*$C$62</f>
        <v>78554.74240616383</v>
      </c>
      <c r="T62" s="371"/>
      <c r="U62" s="815">
        <f>U60*$C$62</f>
        <v>85354.813917379885</v>
      </c>
      <c r="V62" s="371"/>
      <c r="W62" s="815">
        <f>W60*$C$62</f>
        <v>92194.477319663274</v>
      </c>
      <c r="X62" s="371"/>
      <c r="Y62" s="815">
        <f>Y60*$C$62</f>
        <v>99070.15806390607</v>
      </c>
      <c r="Z62" s="371"/>
      <c r="AA62" s="815">
        <f>AA60*$C$62</f>
        <v>105978.03248514852</v>
      </c>
      <c r="AB62" s="371"/>
      <c r="AC62" s="815">
        <f>AC60*$C$62</f>
        <v>112914.01598335977</v>
      </c>
      <c r="AD62" s="371"/>
      <c r="AE62" s="815">
        <f>AE60*$C$62</f>
        <v>119873.75071303907</v>
      </c>
      <c r="AF62" s="371"/>
      <c r="AG62" s="815">
        <f>AG60*$C$62</f>
        <v>126852.59276251396</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2369</v>
      </c>
      <c r="B65" s="358"/>
      <c r="C65" s="817"/>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18">
        <f>G60*$C$65</f>
        <v>0</v>
      </c>
      <c r="H67" s="377"/>
      <c r="I67" s="818">
        <f>I60*$C$65</f>
        <v>0</v>
      </c>
      <c r="J67" s="377"/>
      <c r="K67" s="818">
        <f>K60*$C$65</f>
        <v>0</v>
      </c>
      <c r="L67" s="377"/>
      <c r="M67" s="818">
        <f>M60*$C$65</f>
        <v>0</v>
      </c>
      <c r="N67" s="377"/>
      <c r="O67" s="818">
        <f>O60*$C$65</f>
        <v>0</v>
      </c>
      <c r="P67" s="377"/>
      <c r="Q67" s="818">
        <f>Q60*$C$65</f>
        <v>0</v>
      </c>
      <c r="R67" s="377"/>
      <c r="S67" s="818">
        <f>S60*$C$65</f>
        <v>0</v>
      </c>
      <c r="T67" s="377"/>
      <c r="U67" s="818">
        <f>U60*$C$65</f>
        <v>0</v>
      </c>
      <c r="V67" s="377"/>
      <c r="W67" s="818">
        <f>W60*$C$65</f>
        <v>0</v>
      </c>
      <c r="X67" s="377"/>
      <c r="Y67" s="818">
        <f>Y60*$C$65</f>
        <v>0</v>
      </c>
      <c r="Z67" s="377"/>
      <c r="AA67" s="818">
        <f>AA60*$C$65</f>
        <v>0</v>
      </c>
      <c r="AB67" s="377"/>
      <c r="AC67" s="818">
        <f>AC60*$C$65</f>
        <v>0</v>
      </c>
      <c r="AD67" s="377"/>
      <c r="AE67" s="818">
        <f>AE60*$C$65</f>
        <v>0</v>
      </c>
      <c r="AF67" s="377"/>
      <c r="AG67" s="818">
        <f>AG60*$C$65</f>
        <v>0</v>
      </c>
      <c r="AH67" s="377"/>
      <c r="AI67" s="377"/>
    </row>
    <row r="68" spans="1:35">
      <c r="A68" s="398"/>
      <c r="B68" s="398"/>
      <c r="C68" s="396"/>
      <c r="D68" s="371"/>
      <c r="E68" s="398"/>
      <c r="F68" s="371"/>
      <c r="G68" s="818">
        <f>G60*$C$65</f>
        <v>0</v>
      </c>
      <c r="H68" s="371"/>
      <c r="I68" s="818">
        <f>I60*$C$65</f>
        <v>0</v>
      </c>
      <c r="J68" s="371"/>
      <c r="K68" s="818">
        <f>K60*$C$65</f>
        <v>0</v>
      </c>
      <c r="L68" s="371"/>
      <c r="M68" s="818">
        <f>M60*$C$65</f>
        <v>0</v>
      </c>
      <c r="N68" s="371"/>
      <c r="O68" s="818">
        <f>O60*$C$65</f>
        <v>0</v>
      </c>
      <c r="P68" s="371"/>
      <c r="Q68" s="818">
        <f>Q60*$C$65</f>
        <v>0</v>
      </c>
      <c r="R68" s="371"/>
      <c r="S68" s="818">
        <f>S60*$C$65</f>
        <v>0</v>
      </c>
      <c r="T68" s="371"/>
      <c r="U68" s="818">
        <f>U60*$C$65</f>
        <v>0</v>
      </c>
      <c r="V68" s="371"/>
      <c r="W68" s="818">
        <f>W60*$C$65</f>
        <v>0</v>
      </c>
      <c r="X68" s="371"/>
      <c r="Y68" s="818">
        <f>Y60*$C$65</f>
        <v>0</v>
      </c>
      <c r="Z68" s="371"/>
      <c r="AA68" s="818">
        <f>AA60*$C$65</f>
        <v>0</v>
      </c>
      <c r="AB68" s="371"/>
      <c r="AC68" s="818">
        <f>AC60*$C$65</f>
        <v>0</v>
      </c>
      <c r="AD68" s="371"/>
      <c r="AE68" s="818">
        <f>AE60*$C$65</f>
        <v>0</v>
      </c>
      <c r="AF68" s="371"/>
      <c r="AG68" s="818">
        <f>AG60*$C$65</f>
        <v>0</v>
      </c>
      <c r="AH68" s="371"/>
      <c r="AI68" s="371"/>
    </row>
    <row r="69" spans="1:35">
      <c r="A69" s="399"/>
      <c r="B69" s="399"/>
      <c r="C69" s="379"/>
      <c r="D69" s="377"/>
      <c r="E69" s="403"/>
      <c r="F69" s="377"/>
      <c r="G69" s="819">
        <f>G60*$C$65</f>
        <v>0</v>
      </c>
      <c r="H69" s="377"/>
      <c r="I69" s="819">
        <f>I60*$C$65</f>
        <v>0</v>
      </c>
      <c r="J69" s="377"/>
      <c r="K69" s="819">
        <f>K60*$C$65</f>
        <v>0</v>
      </c>
      <c r="L69" s="377"/>
      <c r="M69" s="819">
        <f>M60*$C$65</f>
        <v>0</v>
      </c>
      <c r="N69" s="377"/>
      <c r="O69" s="819">
        <f>O60*$C$65</f>
        <v>0</v>
      </c>
      <c r="P69" s="377"/>
      <c r="Q69" s="819">
        <f>Q60*$C$65</f>
        <v>0</v>
      </c>
      <c r="R69" s="377"/>
      <c r="S69" s="819">
        <f>S60*$C$65</f>
        <v>0</v>
      </c>
      <c r="T69" s="377"/>
      <c r="U69" s="819">
        <f>U60*$C$65</f>
        <v>0</v>
      </c>
      <c r="V69" s="377"/>
      <c r="W69" s="819">
        <f>W60*$C$65</f>
        <v>0</v>
      </c>
      <c r="X69" s="377"/>
      <c r="Y69" s="819">
        <f>Y60*$C$65</f>
        <v>0</v>
      </c>
      <c r="Z69" s="377"/>
      <c r="AA69" s="819">
        <f>AA60*$C$65</f>
        <v>0</v>
      </c>
      <c r="AB69" s="377"/>
      <c r="AC69" s="819">
        <f>AC60*$C$65</f>
        <v>0</v>
      </c>
      <c r="AD69" s="377"/>
      <c r="AE69" s="819">
        <f>AE60*$C$65</f>
        <v>0</v>
      </c>
      <c r="AF69" s="377"/>
      <c r="AG69" s="819">
        <f>AG60*$C$65</f>
        <v>0</v>
      </c>
      <c r="AH69" s="377"/>
      <c r="AI69" s="377"/>
    </row>
    <row r="70" spans="1:35">
      <c r="A70" s="815" t="s">
        <v>2366</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5" t="s">
        <v>2370</v>
      </c>
      <c r="B72" s="377"/>
      <c r="C72" s="379"/>
      <c r="D72" s="377"/>
      <c r="E72" s="371">
        <f>E60-E62-E70</f>
        <v>-0.20000000006984919</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2371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575" t="s">
        <v>2372</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mergeCells count="1">
    <mergeCell ref="A77:AG77"/>
  </mergeCells>
  <printOptions verticalCentered="1"/>
  <pageMargins left="0.7" right="0.7" top="0.75" bottom="0.75" header="0.3" footer="0.3"/>
  <pageSetup paperSize="5" scale="47" firstPageNumber="46" orientation="landscape" useFirstPageNumber="1"/>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 width="9.140625" style="337" customWidth="1"/>
    <col min="2" max="16384" width="9.140625" style="337"/>
  </cols>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9"/>
  <sheetViews>
    <sheetView workbookViewId="0"/>
  </sheetViews>
  <sheetFormatPr defaultColWidth="0" defaultRowHeight="12.75" zeroHeight="1"/>
  <cols>
    <col min="1" max="1" width="161.5703125" customWidth="1"/>
    <col min="2" max="2" width="8.85546875" hidden="1" customWidth="1"/>
    <col min="3" max="16384" width="8.85546875" hidden="1"/>
  </cols>
  <sheetData>
    <row r="1" spans="1:1" s="300" customFormat="1" ht="45" customHeight="1">
      <c r="A1" s="484" t="s">
        <v>2373</v>
      </c>
    </row>
    <row r="2" spans="1:1" ht="15.75" customHeight="1">
      <c r="A2" s="482"/>
    </row>
    <row r="3" spans="1:1" ht="15.75" customHeight="1">
      <c r="A3" s="483" t="s">
        <v>2374</v>
      </c>
    </row>
    <row r="4" spans="1:1" ht="15.75" customHeight="1">
      <c r="A4" s="483" t="s">
        <v>2375</v>
      </c>
    </row>
    <row r="5" spans="1:1" ht="15.75" customHeight="1">
      <c r="A5" s="483" t="s">
        <v>2376</v>
      </c>
    </row>
    <row r="6" spans="1:1" ht="15.75" customHeight="1">
      <c r="A6" s="483" t="s">
        <v>2377</v>
      </c>
    </row>
    <row r="7" spans="1:1" ht="15.75" customHeight="1">
      <c r="A7" s="483" t="s">
        <v>2378</v>
      </c>
    </row>
    <row r="8" spans="1:1" ht="15.75" customHeight="1">
      <c r="A8" s="560" t="s">
        <v>2379</v>
      </c>
    </row>
    <row r="9" spans="1:1" ht="15.75" customHeight="1">
      <c r="A9" s="483" t="s">
        <v>2380</v>
      </c>
    </row>
  </sheetData>
  <sheetProtection algorithmName="SHA-512" hashValue="6+WT2Aerf/SG0KL4WeAVS10eJl30sSQtQoJIgfvd/uGMyO55dPBT/xSlCMStnB167jGdbYFcW/b1YJRKgywvkw==" saltValue="u1JxLPqBVSnQXn0P7OKjHQ==" spinCount="100000" sheet="1" objects="1" scenarios="1" selectLockedCells="1"/>
  <pageMargins left="0.7" right="0.7" top="0.75" bottom="0.75" header="0.3" footer="0.3"/>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6" t="s">
        <v>2381</v>
      </c>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1073"/>
    </row>
    <row r="2" spans="1:40" ht="12.95" customHeight="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1169</v>
      </c>
      <c r="F5" s="3"/>
    </row>
    <row r="6" spans="1:40" ht="12.95" customHeight="1">
      <c r="B6" s="90"/>
    </row>
    <row r="7" spans="1:40" ht="12.95" customHeight="1">
      <c r="B7" s="6"/>
      <c r="C7" s="7"/>
      <c r="D7" s="7"/>
      <c r="E7" s="7"/>
      <c r="F7" s="7"/>
      <c r="G7" s="7"/>
      <c r="H7" s="7"/>
      <c r="I7" s="7"/>
      <c r="J7" s="7"/>
      <c r="K7" s="7"/>
      <c r="L7" s="7"/>
      <c r="M7" s="7"/>
      <c r="N7" s="7"/>
      <c r="O7" s="7"/>
      <c r="P7" s="7"/>
      <c r="Q7" s="7"/>
      <c r="R7" s="7"/>
      <c r="S7" s="7"/>
      <c r="T7" s="1358" t="s">
        <v>2382</v>
      </c>
      <c r="U7" s="1073"/>
      <c r="V7" s="1073"/>
      <c r="W7" s="1073"/>
      <c r="X7" s="1074"/>
      <c r="Y7" s="1358" t="s">
        <v>2383</v>
      </c>
      <c r="Z7" s="1073"/>
      <c r="AA7" s="1073"/>
      <c r="AB7" s="1073"/>
      <c r="AC7" s="1074"/>
      <c r="AD7" s="1358" t="s">
        <v>2384</v>
      </c>
      <c r="AE7" s="1073"/>
      <c r="AF7" s="1073"/>
      <c r="AG7" s="1073"/>
      <c r="AH7" s="1074"/>
      <c r="AI7" s="1358" t="s">
        <v>2385</v>
      </c>
      <c r="AJ7" s="1073"/>
      <c r="AK7" s="1073"/>
      <c r="AL7" s="1073"/>
      <c r="AM7" s="1074"/>
    </row>
    <row r="8" spans="1:40" ht="12.95" customHeight="1">
      <c r="B8" s="202"/>
      <c r="T8" s="1091"/>
      <c r="U8" s="976"/>
      <c r="V8" s="976"/>
      <c r="W8" s="976"/>
      <c r="X8" s="977"/>
      <c r="Y8" s="1091"/>
      <c r="Z8" s="976"/>
      <c r="AA8" s="976"/>
      <c r="AB8" s="976"/>
      <c r="AC8" s="977"/>
      <c r="AD8" s="1091"/>
      <c r="AE8" s="976"/>
      <c r="AF8" s="976"/>
      <c r="AG8" s="976"/>
      <c r="AH8" s="977"/>
      <c r="AI8" s="1091"/>
      <c r="AJ8" s="976"/>
      <c r="AK8" s="976"/>
      <c r="AL8" s="976"/>
      <c r="AM8" s="977"/>
    </row>
    <row r="9" spans="1:40" ht="12.95" customHeight="1">
      <c r="B9" s="202"/>
      <c r="T9" s="1091"/>
      <c r="U9" s="976"/>
      <c r="V9" s="976"/>
      <c r="W9" s="976"/>
      <c r="X9" s="977"/>
      <c r="Y9" s="1091"/>
      <c r="Z9" s="976"/>
      <c r="AA9" s="976"/>
      <c r="AB9" s="976"/>
      <c r="AC9" s="977"/>
      <c r="AD9" s="1091"/>
      <c r="AE9" s="976"/>
      <c r="AF9" s="976"/>
      <c r="AG9" s="976"/>
      <c r="AH9" s="977"/>
      <c r="AI9" s="1091"/>
      <c r="AJ9" s="976"/>
      <c r="AK9" s="976"/>
      <c r="AL9" s="976"/>
      <c r="AM9" s="977"/>
    </row>
    <row r="10" spans="1:40" ht="12.95" customHeight="1">
      <c r="B10" s="53"/>
      <c r="C10" s="54"/>
      <c r="D10" s="54"/>
      <c r="E10" s="54"/>
      <c r="F10" s="54"/>
      <c r="G10" s="54"/>
      <c r="H10" s="54"/>
      <c r="I10" s="54"/>
      <c r="J10" s="54"/>
      <c r="K10" s="54"/>
      <c r="L10" s="54"/>
      <c r="M10" s="54"/>
      <c r="N10" s="54"/>
      <c r="O10" s="54"/>
      <c r="P10" s="54"/>
      <c r="Q10" s="54"/>
      <c r="R10" s="54"/>
      <c r="S10" s="54"/>
      <c r="T10" s="1092"/>
      <c r="U10" s="1093"/>
      <c r="V10" s="1093"/>
      <c r="W10" s="1093"/>
      <c r="X10" s="1094"/>
      <c r="Y10" s="1092"/>
      <c r="Z10" s="1093"/>
      <c r="AA10" s="1093"/>
      <c r="AB10" s="1093"/>
      <c r="AC10" s="1094"/>
      <c r="AD10" s="1092"/>
      <c r="AE10" s="1093"/>
      <c r="AF10" s="1093"/>
      <c r="AG10" s="1093"/>
      <c r="AH10" s="1094"/>
      <c r="AI10" s="1092"/>
      <c r="AJ10" s="1093"/>
      <c r="AK10" s="1093"/>
      <c r="AL10" s="1093"/>
      <c r="AM10" s="1094"/>
    </row>
    <row r="11" spans="1:40" ht="12.95" customHeight="1">
      <c r="B11" s="1160" t="s">
        <v>1714</v>
      </c>
      <c r="C11" s="973"/>
      <c r="D11" s="973"/>
      <c r="E11" s="973"/>
      <c r="F11" s="973"/>
      <c r="G11" s="973"/>
      <c r="H11" s="973"/>
      <c r="I11" s="973"/>
      <c r="J11" s="973"/>
      <c r="K11" s="973"/>
      <c r="L11" s="973"/>
      <c r="M11" s="973"/>
      <c r="N11" s="973"/>
      <c r="O11" s="973"/>
      <c r="P11" s="973"/>
      <c r="Q11" s="973"/>
      <c r="R11" s="973"/>
      <c r="S11" s="974"/>
      <c r="T11" s="1370">
        <f>IF('Sources and Basis Breakdown'!F105=0,'Sources and Basis Breakdown'!E105,'Sources and Basis Breakdown'!F105)</f>
        <v>25514460</v>
      </c>
      <c r="U11" s="1073"/>
      <c r="V11" s="1073"/>
      <c r="W11" s="1073"/>
      <c r="X11" s="1074"/>
      <c r="Y11" s="1368">
        <f>IF('Sources and Basis Breakdown'!G105+'Sources and Basis Breakdown'!F105='Sources and Basis Breakdown'!E105,'Sources and Basis Breakdown'!G105,0)</f>
        <v>0</v>
      </c>
      <c r="Z11" s="1073"/>
      <c r="AA11" s="1073"/>
      <c r="AB11" s="1073"/>
      <c r="AC11" s="1074"/>
      <c r="AD11" s="1369">
        <f>IF('Sources and Basis Breakdown'!I105=0,'Sources and Basis Breakdown'!H105,'Sources and Basis Breakdown'!I105)</f>
        <v>0</v>
      </c>
      <c r="AE11" s="1073"/>
      <c r="AF11" s="1073"/>
      <c r="AG11" s="1073"/>
      <c r="AH11" s="1074"/>
      <c r="AI11" s="1369">
        <f>IF('Sources and Basis Breakdown'!I105+'Sources and Basis Breakdown'!J105='Sources and Basis Breakdown'!H105,'Sources and Basis Breakdown'!J105,0)</f>
        <v>0</v>
      </c>
      <c r="AJ11" s="1073"/>
      <c r="AK11" s="1073"/>
      <c r="AL11" s="1073"/>
      <c r="AM11" s="1074"/>
    </row>
    <row r="12" spans="1:40" ht="12.95" customHeight="1">
      <c r="B12" s="1365" t="s">
        <v>1715</v>
      </c>
      <c r="C12" s="973"/>
      <c r="D12" s="973"/>
      <c r="E12" s="973"/>
      <c r="F12" s="973"/>
      <c r="G12" s="973"/>
      <c r="H12" s="973"/>
      <c r="I12" s="973"/>
      <c r="J12" s="973"/>
      <c r="K12" s="973"/>
      <c r="L12" s="973"/>
      <c r="M12" s="973"/>
      <c r="N12" s="973"/>
      <c r="O12" s="973"/>
      <c r="P12" s="973"/>
      <c r="Q12" s="973"/>
      <c r="R12" s="973"/>
      <c r="S12" s="974"/>
      <c r="T12" s="1360"/>
      <c r="U12" s="973"/>
      <c r="V12" s="973"/>
      <c r="W12" s="973"/>
      <c r="X12" s="974"/>
      <c r="Y12" s="1360"/>
      <c r="Z12" s="973"/>
      <c r="AA12" s="973"/>
      <c r="AB12" s="973"/>
      <c r="AC12" s="974"/>
      <c r="AD12" s="1360"/>
      <c r="AE12" s="973"/>
      <c r="AF12" s="973"/>
      <c r="AG12" s="973"/>
      <c r="AH12" s="974"/>
      <c r="AI12" s="1360"/>
      <c r="AJ12" s="973"/>
      <c r="AK12" s="973"/>
      <c r="AL12" s="973"/>
      <c r="AM12" s="974"/>
    </row>
    <row r="13" spans="1:40" ht="12.95" customHeight="1">
      <c r="B13" s="8"/>
      <c r="C13" s="1364" t="s">
        <v>1716</v>
      </c>
      <c r="D13" s="973"/>
      <c r="E13" s="973"/>
      <c r="F13" s="973"/>
      <c r="G13" s="973"/>
      <c r="H13" s="973"/>
      <c r="I13" s="973"/>
      <c r="J13" s="973"/>
      <c r="K13" s="973"/>
      <c r="L13" s="973"/>
      <c r="M13" s="973"/>
      <c r="N13" s="973"/>
      <c r="O13" s="973"/>
      <c r="P13" s="973"/>
      <c r="Q13" s="973"/>
      <c r="R13" s="973"/>
      <c r="S13" s="974"/>
      <c r="T13" s="1361">
        <f>'Basis &amp; Credits'!T13</f>
        <v>0</v>
      </c>
      <c r="U13" s="1060"/>
      <c r="V13" s="1060"/>
      <c r="W13" s="1060"/>
      <c r="X13" s="1096"/>
      <c r="Y13" s="1361">
        <f>'Basis &amp; Credits'!Y13</f>
        <v>0</v>
      </c>
      <c r="Z13" s="1060"/>
      <c r="AA13" s="1060"/>
      <c r="AB13" s="1060"/>
      <c r="AC13" s="1096"/>
      <c r="AD13" s="1371">
        <f>'Basis &amp; Credits'!AD13</f>
        <v>0</v>
      </c>
      <c r="AE13" s="1060"/>
      <c r="AF13" s="1060"/>
      <c r="AG13" s="1060"/>
      <c r="AH13" s="1096"/>
      <c r="AI13" s="1371">
        <f>'Basis &amp; Credits'!AI13</f>
        <v>0</v>
      </c>
      <c r="AJ13" s="1060"/>
      <c r="AK13" s="1060"/>
      <c r="AL13" s="1060"/>
      <c r="AM13" s="1096"/>
    </row>
    <row r="14" spans="1:40" ht="12.95" customHeight="1">
      <c r="B14" s="8"/>
      <c r="C14" s="1359" t="s">
        <v>1717</v>
      </c>
      <c r="D14" s="973"/>
      <c r="E14" s="973"/>
      <c r="F14" s="973"/>
      <c r="G14" s="973"/>
      <c r="H14" s="973"/>
      <c r="I14" s="973"/>
      <c r="J14" s="973"/>
      <c r="K14" s="973"/>
      <c r="L14" s="973"/>
      <c r="M14" s="973"/>
      <c r="N14" s="973"/>
      <c r="O14" s="973"/>
      <c r="P14" s="973"/>
      <c r="Q14" s="973"/>
      <c r="R14" s="973"/>
      <c r="S14" s="974"/>
      <c r="T14" s="1343">
        <f>'Basis &amp; Credits'!T14</f>
        <v>0</v>
      </c>
      <c r="U14" s="1063"/>
      <c r="V14" s="1063"/>
      <c r="W14" s="1063"/>
      <c r="X14" s="1064"/>
      <c r="Y14" s="1343">
        <f>'Basis &amp; Credits'!Y14</f>
        <v>0</v>
      </c>
      <c r="Z14" s="1063"/>
      <c r="AA14" s="1063"/>
      <c r="AB14" s="1063"/>
      <c r="AC14" s="1064"/>
      <c r="AD14" s="1070">
        <f>'Basis &amp; Credits'!AD14</f>
        <v>0</v>
      </c>
      <c r="AE14" s="1063"/>
      <c r="AF14" s="1063"/>
      <c r="AG14" s="1063"/>
      <c r="AH14" s="1064"/>
      <c r="AI14" s="1070">
        <f>'Basis &amp; Credits'!AI14</f>
        <v>0</v>
      </c>
      <c r="AJ14" s="1063"/>
      <c r="AK14" s="1063"/>
      <c r="AL14" s="1063"/>
      <c r="AM14" s="1064"/>
    </row>
    <row r="15" spans="1:40" ht="12.95" customHeight="1">
      <c r="B15" s="8"/>
      <c r="C15" s="1359" t="s">
        <v>1718</v>
      </c>
      <c r="D15" s="973"/>
      <c r="E15" s="973"/>
      <c r="F15" s="973"/>
      <c r="G15" s="973"/>
      <c r="H15" s="973"/>
      <c r="I15" s="973"/>
      <c r="J15" s="973"/>
      <c r="K15" s="973"/>
      <c r="L15" s="973"/>
      <c r="M15" s="973"/>
      <c r="N15" s="973"/>
      <c r="O15" s="973"/>
      <c r="P15" s="973"/>
      <c r="Q15" s="973"/>
      <c r="R15" s="973"/>
      <c r="S15" s="974"/>
      <c r="T15" s="1343">
        <f>'Basis &amp; Credits'!T15</f>
        <v>0</v>
      </c>
      <c r="U15" s="1063"/>
      <c r="V15" s="1063"/>
      <c r="W15" s="1063"/>
      <c r="X15" s="1064"/>
      <c r="Y15" s="1343">
        <f>'Basis &amp; Credits'!Y15</f>
        <v>0</v>
      </c>
      <c r="Z15" s="1063"/>
      <c r="AA15" s="1063"/>
      <c r="AB15" s="1063"/>
      <c r="AC15" s="1064"/>
      <c r="AD15" s="1070">
        <f>'Basis &amp; Credits'!AD15</f>
        <v>0</v>
      </c>
      <c r="AE15" s="1063"/>
      <c r="AF15" s="1063"/>
      <c r="AG15" s="1063"/>
      <c r="AH15" s="1064"/>
      <c r="AI15" s="1070">
        <f>'Basis &amp; Credits'!AI15</f>
        <v>0</v>
      </c>
      <c r="AJ15" s="1063"/>
      <c r="AK15" s="1063"/>
      <c r="AL15" s="1063"/>
      <c r="AM15" s="1064"/>
    </row>
    <row r="16" spans="1:40" ht="12.95" customHeight="1">
      <c r="B16" s="8"/>
      <c r="C16" s="1364" t="s">
        <v>1719</v>
      </c>
      <c r="D16" s="973"/>
      <c r="E16" s="973"/>
      <c r="F16" s="973"/>
      <c r="G16" s="973"/>
      <c r="H16" s="973"/>
      <c r="I16" s="973"/>
      <c r="J16" s="973"/>
      <c r="K16" s="973"/>
      <c r="L16" s="973"/>
      <c r="M16" s="973"/>
      <c r="N16" s="973"/>
      <c r="O16" s="973"/>
      <c r="P16" s="973"/>
      <c r="Q16" s="973"/>
      <c r="R16" s="973"/>
      <c r="S16" s="974"/>
      <c r="T16" s="1343">
        <f>'Basis &amp; Credits'!T16</f>
        <v>0</v>
      </c>
      <c r="U16" s="1063"/>
      <c r="V16" s="1063"/>
      <c r="W16" s="1063"/>
      <c r="X16" s="1064"/>
      <c r="Y16" s="1343">
        <f>'Basis &amp; Credits'!Y16</f>
        <v>0</v>
      </c>
      <c r="Z16" s="1063"/>
      <c r="AA16" s="1063"/>
      <c r="AB16" s="1063"/>
      <c r="AC16" s="1064"/>
      <c r="AD16" s="1070">
        <f>'Basis &amp; Credits'!AD16</f>
        <v>0</v>
      </c>
      <c r="AE16" s="1063"/>
      <c r="AF16" s="1063"/>
      <c r="AG16" s="1063"/>
      <c r="AH16" s="1064"/>
      <c r="AI16" s="1070">
        <f>'Basis &amp; Credits'!AI16</f>
        <v>0</v>
      </c>
      <c r="AJ16" s="1063"/>
      <c r="AK16" s="1063"/>
      <c r="AL16" s="1063"/>
      <c r="AM16" s="1064"/>
    </row>
    <row r="17" spans="1:39" ht="12.95" customHeight="1">
      <c r="B17" s="8"/>
      <c r="C17" s="1359" t="s">
        <v>1720</v>
      </c>
      <c r="D17" s="973"/>
      <c r="E17" s="973"/>
      <c r="F17" s="973"/>
      <c r="G17" s="973"/>
      <c r="H17" s="973"/>
      <c r="I17" s="973"/>
      <c r="J17" s="973"/>
      <c r="K17" s="973"/>
      <c r="L17" s="973"/>
      <c r="M17" s="973"/>
      <c r="N17" s="973"/>
      <c r="O17" s="973"/>
      <c r="P17" s="973"/>
      <c r="Q17" s="973"/>
      <c r="R17" s="973"/>
      <c r="S17" s="974"/>
      <c r="T17" s="1343">
        <f>'Basis &amp; Credits'!T17</f>
        <v>0</v>
      </c>
      <c r="U17" s="1063"/>
      <c r="V17" s="1063"/>
      <c r="W17" s="1063"/>
      <c r="X17" s="1064"/>
      <c r="Y17" s="1343">
        <f>'Basis &amp; Credits'!Y17</f>
        <v>0</v>
      </c>
      <c r="Z17" s="1063"/>
      <c r="AA17" s="1063"/>
      <c r="AB17" s="1063"/>
      <c r="AC17" s="1064"/>
      <c r="AD17" s="1070">
        <f>'Basis &amp; Credits'!AD17</f>
        <v>0</v>
      </c>
      <c r="AE17" s="1063"/>
      <c r="AF17" s="1063"/>
      <c r="AG17" s="1063"/>
      <c r="AH17" s="1064"/>
      <c r="AI17" s="1070">
        <f>'Basis &amp; Credits'!AI17</f>
        <v>0</v>
      </c>
      <c r="AJ17" s="1063"/>
      <c r="AK17" s="1063"/>
      <c r="AL17" s="1063"/>
      <c r="AM17" s="1064"/>
    </row>
    <row r="18" spans="1:39" ht="12.95" customHeight="1">
      <c r="B18" s="588"/>
      <c r="C18" s="1364" t="s">
        <v>2386</v>
      </c>
      <c r="D18" s="973"/>
      <c r="E18" s="973"/>
      <c r="F18" s="973"/>
      <c r="G18" s="973"/>
      <c r="H18" s="973"/>
      <c r="I18" s="973"/>
      <c r="J18" s="973"/>
      <c r="K18" s="973"/>
      <c r="L18" s="973"/>
      <c r="M18" s="973"/>
      <c r="N18" s="973"/>
      <c r="O18" s="973"/>
      <c r="P18" s="973"/>
      <c r="Q18" s="973"/>
      <c r="R18" s="973"/>
      <c r="S18" s="974"/>
      <c r="T18" s="1070">
        <f>'Basis &amp; Credits'!T18</f>
        <v>0</v>
      </c>
      <c r="U18" s="1063"/>
      <c r="V18" s="1063"/>
      <c r="W18" s="1063"/>
      <c r="X18" s="1064"/>
      <c r="Y18" s="1343">
        <f>'Basis &amp; Credits'!Y18</f>
        <v>0</v>
      </c>
      <c r="Z18" s="1063"/>
      <c r="AA18" s="1063"/>
      <c r="AB18" s="1063"/>
      <c r="AC18" s="1064"/>
      <c r="AD18" s="1070">
        <f>'Basis &amp; Credits'!AD18</f>
        <v>0</v>
      </c>
      <c r="AE18" s="1063"/>
      <c r="AF18" s="1063"/>
      <c r="AG18" s="1063"/>
      <c r="AH18" s="1064"/>
      <c r="AI18" s="1070">
        <f>'Basis &amp; Credits'!AI18</f>
        <v>0</v>
      </c>
      <c r="AJ18" s="1063"/>
      <c r="AK18" s="1063"/>
      <c r="AL18" s="1063"/>
      <c r="AM18" s="1064"/>
    </row>
    <row r="19" spans="1:39" ht="12.95" customHeight="1">
      <c r="B19" s="481"/>
      <c r="C19" s="1344" t="str">
        <f>'Basis &amp; Credits'!C19:S19</f>
        <v>Subtract (specify other ineligible amounts):</v>
      </c>
      <c r="D19" s="1063"/>
      <c r="E19" s="1063"/>
      <c r="F19" s="1063"/>
      <c r="G19" s="1063"/>
      <c r="H19" s="1063"/>
      <c r="I19" s="1063"/>
      <c r="J19" s="1063"/>
      <c r="K19" s="1063"/>
      <c r="L19" s="1063"/>
      <c r="M19" s="1063"/>
      <c r="N19" s="1063"/>
      <c r="O19" s="1063"/>
      <c r="P19" s="1063"/>
      <c r="Q19" s="1063"/>
      <c r="R19" s="1063"/>
      <c r="S19" s="1064"/>
      <c r="T19" s="1343">
        <f>'Basis &amp; Credits'!T19</f>
        <v>0</v>
      </c>
      <c r="U19" s="1063"/>
      <c r="V19" s="1063"/>
      <c r="W19" s="1063"/>
      <c r="X19" s="1064"/>
      <c r="Y19" s="1343">
        <f>'Basis &amp; Credits'!Y19</f>
        <v>0</v>
      </c>
      <c r="Z19" s="1063"/>
      <c r="AA19" s="1063"/>
      <c r="AB19" s="1063"/>
      <c r="AC19" s="1064"/>
      <c r="AD19" s="1070">
        <f>'Basis &amp; Credits'!AD19</f>
        <v>0</v>
      </c>
      <c r="AE19" s="1063"/>
      <c r="AF19" s="1063"/>
      <c r="AG19" s="1063"/>
      <c r="AH19" s="1064"/>
      <c r="AI19" s="1070">
        <f>'Basis &amp; Credits'!AI19</f>
        <v>0</v>
      </c>
      <c r="AJ19" s="1063"/>
      <c r="AK19" s="1063"/>
      <c r="AL19" s="1063"/>
      <c r="AM19" s="1064"/>
    </row>
    <row r="20" spans="1:39" ht="12.95" customHeight="1">
      <c r="B20" s="1160" t="s">
        <v>1722</v>
      </c>
      <c r="C20" s="973"/>
      <c r="D20" s="973"/>
      <c r="E20" s="973"/>
      <c r="F20" s="973"/>
      <c r="G20" s="973"/>
      <c r="H20" s="973"/>
      <c r="I20" s="973"/>
      <c r="J20" s="973"/>
      <c r="K20" s="973"/>
      <c r="L20" s="973"/>
      <c r="M20" s="973"/>
      <c r="N20" s="973"/>
      <c r="O20" s="973"/>
      <c r="P20" s="973"/>
      <c r="Q20" s="973"/>
      <c r="R20" s="973"/>
      <c r="S20" s="974"/>
      <c r="T20" s="1345">
        <f>SUM(T13:X19)</f>
        <v>0</v>
      </c>
      <c r="U20" s="973"/>
      <c r="V20" s="973"/>
      <c r="W20" s="973"/>
      <c r="X20" s="974"/>
      <c r="Y20" s="1345">
        <f>SUM(Y13:AC19)</f>
        <v>0</v>
      </c>
      <c r="Z20" s="973"/>
      <c r="AA20" s="973"/>
      <c r="AB20" s="973"/>
      <c r="AC20" s="974"/>
      <c r="AD20" s="1175">
        <f>SUM(AD13:AH19)</f>
        <v>0</v>
      </c>
      <c r="AE20" s="973"/>
      <c r="AF20" s="973"/>
      <c r="AG20" s="973"/>
      <c r="AH20" s="974"/>
      <c r="AI20" s="1175">
        <f>SUM(AI13:AM19)</f>
        <v>0</v>
      </c>
      <c r="AJ20" s="973"/>
      <c r="AK20" s="973"/>
      <c r="AL20" s="973"/>
      <c r="AM20" s="974"/>
    </row>
    <row r="21" spans="1:39" ht="12.95" customHeight="1">
      <c r="B21" s="1160" t="s">
        <v>1723</v>
      </c>
      <c r="C21" s="973"/>
      <c r="D21" s="973"/>
      <c r="E21" s="973"/>
      <c r="F21" s="973"/>
      <c r="G21" s="973"/>
      <c r="H21" s="973"/>
      <c r="I21" s="973"/>
      <c r="J21" s="973"/>
      <c r="K21" s="973"/>
      <c r="L21" s="973"/>
      <c r="M21" s="973"/>
      <c r="N21" s="973"/>
      <c r="O21" s="973"/>
      <c r="P21" s="973"/>
      <c r="Q21" s="973"/>
      <c r="R21" s="973"/>
      <c r="S21" s="974"/>
      <c r="T21" s="1343">
        <f>'Basis &amp; Credits'!E21</f>
        <v>0</v>
      </c>
      <c r="U21" s="1063"/>
      <c r="V21" s="1063"/>
      <c r="W21" s="1063"/>
      <c r="X21" s="1064"/>
      <c r="Y21" s="1343">
        <f>'Basis &amp; Credits'!J21</f>
        <v>0</v>
      </c>
      <c r="Z21" s="1063"/>
      <c r="AA21" s="1063"/>
      <c r="AB21" s="1063"/>
      <c r="AC21" s="1064"/>
      <c r="AD21" s="1070">
        <f>'Basis &amp; Credits'!O21</f>
        <v>0</v>
      </c>
      <c r="AE21" s="1063"/>
      <c r="AF21" s="1063"/>
      <c r="AG21" s="1063"/>
      <c r="AH21" s="1064"/>
      <c r="AI21" s="1070">
        <f>'Basis &amp; Credits'!T21</f>
        <v>4146939</v>
      </c>
      <c r="AJ21" s="1063"/>
      <c r="AK21" s="1063"/>
      <c r="AL21" s="1063"/>
      <c r="AM21" s="1064"/>
    </row>
    <row r="22" spans="1:39" ht="12.95" customHeight="1">
      <c r="B22" s="1160" t="s">
        <v>1724</v>
      </c>
      <c r="C22" s="973"/>
      <c r="D22" s="973"/>
      <c r="E22" s="973"/>
      <c r="F22" s="973"/>
      <c r="G22" s="973"/>
      <c r="H22" s="973"/>
      <c r="I22" s="973"/>
      <c r="J22" s="973"/>
      <c r="K22" s="973"/>
      <c r="L22" s="973"/>
      <c r="M22" s="973"/>
      <c r="N22" s="973"/>
      <c r="O22" s="973"/>
      <c r="P22" s="973"/>
      <c r="Q22" s="973"/>
      <c r="R22" s="973"/>
      <c r="S22" s="974"/>
      <c r="T22" s="1362">
        <f>(T20+T21)*-1</f>
        <v>0</v>
      </c>
      <c r="U22" s="973"/>
      <c r="V22" s="973"/>
      <c r="W22" s="973"/>
      <c r="X22" s="974"/>
      <c r="Y22" s="1362">
        <f>(Y20+Y21)*-1</f>
        <v>0</v>
      </c>
      <c r="Z22" s="973"/>
      <c r="AA22" s="973"/>
      <c r="AB22" s="973"/>
      <c r="AC22" s="974"/>
      <c r="AD22" s="1362">
        <f>(AD20+AD21)*-1</f>
        <v>0</v>
      </c>
      <c r="AE22" s="973"/>
      <c r="AF22" s="973"/>
      <c r="AG22" s="973"/>
      <c r="AH22" s="974"/>
      <c r="AI22" s="1362">
        <f>(AI20+AI21)*-1</f>
        <v>-4146939</v>
      </c>
      <c r="AJ22" s="973"/>
      <c r="AK22" s="973"/>
      <c r="AL22" s="973"/>
      <c r="AM22" s="974"/>
    </row>
    <row r="23" spans="1:39" ht="12.95" customHeight="1">
      <c r="B23" s="1160" t="s">
        <v>2387</v>
      </c>
      <c r="C23" s="973"/>
      <c r="D23" s="973"/>
      <c r="E23" s="973"/>
      <c r="F23" s="973"/>
      <c r="G23" s="973"/>
      <c r="H23" s="973"/>
      <c r="I23" s="973"/>
      <c r="J23" s="973"/>
      <c r="K23" s="973"/>
      <c r="L23" s="973"/>
      <c r="M23" s="973"/>
      <c r="N23" s="973"/>
      <c r="O23" s="973"/>
      <c r="P23" s="973"/>
      <c r="Q23" s="973"/>
      <c r="R23" s="973"/>
      <c r="S23" s="974"/>
      <c r="T23" s="1345">
        <f>T11+T22</f>
        <v>25514460</v>
      </c>
      <c r="U23" s="973"/>
      <c r="V23" s="973"/>
      <c r="W23" s="973"/>
      <c r="X23" s="974"/>
      <c r="Y23" s="1345">
        <f>Y11+Y22</f>
        <v>0</v>
      </c>
      <c r="Z23" s="973"/>
      <c r="AA23" s="973"/>
      <c r="AB23" s="973"/>
      <c r="AC23" s="974"/>
      <c r="AD23" s="1345">
        <f>AD11+AD22</f>
        <v>0</v>
      </c>
      <c r="AE23" s="973"/>
      <c r="AF23" s="973"/>
      <c r="AG23" s="973"/>
      <c r="AH23" s="974"/>
      <c r="AI23" s="1345">
        <f>AI11+AI22</f>
        <v>-4146939</v>
      </c>
      <c r="AJ23" s="973"/>
      <c r="AK23" s="973"/>
      <c r="AL23" s="973"/>
      <c r="AM23" s="974"/>
    </row>
    <row r="24" spans="1:39" ht="12.95" customHeight="1">
      <c r="B24" s="1160" t="s">
        <v>1726</v>
      </c>
      <c r="C24" s="973"/>
      <c r="D24" s="973"/>
      <c r="E24" s="973"/>
      <c r="F24" s="973"/>
      <c r="G24" s="973"/>
      <c r="H24" s="973"/>
      <c r="I24" s="973"/>
      <c r="J24" s="973"/>
      <c r="K24" s="973"/>
      <c r="L24" s="973"/>
      <c r="M24" s="973"/>
      <c r="N24" s="973"/>
      <c r="O24" s="973"/>
      <c r="P24" s="973"/>
      <c r="Q24" s="973"/>
      <c r="R24" s="973"/>
      <c r="S24" s="974"/>
      <c r="T24" s="1175">
        <f>Application!AD1020</f>
        <v>0</v>
      </c>
      <c r="U24" s="973"/>
      <c r="V24" s="973"/>
      <c r="W24" s="973"/>
      <c r="X24" s="973"/>
      <c r="Y24" s="973"/>
      <c r="Z24" s="973"/>
      <c r="AA24" s="973"/>
      <c r="AB24" s="973"/>
      <c r="AC24" s="973"/>
      <c r="AD24" s="973"/>
      <c r="AE24" s="973"/>
      <c r="AF24" s="973"/>
      <c r="AG24" s="973"/>
      <c r="AH24" s="973"/>
      <c r="AI24" s="973"/>
      <c r="AJ24" s="973"/>
      <c r="AK24" s="973"/>
      <c r="AL24" s="973"/>
      <c r="AM24" s="974"/>
    </row>
    <row r="25" spans="1:39" ht="12.95" customHeight="1">
      <c r="B25" s="1363" t="s">
        <v>2388</v>
      </c>
      <c r="C25" s="973"/>
      <c r="D25" s="973"/>
      <c r="E25" s="973"/>
      <c r="F25" s="973"/>
      <c r="G25" s="973"/>
      <c r="H25" s="973"/>
      <c r="I25" s="973"/>
      <c r="J25" s="973"/>
      <c r="K25" s="973"/>
      <c r="L25" s="973"/>
      <c r="M25" s="973"/>
      <c r="N25" s="973"/>
      <c r="O25" s="973"/>
      <c r="P25" s="973"/>
      <c r="Q25" s="973"/>
      <c r="R25" s="973"/>
      <c r="S25" s="974"/>
      <c r="T25" s="1351">
        <v>1</v>
      </c>
      <c r="U25" s="1093"/>
      <c r="V25" s="1093"/>
      <c r="W25" s="1093"/>
      <c r="X25" s="1094"/>
      <c r="Y25" s="1351">
        <v>1</v>
      </c>
      <c r="Z25" s="1093"/>
      <c r="AA25" s="1093"/>
      <c r="AB25" s="1093"/>
      <c r="AC25" s="1094"/>
      <c r="AD25" s="1351">
        <v>1</v>
      </c>
      <c r="AE25" s="1093"/>
      <c r="AF25" s="1093"/>
      <c r="AG25" s="1093"/>
      <c r="AH25" s="1094"/>
      <c r="AI25" s="1351">
        <v>1</v>
      </c>
      <c r="AJ25" s="1093"/>
      <c r="AK25" s="1093"/>
      <c r="AL25" s="1093"/>
      <c r="AM25" s="1094"/>
    </row>
    <row r="26" spans="1:39" ht="12.95" customHeight="1">
      <c r="B26" s="1160" t="s">
        <v>1728</v>
      </c>
      <c r="C26" s="973"/>
      <c r="D26" s="973"/>
      <c r="E26" s="973"/>
      <c r="F26" s="973"/>
      <c r="G26" s="973"/>
      <c r="H26" s="973"/>
      <c r="I26" s="973"/>
      <c r="J26" s="973"/>
      <c r="K26" s="973"/>
      <c r="L26" s="973"/>
      <c r="M26" s="973"/>
      <c r="N26" s="973"/>
      <c r="O26" s="973"/>
      <c r="P26" s="973"/>
      <c r="Q26" s="973"/>
      <c r="R26" s="973"/>
      <c r="S26" s="974"/>
      <c r="T26" s="1347">
        <f>T23*T25</f>
        <v>25514460</v>
      </c>
      <c r="U26" s="973"/>
      <c r="V26" s="973"/>
      <c r="W26" s="973"/>
      <c r="X26" s="974"/>
      <c r="Y26" s="1347">
        <f>Y23*Y25</f>
        <v>0</v>
      </c>
      <c r="Z26" s="973"/>
      <c r="AA26" s="973"/>
      <c r="AB26" s="973"/>
      <c r="AC26" s="974"/>
      <c r="AD26" s="1347">
        <f>AD23*AD25</f>
        <v>0</v>
      </c>
      <c r="AE26" s="973"/>
      <c r="AF26" s="973"/>
      <c r="AG26" s="973"/>
      <c r="AH26" s="974"/>
      <c r="AI26" s="1347">
        <f>AI23*AI25</f>
        <v>-4146939</v>
      </c>
      <c r="AJ26" s="973"/>
      <c r="AK26" s="973"/>
      <c r="AL26" s="973"/>
      <c r="AM26" s="974"/>
    </row>
    <row r="27" spans="1:39" ht="12.95" customHeight="1">
      <c r="A27" s="4"/>
      <c r="B27" s="1357" t="s">
        <v>1729</v>
      </c>
      <c r="C27" s="973"/>
      <c r="D27" s="973"/>
      <c r="E27" s="973"/>
      <c r="F27" s="973"/>
      <c r="G27" s="973"/>
      <c r="H27" s="973"/>
      <c r="I27" s="973"/>
      <c r="J27" s="973"/>
      <c r="K27" s="973"/>
      <c r="L27" s="973"/>
      <c r="M27" s="973"/>
      <c r="N27" s="973"/>
      <c r="O27" s="973"/>
      <c r="P27" s="973"/>
      <c r="Q27" s="973"/>
      <c r="R27" s="973"/>
      <c r="S27" s="974"/>
      <c r="T27" s="1342">
        <f>Application!AG446</f>
        <v>1</v>
      </c>
      <c r="U27" s="973"/>
      <c r="V27" s="973"/>
      <c r="W27" s="973"/>
      <c r="X27" s="974"/>
      <c r="Y27" s="1342">
        <f>Application!AG446</f>
        <v>1</v>
      </c>
      <c r="Z27" s="973"/>
      <c r="AA27" s="973"/>
      <c r="AB27" s="973"/>
      <c r="AC27" s="974"/>
      <c r="AD27" s="1342">
        <f>Application!AG446</f>
        <v>1</v>
      </c>
      <c r="AE27" s="973"/>
      <c r="AF27" s="973"/>
      <c r="AG27" s="973"/>
      <c r="AH27" s="974"/>
      <c r="AI27" s="1342">
        <f>Application!AG446</f>
        <v>1</v>
      </c>
      <c r="AJ27" s="973"/>
      <c r="AK27" s="973"/>
      <c r="AL27" s="973"/>
      <c r="AM27" s="974"/>
    </row>
    <row r="28" spans="1:39" ht="12.95" customHeight="1">
      <c r="A28" s="3"/>
      <c r="B28" s="1160" t="s">
        <v>1730</v>
      </c>
      <c r="C28" s="973"/>
      <c r="D28" s="973"/>
      <c r="E28" s="973"/>
      <c r="F28" s="973"/>
      <c r="G28" s="973"/>
      <c r="H28" s="973"/>
      <c r="I28" s="973"/>
      <c r="J28" s="973"/>
      <c r="K28" s="973"/>
      <c r="L28" s="973"/>
      <c r="M28" s="973"/>
      <c r="N28" s="973"/>
      <c r="O28" s="973"/>
      <c r="P28" s="973"/>
      <c r="Q28" s="973"/>
      <c r="R28" s="973"/>
      <c r="S28" s="974"/>
      <c r="T28" s="1347">
        <f>IF(ISERROR((T26*T27)),0,(T26*T27))</f>
        <v>25514460</v>
      </c>
      <c r="U28" s="973"/>
      <c r="V28" s="973"/>
      <c r="W28" s="973"/>
      <c r="X28" s="974"/>
      <c r="Y28" s="1347">
        <f>IF(ISERROR((Y26*Y27)),0,(Y26*Y27))</f>
        <v>0</v>
      </c>
      <c r="Z28" s="973"/>
      <c r="AA28" s="973"/>
      <c r="AB28" s="973"/>
      <c r="AC28" s="974"/>
      <c r="AD28" s="1347">
        <f>IF(ISERROR((AD26*AD27)),0,(AD26*AD27))</f>
        <v>0</v>
      </c>
      <c r="AE28" s="973"/>
      <c r="AF28" s="973"/>
      <c r="AG28" s="973"/>
      <c r="AH28" s="974"/>
      <c r="AI28" s="1347">
        <f>IF(ISERROR((AI26*AI27)),0,(AI26*AI27))</f>
        <v>-4146939</v>
      </c>
      <c r="AJ28" s="973"/>
      <c r="AK28" s="973"/>
      <c r="AL28" s="973"/>
      <c r="AM28" s="974"/>
    </row>
    <row r="29" spans="1:39" ht="12.95" customHeight="1">
      <c r="B29" s="1160" t="s">
        <v>1731</v>
      </c>
      <c r="C29" s="973"/>
      <c r="D29" s="973"/>
      <c r="E29" s="973"/>
      <c r="F29" s="973"/>
      <c r="G29" s="973"/>
      <c r="H29" s="973"/>
      <c r="I29" s="973"/>
      <c r="J29" s="973"/>
      <c r="K29" s="973"/>
      <c r="L29" s="973"/>
      <c r="M29" s="973"/>
      <c r="N29" s="973"/>
      <c r="O29" s="973"/>
      <c r="P29" s="973"/>
      <c r="Q29" s="973"/>
      <c r="R29" s="973"/>
      <c r="S29" s="974"/>
      <c r="T29" s="1175">
        <f>T28+Y28+AD28+AI28</f>
        <v>21367521</v>
      </c>
      <c r="U29" s="973"/>
      <c r="V29" s="973"/>
      <c r="W29" s="973"/>
      <c r="X29" s="973"/>
      <c r="Y29" s="973"/>
      <c r="Z29" s="973"/>
      <c r="AA29" s="973"/>
      <c r="AB29" s="973"/>
      <c r="AC29" s="973"/>
      <c r="AD29" s="973"/>
      <c r="AE29" s="973"/>
      <c r="AF29" s="973"/>
      <c r="AG29" s="973"/>
      <c r="AH29" s="973"/>
      <c r="AI29" s="973"/>
      <c r="AJ29" s="973"/>
      <c r="AK29" s="973"/>
      <c r="AL29" s="973"/>
      <c r="AM29" s="974"/>
    </row>
    <row r="30" spans="1:39" ht="12.95" customHeight="1">
      <c r="B30" s="1576"/>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133</v>
      </c>
      <c r="C33" s="3" t="s">
        <v>1178</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58" t="s">
        <v>1734</v>
      </c>
      <c r="Z35" s="1073"/>
      <c r="AA35" s="1073"/>
      <c r="AB35" s="1073"/>
      <c r="AC35" s="1074"/>
      <c r="AD35" s="1198" t="s">
        <v>1735</v>
      </c>
      <c r="AE35" s="1073"/>
      <c r="AF35" s="1073"/>
      <c r="AG35" s="1073"/>
      <c r="AH35" s="1074"/>
    </row>
    <row r="36" spans="1:40" ht="12.95" customHeight="1">
      <c r="B36" s="202"/>
      <c r="X36" s="71"/>
      <c r="Y36" s="1091"/>
      <c r="Z36" s="976"/>
      <c r="AA36" s="976"/>
      <c r="AB36" s="976"/>
      <c r="AC36" s="977"/>
      <c r="AD36" s="1091"/>
      <c r="AE36" s="976"/>
      <c r="AF36" s="976"/>
      <c r="AG36" s="976"/>
      <c r="AH36" s="97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92"/>
      <c r="Z37" s="1093"/>
      <c r="AA37" s="1093"/>
      <c r="AB37" s="1093"/>
      <c r="AC37" s="1094"/>
      <c r="AD37" s="1092"/>
      <c r="AE37" s="1093"/>
      <c r="AF37" s="1093"/>
      <c r="AG37" s="1093"/>
      <c r="AH37" s="1094"/>
    </row>
    <row r="38" spans="1:40" ht="12.95" customHeight="1">
      <c r="A38" s="3"/>
      <c r="B38" s="1160" t="s">
        <v>1730</v>
      </c>
      <c r="C38" s="973"/>
      <c r="D38" s="973"/>
      <c r="E38" s="973"/>
      <c r="F38" s="973"/>
      <c r="G38" s="973"/>
      <c r="H38" s="973"/>
      <c r="I38" s="973"/>
      <c r="J38" s="973"/>
      <c r="K38" s="973"/>
      <c r="L38" s="973"/>
      <c r="M38" s="973"/>
      <c r="N38" s="973"/>
      <c r="O38" s="973"/>
      <c r="P38" s="973"/>
      <c r="Q38" s="973"/>
      <c r="R38" s="973"/>
      <c r="S38" s="973"/>
      <c r="T38" s="973"/>
      <c r="U38" s="973"/>
      <c r="V38" s="973"/>
      <c r="W38" s="973"/>
      <c r="X38" s="974"/>
      <c r="Y38" s="1175">
        <f>IF(T24&gt;=(T23+Y23+AD23+AI23),T28+Y28,0)</f>
        <v>0</v>
      </c>
      <c r="Z38" s="973"/>
      <c r="AA38" s="973"/>
      <c r="AB38" s="973"/>
      <c r="AC38" s="974"/>
      <c r="AD38" s="1175">
        <f>IF(T24&gt;=(T23+Y23+AD23+AI23),AD28+AI28,0)</f>
        <v>0</v>
      </c>
      <c r="AE38" s="973"/>
      <c r="AF38" s="973"/>
      <c r="AG38" s="973"/>
      <c r="AH38" s="974"/>
    </row>
    <row r="39" spans="1:40" ht="12.95" customHeight="1">
      <c r="B39" s="1160" t="s">
        <v>2389</v>
      </c>
      <c r="C39" s="973"/>
      <c r="D39" s="973"/>
      <c r="E39" s="973"/>
      <c r="F39" s="973"/>
      <c r="G39" s="973"/>
      <c r="H39" s="973"/>
      <c r="I39" s="973"/>
      <c r="J39" s="973"/>
      <c r="K39" s="973"/>
      <c r="L39" s="973"/>
      <c r="M39" s="973"/>
      <c r="N39" s="973"/>
      <c r="O39" s="973"/>
      <c r="P39" s="973"/>
      <c r="Q39" s="973"/>
      <c r="R39" s="973"/>
      <c r="S39" s="973"/>
      <c r="T39" s="973"/>
      <c r="U39" s="973"/>
      <c r="V39" s="973"/>
      <c r="W39" s="973"/>
      <c r="X39" s="974"/>
      <c r="Y39" s="1577">
        <v>0.09</v>
      </c>
      <c r="Z39" s="1063"/>
      <c r="AA39" s="1063"/>
      <c r="AB39" s="1063"/>
      <c r="AC39" s="1064"/>
      <c r="AD39" s="1354">
        <v>0.04</v>
      </c>
      <c r="AE39" s="973"/>
      <c r="AF39" s="973"/>
      <c r="AG39" s="973"/>
      <c r="AH39" s="974"/>
    </row>
    <row r="40" spans="1:40" ht="12.95" customHeight="1">
      <c r="A40" s="3"/>
      <c r="B40" s="1160" t="s">
        <v>1737</v>
      </c>
      <c r="C40" s="973"/>
      <c r="D40" s="973"/>
      <c r="E40" s="973"/>
      <c r="F40" s="973"/>
      <c r="G40" s="973"/>
      <c r="H40" s="973"/>
      <c r="I40" s="973"/>
      <c r="J40" s="973"/>
      <c r="K40" s="973"/>
      <c r="L40" s="973"/>
      <c r="M40" s="973"/>
      <c r="N40" s="973"/>
      <c r="O40" s="973"/>
      <c r="P40" s="973"/>
      <c r="Q40" s="973"/>
      <c r="R40" s="973"/>
      <c r="S40" s="973"/>
      <c r="T40" s="973"/>
      <c r="U40" s="973"/>
      <c r="V40" s="973"/>
      <c r="W40" s="973"/>
      <c r="X40" s="974"/>
      <c r="Y40" s="1175">
        <f>ROUND(Y38*Y39,0)</f>
        <v>0</v>
      </c>
      <c r="Z40" s="973"/>
      <c r="AA40" s="973"/>
      <c r="AB40" s="973"/>
      <c r="AC40" s="974"/>
      <c r="AD40" s="1345">
        <f>ROUND(AD38*AD39,0)</f>
        <v>0</v>
      </c>
      <c r="AE40" s="973"/>
      <c r="AF40" s="973"/>
      <c r="AG40" s="973"/>
      <c r="AH40" s="974"/>
    </row>
    <row r="41" spans="1:40" ht="12.95" customHeight="1">
      <c r="B41" s="1160" t="s">
        <v>1738</v>
      </c>
      <c r="C41" s="973"/>
      <c r="D41" s="973"/>
      <c r="E41" s="973"/>
      <c r="F41" s="973"/>
      <c r="G41" s="973"/>
      <c r="H41" s="973"/>
      <c r="I41" s="973"/>
      <c r="J41" s="973"/>
      <c r="K41" s="973"/>
      <c r="L41" s="973"/>
      <c r="M41" s="973"/>
      <c r="N41" s="973"/>
      <c r="O41" s="973"/>
      <c r="P41" s="973"/>
      <c r="Q41" s="973"/>
      <c r="R41" s="973"/>
      <c r="S41" s="973"/>
      <c r="T41" s="973"/>
      <c r="U41" s="973"/>
      <c r="V41" s="973"/>
      <c r="W41" s="973"/>
      <c r="X41" s="974"/>
      <c r="Y41" s="1175">
        <f>IF((Y40+AD40)&gt;2500000,2500000,Y40+AD40)</f>
        <v>0</v>
      </c>
      <c r="Z41" s="973"/>
      <c r="AA41" s="973"/>
      <c r="AB41" s="973"/>
      <c r="AC41" s="973"/>
      <c r="AD41" s="973"/>
      <c r="AE41" s="973"/>
      <c r="AF41" s="973"/>
      <c r="AG41" s="973"/>
      <c r="AH41" s="974"/>
    </row>
    <row r="42" spans="1:40" ht="12.95" customHeight="1">
      <c r="A42" s="3"/>
      <c r="B42" s="1373" t="s">
        <v>2390</v>
      </c>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K43" s="41" t="s">
        <v>1151</v>
      </c>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213</v>
      </c>
      <c r="C45" s="3" t="s">
        <v>1181</v>
      </c>
    </row>
    <row r="46" spans="1:40" ht="12.95" customHeight="1">
      <c r="D46" s="3" t="s">
        <v>1740</v>
      </c>
      <c r="AB46" s="1088">
        <f>'Sources and Uses Budget'!B104-'Sources and Uses Budget'!$B$15</f>
        <v>30083438</v>
      </c>
      <c r="AC46" s="973"/>
      <c r="AD46" s="973"/>
      <c r="AE46" s="973"/>
      <c r="AF46" s="974"/>
    </row>
    <row r="47" spans="1:40" ht="12.95" customHeight="1">
      <c r="D47" s="3" t="s">
        <v>657</v>
      </c>
      <c r="AB47" s="1088">
        <f>Application!AG641-MIN('Sources and Uses Budget'!B15,Application!AG393)</f>
        <v>0</v>
      </c>
      <c r="AC47" s="973"/>
      <c r="AD47" s="973"/>
      <c r="AE47" s="973"/>
      <c r="AF47" s="974"/>
    </row>
    <row r="48" spans="1:40" ht="12.95" customHeight="1">
      <c r="D48" s="3" t="s">
        <v>1741</v>
      </c>
      <c r="AB48" s="1088">
        <f>AB46-AB47</f>
        <v>30083438</v>
      </c>
      <c r="AC48" s="973"/>
      <c r="AD48" s="973"/>
      <c r="AE48" s="973"/>
      <c r="AF48" s="974"/>
    </row>
    <row r="49" spans="1:40" ht="12.95" customHeight="1">
      <c r="D49" s="3" t="s">
        <v>1742</v>
      </c>
      <c r="AA49" s="34"/>
      <c r="AB49" s="1350"/>
      <c r="AC49" s="1063"/>
      <c r="AD49" s="1063"/>
      <c r="AE49" s="1063"/>
      <c r="AF49" s="1064"/>
    </row>
    <row r="50" spans="1:40" s="321" customFormat="1" ht="12.95" customHeight="1">
      <c r="E50" s="1349" t="s">
        <v>2391</v>
      </c>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351"/>
      <c r="AB50" s="351"/>
      <c r="AC50" s="351"/>
      <c r="AD50" s="351"/>
      <c r="AE50" s="351"/>
      <c r="AF50" s="351"/>
    </row>
    <row r="51" spans="1:40" s="321" customFormat="1" ht="12.95" customHeight="1">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1744</v>
      </c>
      <c r="AB53" s="1088">
        <f>ROUND(IF(ISERROR((AB48/AB49)),0,(AB48/AB49)),0)</f>
        <v>0</v>
      </c>
      <c r="AC53" s="973"/>
      <c r="AD53" s="973"/>
      <c r="AE53" s="973"/>
      <c r="AF53" s="974"/>
    </row>
    <row r="54" spans="1:40" ht="12.95" customHeight="1">
      <c r="D54" s="3" t="s">
        <v>1745</v>
      </c>
      <c r="AB54" s="1088">
        <f>(AB53/10)</f>
        <v>0</v>
      </c>
      <c r="AC54" s="973"/>
      <c r="AD54" s="973"/>
      <c r="AE54" s="973"/>
      <c r="AF54" s="974"/>
    </row>
    <row r="55" spans="1:40" ht="12.95" customHeight="1">
      <c r="D55" s="3" t="s">
        <v>1746</v>
      </c>
      <c r="AB55" s="1088">
        <f>(IF((Y41&lt;AB54),Y41,AB54))</f>
        <v>0</v>
      </c>
      <c r="AC55" s="973"/>
      <c r="AD55" s="973"/>
      <c r="AE55" s="973"/>
      <c r="AF55" s="974"/>
    </row>
    <row r="56" spans="1:40" ht="12.95" customHeight="1">
      <c r="D56" s="3" t="s">
        <v>1747</v>
      </c>
      <c r="AB56" s="1088">
        <f>ROUND((10*AB55*AB49),0)</f>
        <v>0</v>
      </c>
      <c r="AC56" s="973"/>
      <c r="AD56" s="973"/>
      <c r="AE56" s="973"/>
      <c r="AF56" s="974"/>
    </row>
    <row r="57" spans="1:40" ht="12.95" customHeight="1">
      <c r="D57" s="3"/>
      <c r="AB57" s="274"/>
      <c r="AC57" s="274"/>
      <c r="AD57" s="274"/>
      <c r="AE57" s="274"/>
      <c r="AF57" s="274"/>
    </row>
    <row r="58" spans="1:40" ht="12.95" customHeight="1">
      <c r="D58" s="3" t="s">
        <v>1748</v>
      </c>
      <c r="AB58" s="1088">
        <f>AB48-AB56</f>
        <v>30083438</v>
      </c>
      <c r="AC58" s="973"/>
      <c r="AD58" s="973"/>
      <c r="AE58" s="973"/>
      <c r="AF58" s="97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2" t="s">
        <v>1749</v>
      </c>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row>
    <row r="61" spans="1:40" ht="12.95" customHeight="1" thickTop="1">
      <c r="A61" s="1341"/>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row>
    <row r="62" spans="1:40" ht="12.95" customHeight="1">
      <c r="A62" s="3" t="s">
        <v>235</v>
      </c>
      <c r="C62" s="3" t="s">
        <v>1187</v>
      </c>
      <c r="Y62" s="1185" t="s">
        <v>1750</v>
      </c>
      <c r="Z62" s="976"/>
      <c r="AA62" s="976"/>
      <c r="AB62" s="976"/>
      <c r="AC62" s="976"/>
      <c r="AD62" s="1185" t="s">
        <v>1735</v>
      </c>
      <c r="AE62" s="976"/>
      <c r="AF62" s="976"/>
      <c r="AG62" s="976"/>
      <c r="AH62" s="976"/>
    </row>
    <row r="63" spans="1:40" ht="12.95" customHeight="1">
      <c r="C63" s="3"/>
      <c r="D63" s="126" t="s">
        <v>1751</v>
      </c>
      <c r="E63" s="15"/>
      <c r="F63" s="15"/>
      <c r="G63" s="15"/>
      <c r="H63" s="15"/>
      <c r="I63" s="15"/>
      <c r="J63" s="15"/>
      <c r="K63" s="15"/>
      <c r="L63" s="15"/>
      <c r="M63" s="15"/>
      <c r="N63" s="15"/>
      <c r="O63" s="15"/>
      <c r="P63" s="15"/>
      <c r="Q63" s="15"/>
      <c r="R63" s="15"/>
      <c r="S63" s="15"/>
      <c r="T63" s="15"/>
      <c r="U63" s="15"/>
      <c r="V63" s="15"/>
      <c r="W63" s="15"/>
      <c r="X63" s="15"/>
      <c r="Y63" s="1175">
        <f>Y28</f>
        <v>0</v>
      </c>
      <c r="Z63" s="973"/>
      <c r="AA63" s="973"/>
      <c r="AB63" s="973"/>
      <c r="AC63" s="974"/>
      <c r="AD63" s="1175">
        <f>AI28</f>
        <v>-4146939</v>
      </c>
      <c r="AE63" s="973"/>
      <c r="AF63" s="973"/>
      <c r="AG63" s="973"/>
      <c r="AH63" s="974"/>
    </row>
    <row r="64" spans="1:40" ht="12.95" customHeight="1">
      <c r="C64" s="3"/>
      <c r="E64" s="1346" t="s">
        <v>1752</v>
      </c>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row>
    <row r="65" spans="1:34" ht="32.25" customHeight="1">
      <c r="C65" s="3"/>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row>
    <row r="66" spans="1:34" ht="12.95" customHeight="1">
      <c r="C66" s="3"/>
      <c r="D66" s="3" t="s">
        <v>1753</v>
      </c>
      <c r="E66" s="101"/>
      <c r="F66" s="101"/>
      <c r="G66" s="101"/>
      <c r="H66" s="101"/>
      <c r="I66" s="101"/>
      <c r="J66" s="101"/>
      <c r="K66" s="101"/>
      <c r="L66" s="101"/>
      <c r="M66" s="101"/>
      <c r="N66" s="101"/>
      <c r="O66" s="101"/>
      <c r="P66" s="101"/>
      <c r="Q66" s="101"/>
      <c r="R66" s="101"/>
      <c r="S66" s="101"/>
      <c r="T66" s="101"/>
      <c r="U66" s="101"/>
      <c r="V66" s="101"/>
      <c r="W66" s="101"/>
      <c r="X66" s="101"/>
      <c r="Y66" s="1355">
        <v>0.3</v>
      </c>
      <c r="Z66" s="1073"/>
      <c r="AA66" s="1073"/>
      <c r="AB66" s="1073"/>
      <c r="AC66" s="1074"/>
      <c r="AD66" s="1355">
        <v>0.13</v>
      </c>
      <c r="AE66" s="1073"/>
      <c r="AF66" s="1073"/>
      <c r="AG66" s="1073"/>
      <c r="AH66" s="1074"/>
    </row>
    <row r="67" spans="1:34" ht="12.95" customHeight="1">
      <c r="C67" s="3"/>
      <c r="D67" s="3" t="s">
        <v>1754</v>
      </c>
      <c r="Y67" s="1175">
        <f>ROUND(Y63*Y66,0)</f>
        <v>0</v>
      </c>
      <c r="Z67" s="973"/>
      <c r="AA67" s="973"/>
      <c r="AB67" s="973"/>
      <c r="AC67" s="974"/>
      <c r="AD67" s="1175" t="str">
        <f>IF(OR(Application!D211="At-Risk",Application!D211="At-Risk/Located in Rural Census Tract",Application!D214="At-Risk"),ROUND(AD63*AD66,0),"$0")</f>
        <v>$0</v>
      </c>
      <c r="AE67" s="973"/>
      <c r="AF67" s="973"/>
      <c r="AG67" s="973"/>
      <c r="AH67" s="974"/>
    </row>
    <row r="68" spans="1:34" ht="12.95" customHeight="1">
      <c r="C68" s="3"/>
      <c r="E68" s="3"/>
      <c r="AB68" s="2"/>
      <c r="AC68" s="2"/>
      <c r="AD68" s="2"/>
      <c r="AE68" s="2"/>
      <c r="AF68" s="2"/>
    </row>
    <row r="69" spans="1:34" ht="12.95" customHeight="1">
      <c r="A69" s="3" t="s">
        <v>247</v>
      </c>
      <c r="C69" s="3" t="s">
        <v>1190</v>
      </c>
    </row>
    <row r="70" spans="1:34" ht="12.95" customHeight="1">
      <c r="A70" s="3"/>
      <c r="C70" s="3"/>
      <c r="D70" s="3" t="s">
        <v>1756</v>
      </c>
      <c r="AB70" s="1350"/>
      <c r="AC70" s="1063"/>
      <c r="AD70" s="1063"/>
      <c r="AE70" s="1063"/>
      <c r="AF70" s="1064"/>
    </row>
    <row r="71" spans="1:34" ht="12.95" customHeight="1">
      <c r="A71" s="3"/>
      <c r="C71" s="3"/>
      <c r="D71" s="3"/>
      <c r="E71" s="1348" t="s">
        <v>2392</v>
      </c>
      <c r="F71" s="976"/>
      <c r="G71" s="976"/>
      <c r="H71" s="976"/>
      <c r="I71" s="976"/>
      <c r="J71" s="976"/>
      <c r="K71" s="976"/>
      <c r="L71" s="976"/>
      <c r="M71" s="976"/>
      <c r="N71" s="976"/>
      <c r="O71" s="976"/>
      <c r="P71" s="976"/>
      <c r="Q71" s="976"/>
      <c r="R71" s="976"/>
      <c r="S71" s="976"/>
      <c r="T71" s="976"/>
      <c r="U71" s="976"/>
      <c r="V71" s="976"/>
      <c r="W71" s="976"/>
      <c r="X71" s="976"/>
      <c r="Y71" s="976"/>
      <c r="Z71" s="976"/>
      <c r="AA71" s="251"/>
      <c r="AB71" s="251"/>
      <c r="AC71" s="251"/>
    </row>
    <row r="72" spans="1:34" ht="12.95" customHeight="1">
      <c r="A72" s="3"/>
      <c r="C72" s="3"/>
      <c r="D72" s="3"/>
      <c r="E72" s="976"/>
      <c r="F72" s="976"/>
      <c r="G72" s="976"/>
      <c r="H72" s="976"/>
      <c r="I72" s="976"/>
      <c r="J72" s="976"/>
      <c r="K72" s="976"/>
      <c r="L72" s="976"/>
      <c r="M72" s="976"/>
      <c r="N72" s="976"/>
      <c r="O72" s="976"/>
      <c r="P72" s="976"/>
      <c r="Q72" s="976"/>
      <c r="R72" s="976"/>
      <c r="S72" s="976"/>
      <c r="T72" s="976"/>
      <c r="U72" s="976"/>
      <c r="V72" s="976"/>
      <c r="W72" s="976"/>
      <c r="X72" s="976"/>
      <c r="Y72" s="976"/>
      <c r="Z72" s="976"/>
      <c r="AA72" s="251"/>
      <c r="AB72" s="251"/>
      <c r="AC72" s="251"/>
    </row>
    <row r="73" spans="1:34" ht="12.95" customHeight="1">
      <c r="A73" s="3"/>
      <c r="C73" s="3"/>
      <c r="D73" s="3"/>
      <c r="E73" s="976"/>
      <c r="F73" s="976"/>
      <c r="G73" s="976"/>
      <c r="H73" s="976"/>
      <c r="I73" s="976"/>
      <c r="J73" s="976"/>
      <c r="K73" s="976"/>
      <c r="L73" s="976"/>
      <c r="M73" s="976"/>
      <c r="N73" s="976"/>
      <c r="O73" s="976"/>
      <c r="P73" s="976"/>
      <c r="Q73" s="976"/>
      <c r="R73" s="976"/>
      <c r="S73" s="976"/>
      <c r="T73" s="976"/>
      <c r="U73" s="976"/>
      <c r="V73" s="976"/>
      <c r="W73" s="976"/>
      <c r="X73" s="976"/>
      <c r="Y73" s="976"/>
      <c r="Z73" s="97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1758</v>
      </c>
      <c r="AB75" s="1162">
        <f>ROUND(IF(ISERROR((AB58/AB70)),0,(AB58/AB70)),0)</f>
        <v>0</v>
      </c>
      <c r="AC75" s="973"/>
      <c r="AD75" s="973"/>
      <c r="AE75" s="973"/>
      <c r="AF75" s="974"/>
    </row>
    <row r="76" spans="1:34" ht="12.95" customHeight="1">
      <c r="C76" s="3"/>
      <c r="D76" s="3" t="s">
        <v>1759</v>
      </c>
      <c r="AB76" s="1162">
        <f>IF((Y67+AD67&lt;AB75),Y67+AD67,AB75)</f>
        <v>0</v>
      </c>
      <c r="AC76" s="973"/>
      <c r="AD76" s="973"/>
      <c r="AE76" s="973"/>
      <c r="AF76" s="974"/>
    </row>
    <row r="77" spans="1:34" ht="12.95" customHeight="1">
      <c r="C77" s="3"/>
      <c r="D77" s="3" t="s">
        <v>1760</v>
      </c>
      <c r="AB77" s="1356">
        <f>AB76*AB70</f>
        <v>0</v>
      </c>
      <c r="AC77" s="973"/>
      <c r="AD77" s="973"/>
      <c r="AE77" s="973"/>
      <c r="AF77" s="974"/>
    </row>
    <row r="78" spans="1:34" ht="12.95" customHeight="1">
      <c r="C78" s="3"/>
      <c r="D78" s="3"/>
      <c r="AB78" s="593"/>
      <c r="AC78" s="593"/>
      <c r="AD78" s="593"/>
      <c r="AE78" s="593"/>
      <c r="AF78" s="593"/>
    </row>
    <row r="79" spans="1:34" ht="12.95" customHeight="1">
      <c r="D79" s="3" t="s">
        <v>1748</v>
      </c>
      <c r="AB79" s="1088">
        <f>AB48-(AB56+AB77)</f>
        <v>30083438</v>
      </c>
      <c r="AC79" s="973"/>
      <c r="AD79" s="973"/>
      <c r="AE79" s="973"/>
      <c r="AF79" s="974"/>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6" t="s">
        <v>2393</v>
      </c>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1073"/>
    </row>
    <row r="2" spans="1:40" ht="12.95" customHeight="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1169</v>
      </c>
      <c r="F5" s="3"/>
    </row>
    <row r="6" spans="1:40" ht="12.95" customHeight="1">
      <c r="B6" s="90"/>
    </row>
    <row r="7" spans="1:40" ht="12.95" customHeight="1">
      <c r="B7" s="6"/>
      <c r="C7" s="7"/>
      <c r="D7" s="7"/>
      <c r="E7" s="7"/>
      <c r="F7" s="7"/>
      <c r="G7" s="7"/>
      <c r="H7" s="7"/>
      <c r="I7" s="7"/>
      <c r="J7" s="7"/>
      <c r="K7" s="7"/>
      <c r="L7" s="7"/>
      <c r="M7" s="7"/>
      <c r="N7" s="7"/>
      <c r="O7" s="7"/>
      <c r="P7" s="7"/>
      <c r="Q7" s="7"/>
      <c r="R7" s="7"/>
      <c r="S7" s="7"/>
      <c r="T7" s="1358" t="s">
        <v>2382</v>
      </c>
      <c r="U7" s="1073"/>
      <c r="V7" s="1073"/>
      <c r="W7" s="1073"/>
      <c r="X7" s="1074"/>
      <c r="Y7" s="1358" t="s">
        <v>2383</v>
      </c>
      <c r="Z7" s="1073"/>
      <c r="AA7" s="1073"/>
      <c r="AB7" s="1073"/>
      <c r="AC7" s="1074"/>
      <c r="AD7" s="1358" t="s">
        <v>2384</v>
      </c>
      <c r="AE7" s="1073"/>
      <c r="AF7" s="1073"/>
      <c r="AG7" s="1073"/>
      <c r="AH7" s="1074"/>
      <c r="AI7" s="1358" t="s">
        <v>2385</v>
      </c>
      <c r="AJ7" s="1073"/>
      <c r="AK7" s="1073"/>
      <c r="AL7" s="1073"/>
      <c r="AM7" s="1074"/>
    </row>
    <row r="8" spans="1:40" ht="12.95" customHeight="1">
      <c r="B8" s="202"/>
      <c r="T8" s="1091"/>
      <c r="U8" s="976"/>
      <c r="V8" s="976"/>
      <c r="W8" s="976"/>
      <c r="X8" s="977"/>
      <c r="Y8" s="1091"/>
      <c r="Z8" s="976"/>
      <c r="AA8" s="976"/>
      <c r="AB8" s="976"/>
      <c r="AC8" s="977"/>
      <c r="AD8" s="1091"/>
      <c r="AE8" s="976"/>
      <c r="AF8" s="976"/>
      <c r="AG8" s="976"/>
      <c r="AH8" s="977"/>
      <c r="AI8" s="1091"/>
      <c r="AJ8" s="976"/>
      <c r="AK8" s="976"/>
      <c r="AL8" s="976"/>
      <c r="AM8" s="977"/>
    </row>
    <row r="9" spans="1:40" ht="12.95" customHeight="1">
      <c r="B9" s="202"/>
      <c r="T9" s="1091"/>
      <c r="U9" s="976"/>
      <c r="V9" s="976"/>
      <c r="W9" s="976"/>
      <c r="X9" s="977"/>
      <c r="Y9" s="1091"/>
      <c r="Z9" s="976"/>
      <c r="AA9" s="976"/>
      <c r="AB9" s="976"/>
      <c r="AC9" s="977"/>
      <c r="AD9" s="1091"/>
      <c r="AE9" s="976"/>
      <c r="AF9" s="976"/>
      <c r="AG9" s="976"/>
      <c r="AH9" s="977"/>
      <c r="AI9" s="1091"/>
      <c r="AJ9" s="976"/>
      <c r="AK9" s="976"/>
      <c r="AL9" s="976"/>
      <c r="AM9" s="977"/>
    </row>
    <row r="10" spans="1:40" ht="40.5" customHeight="1">
      <c r="B10" s="53"/>
      <c r="C10" s="54"/>
      <c r="D10" s="54"/>
      <c r="E10" s="54"/>
      <c r="F10" s="54"/>
      <c r="G10" s="54"/>
      <c r="H10" s="54"/>
      <c r="I10" s="54"/>
      <c r="J10" s="54"/>
      <c r="K10" s="54"/>
      <c r="L10" s="54"/>
      <c r="M10" s="54"/>
      <c r="N10" s="54"/>
      <c r="O10" s="54"/>
      <c r="P10" s="54"/>
      <c r="Q10" s="54"/>
      <c r="R10" s="54"/>
      <c r="S10" s="54"/>
      <c r="T10" s="1092"/>
      <c r="U10" s="1093"/>
      <c r="V10" s="1093"/>
      <c r="W10" s="1093"/>
      <c r="X10" s="1094"/>
      <c r="Y10" s="1092"/>
      <c r="Z10" s="1093"/>
      <c r="AA10" s="1093"/>
      <c r="AB10" s="1093"/>
      <c r="AC10" s="1094"/>
      <c r="AD10" s="1092"/>
      <c r="AE10" s="1093"/>
      <c r="AF10" s="1093"/>
      <c r="AG10" s="1093"/>
      <c r="AH10" s="1094"/>
      <c r="AI10" s="1092"/>
      <c r="AJ10" s="1093"/>
      <c r="AK10" s="1093"/>
      <c r="AL10" s="1093"/>
      <c r="AM10" s="1094"/>
    </row>
    <row r="11" spans="1:40" ht="12.95" customHeight="1">
      <c r="B11" s="1160" t="s">
        <v>1714</v>
      </c>
      <c r="C11" s="973"/>
      <c r="D11" s="973"/>
      <c r="E11" s="973"/>
      <c r="F11" s="973"/>
      <c r="G11" s="973"/>
      <c r="H11" s="973"/>
      <c r="I11" s="973"/>
      <c r="J11" s="973"/>
      <c r="K11" s="973"/>
      <c r="L11" s="973"/>
      <c r="M11" s="973"/>
      <c r="N11" s="973"/>
      <c r="O11" s="973"/>
      <c r="P11" s="973"/>
      <c r="Q11" s="973"/>
      <c r="R11" s="973"/>
      <c r="S11" s="974"/>
      <c r="T11" s="1370">
        <f>IF('Sources and Basis Breakdown'!F105=0,'Sources and Basis Breakdown'!E105,'Sources and Basis Breakdown'!F105)</f>
        <v>25514460</v>
      </c>
      <c r="U11" s="1073"/>
      <c r="V11" s="1073"/>
      <c r="W11" s="1073"/>
      <c r="X11" s="1074"/>
      <c r="Y11" s="1368">
        <f>IF('Sources and Basis Breakdown'!G105+'Sources and Basis Breakdown'!F105='Sources and Basis Breakdown'!E105,'Sources and Basis Breakdown'!G105,0)</f>
        <v>0</v>
      </c>
      <c r="Z11" s="1073"/>
      <c r="AA11" s="1073"/>
      <c r="AB11" s="1073"/>
      <c r="AC11" s="1074"/>
      <c r="AD11" s="1369">
        <f>IF('Sources and Basis Breakdown'!I105=0,'Sources and Basis Breakdown'!H105,'Sources and Basis Breakdown'!I105)</f>
        <v>0</v>
      </c>
      <c r="AE11" s="1073"/>
      <c r="AF11" s="1073"/>
      <c r="AG11" s="1073"/>
      <c r="AH11" s="1074"/>
      <c r="AI11" s="1369">
        <f>IF('Sources and Basis Breakdown'!I105+'Sources and Basis Breakdown'!J105='Sources and Basis Breakdown'!H105,'Sources and Basis Breakdown'!J105,0)</f>
        <v>0</v>
      </c>
      <c r="AJ11" s="1073"/>
      <c r="AK11" s="1073"/>
      <c r="AL11" s="1073"/>
      <c r="AM11" s="1074"/>
    </row>
    <row r="12" spans="1:40" ht="12.95" customHeight="1">
      <c r="B12" s="1365" t="s">
        <v>1715</v>
      </c>
      <c r="C12" s="973"/>
      <c r="D12" s="973"/>
      <c r="E12" s="973"/>
      <c r="F12" s="973"/>
      <c r="G12" s="973"/>
      <c r="H12" s="973"/>
      <c r="I12" s="973"/>
      <c r="J12" s="973"/>
      <c r="K12" s="973"/>
      <c r="L12" s="973"/>
      <c r="M12" s="973"/>
      <c r="N12" s="973"/>
      <c r="O12" s="973"/>
      <c r="P12" s="973"/>
      <c r="Q12" s="973"/>
      <c r="R12" s="973"/>
      <c r="S12" s="974"/>
      <c r="T12" s="1360"/>
      <c r="U12" s="973"/>
      <c r="V12" s="973"/>
      <c r="W12" s="973"/>
      <c r="X12" s="974"/>
      <c r="Y12" s="1360"/>
      <c r="Z12" s="973"/>
      <c r="AA12" s="973"/>
      <c r="AB12" s="973"/>
      <c r="AC12" s="974"/>
      <c r="AD12" s="1360"/>
      <c r="AE12" s="973"/>
      <c r="AF12" s="973"/>
      <c r="AG12" s="973"/>
      <c r="AH12" s="974"/>
      <c r="AI12" s="1360"/>
      <c r="AJ12" s="973"/>
      <c r="AK12" s="973"/>
      <c r="AL12" s="973"/>
      <c r="AM12" s="974"/>
    </row>
    <row r="13" spans="1:40" ht="12.95" customHeight="1">
      <c r="B13" s="8"/>
      <c r="C13" s="1364" t="s">
        <v>1716</v>
      </c>
      <c r="D13" s="973"/>
      <c r="E13" s="973"/>
      <c r="F13" s="973"/>
      <c r="G13" s="973"/>
      <c r="H13" s="973"/>
      <c r="I13" s="973"/>
      <c r="J13" s="973"/>
      <c r="K13" s="973"/>
      <c r="L13" s="973"/>
      <c r="M13" s="973"/>
      <c r="N13" s="973"/>
      <c r="O13" s="973"/>
      <c r="P13" s="973"/>
      <c r="Q13" s="973"/>
      <c r="R13" s="973"/>
      <c r="S13" s="974"/>
      <c r="T13" s="1361">
        <f>'Basis &amp; Credits'!T13</f>
        <v>0</v>
      </c>
      <c r="U13" s="1060"/>
      <c r="V13" s="1060"/>
      <c r="W13" s="1060"/>
      <c r="X13" s="1096"/>
      <c r="Y13" s="1361">
        <f>'Basis &amp; Credits'!Y13</f>
        <v>0</v>
      </c>
      <c r="Z13" s="1060"/>
      <c r="AA13" s="1060"/>
      <c r="AB13" s="1060"/>
      <c r="AC13" s="1096"/>
      <c r="AD13" s="1371">
        <f>'Basis &amp; Credits'!AD13</f>
        <v>0</v>
      </c>
      <c r="AE13" s="1060"/>
      <c r="AF13" s="1060"/>
      <c r="AG13" s="1060"/>
      <c r="AH13" s="1096"/>
      <c r="AI13" s="1371">
        <f>'Basis &amp; Credits'!AI13</f>
        <v>0</v>
      </c>
      <c r="AJ13" s="1060"/>
      <c r="AK13" s="1060"/>
      <c r="AL13" s="1060"/>
      <c r="AM13" s="1096"/>
    </row>
    <row r="14" spans="1:40" ht="12.95" customHeight="1">
      <c r="B14" s="8"/>
      <c r="C14" s="1359" t="s">
        <v>1717</v>
      </c>
      <c r="D14" s="973"/>
      <c r="E14" s="973"/>
      <c r="F14" s="973"/>
      <c r="G14" s="973"/>
      <c r="H14" s="973"/>
      <c r="I14" s="973"/>
      <c r="J14" s="973"/>
      <c r="K14" s="973"/>
      <c r="L14" s="973"/>
      <c r="M14" s="973"/>
      <c r="N14" s="973"/>
      <c r="O14" s="973"/>
      <c r="P14" s="973"/>
      <c r="Q14" s="973"/>
      <c r="R14" s="973"/>
      <c r="S14" s="974"/>
      <c r="T14" s="1343">
        <f>'Basis &amp; Credits'!T14</f>
        <v>0</v>
      </c>
      <c r="U14" s="1063"/>
      <c r="V14" s="1063"/>
      <c r="W14" s="1063"/>
      <c r="X14" s="1064"/>
      <c r="Y14" s="1343">
        <f>'Basis &amp; Credits'!Y14</f>
        <v>0</v>
      </c>
      <c r="Z14" s="1063"/>
      <c r="AA14" s="1063"/>
      <c r="AB14" s="1063"/>
      <c r="AC14" s="1064"/>
      <c r="AD14" s="1070">
        <f>'Basis &amp; Credits'!AD14</f>
        <v>0</v>
      </c>
      <c r="AE14" s="1063"/>
      <c r="AF14" s="1063"/>
      <c r="AG14" s="1063"/>
      <c r="AH14" s="1064"/>
      <c r="AI14" s="1070">
        <f>'Basis &amp; Credits'!AI14</f>
        <v>0</v>
      </c>
      <c r="AJ14" s="1063"/>
      <c r="AK14" s="1063"/>
      <c r="AL14" s="1063"/>
      <c r="AM14" s="1064"/>
    </row>
    <row r="15" spans="1:40" ht="12.95" customHeight="1">
      <c r="B15" s="8"/>
      <c r="C15" s="1359" t="s">
        <v>1718</v>
      </c>
      <c r="D15" s="973"/>
      <c r="E15" s="973"/>
      <c r="F15" s="973"/>
      <c r="G15" s="973"/>
      <c r="H15" s="973"/>
      <c r="I15" s="973"/>
      <c r="J15" s="973"/>
      <c r="K15" s="973"/>
      <c r="L15" s="973"/>
      <c r="M15" s="973"/>
      <c r="N15" s="973"/>
      <c r="O15" s="973"/>
      <c r="P15" s="973"/>
      <c r="Q15" s="973"/>
      <c r="R15" s="973"/>
      <c r="S15" s="974"/>
      <c r="T15" s="1343">
        <f>'Basis &amp; Credits'!T15</f>
        <v>0</v>
      </c>
      <c r="U15" s="1063"/>
      <c r="V15" s="1063"/>
      <c r="W15" s="1063"/>
      <c r="X15" s="1064"/>
      <c r="Y15" s="1343">
        <f>'Basis &amp; Credits'!Y15</f>
        <v>0</v>
      </c>
      <c r="Z15" s="1063"/>
      <c r="AA15" s="1063"/>
      <c r="AB15" s="1063"/>
      <c r="AC15" s="1064"/>
      <c r="AD15" s="1070">
        <f>'Basis &amp; Credits'!AD15</f>
        <v>0</v>
      </c>
      <c r="AE15" s="1063"/>
      <c r="AF15" s="1063"/>
      <c r="AG15" s="1063"/>
      <c r="AH15" s="1064"/>
      <c r="AI15" s="1070">
        <f>'Basis &amp; Credits'!AI15</f>
        <v>0</v>
      </c>
      <c r="AJ15" s="1063"/>
      <c r="AK15" s="1063"/>
      <c r="AL15" s="1063"/>
      <c r="AM15" s="1064"/>
    </row>
    <row r="16" spans="1:40" ht="12.95" customHeight="1">
      <c r="B16" s="8"/>
      <c r="C16" s="1364" t="s">
        <v>1719</v>
      </c>
      <c r="D16" s="973"/>
      <c r="E16" s="973"/>
      <c r="F16" s="973"/>
      <c r="G16" s="973"/>
      <c r="H16" s="973"/>
      <c r="I16" s="973"/>
      <c r="J16" s="973"/>
      <c r="K16" s="973"/>
      <c r="L16" s="973"/>
      <c r="M16" s="973"/>
      <c r="N16" s="973"/>
      <c r="O16" s="973"/>
      <c r="P16" s="973"/>
      <c r="Q16" s="973"/>
      <c r="R16" s="973"/>
      <c r="S16" s="974"/>
      <c r="T16" s="1343">
        <f>'Basis &amp; Credits'!T16</f>
        <v>0</v>
      </c>
      <c r="U16" s="1063"/>
      <c r="V16" s="1063"/>
      <c r="W16" s="1063"/>
      <c r="X16" s="1064"/>
      <c r="Y16" s="1343">
        <f>'Basis &amp; Credits'!Y16</f>
        <v>0</v>
      </c>
      <c r="Z16" s="1063"/>
      <c r="AA16" s="1063"/>
      <c r="AB16" s="1063"/>
      <c r="AC16" s="1064"/>
      <c r="AD16" s="1070">
        <f>'Basis &amp; Credits'!AD16</f>
        <v>0</v>
      </c>
      <c r="AE16" s="1063"/>
      <c r="AF16" s="1063"/>
      <c r="AG16" s="1063"/>
      <c r="AH16" s="1064"/>
      <c r="AI16" s="1070">
        <f>'Basis &amp; Credits'!AI16</f>
        <v>0</v>
      </c>
      <c r="AJ16" s="1063"/>
      <c r="AK16" s="1063"/>
      <c r="AL16" s="1063"/>
      <c r="AM16" s="1064"/>
    </row>
    <row r="17" spans="1:39" ht="12.95" customHeight="1">
      <c r="B17" s="8"/>
      <c r="C17" s="1359" t="s">
        <v>1720</v>
      </c>
      <c r="D17" s="973"/>
      <c r="E17" s="973"/>
      <c r="F17" s="973"/>
      <c r="G17" s="973"/>
      <c r="H17" s="973"/>
      <c r="I17" s="973"/>
      <c r="J17" s="973"/>
      <c r="K17" s="973"/>
      <c r="L17" s="973"/>
      <c r="M17" s="973"/>
      <c r="N17" s="973"/>
      <c r="O17" s="973"/>
      <c r="P17" s="973"/>
      <c r="Q17" s="973"/>
      <c r="R17" s="973"/>
      <c r="S17" s="974"/>
      <c r="T17" s="1343">
        <f>'Basis &amp; Credits'!T17</f>
        <v>0</v>
      </c>
      <c r="U17" s="1063"/>
      <c r="V17" s="1063"/>
      <c r="W17" s="1063"/>
      <c r="X17" s="1064"/>
      <c r="Y17" s="1343">
        <f>'Basis &amp; Credits'!Y17</f>
        <v>0</v>
      </c>
      <c r="Z17" s="1063"/>
      <c r="AA17" s="1063"/>
      <c r="AB17" s="1063"/>
      <c r="AC17" s="1064"/>
      <c r="AD17" s="1070">
        <f>'Basis &amp; Credits'!AD17</f>
        <v>0</v>
      </c>
      <c r="AE17" s="1063"/>
      <c r="AF17" s="1063"/>
      <c r="AG17" s="1063"/>
      <c r="AH17" s="1064"/>
      <c r="AI17" s="1070">
        <f>'Basis &amp; Credits'!AI17</f>
        <v>0</v>
      </c>
      <c r="AJ17" s="1063"/>
      <c r="AK17" s="1063"/>
      <c r="AL17" s="1063"/>
      <c r="AM17" s="1064"/>
    </row>
    <row r="18" spans="1:39" ht="12.95" customHeight="1">
      <c r="B18" s="588"/>
      <c r="C18" s="1364" t="s">
        <v>2386</v>
      </c>
      <c r="D18" s="973"/>
      <c r="E18" s="973"/>
      <c r="F18" s="973"/>
      <c r="G18" s="973"/>
      <c r="H18" s="973"/>
      <c r="I18" s="973"/>
      <c r="J18" s="973"/>
      <c r="K18" s="973"/>
      <c r="L18" s="973"/>
      <c r="M18" s="973"/>
      <c r="N18" s="973"/>
      <c r="O18" s="973"/>
      <c r="P18" s="973"/>
      <c r="Q18" s="973"/>
      <c r="R18" s="973"/>
      <c r="S18" s="974"/>
      <c r="T18" s="1070">
        <f>'Basis &amp; Credits'!T18</f>
        <v>0</v>
      </c>
      <c r="U18" s="1063"/>
      <c r="V18" s="1063"/>
      <c r="W18" s="1063"/>
      <c r="X18" s="1064"/>
      <c r="Y18" s="1343">
        <f>'Basis &amp; Credits'!Y18</f>
        <v>0</v>
      </c>
      <c r="Z18" s="1063"/>
      <c r="AA18" s="1063"/>
      <c r="AB18" s="1063"/>
      <c r="AC18" s="1064"/>
      <c r="AD18" s="1070">
        <f>'Basis &amp; Credits'!AD18</f>
        <v>0</v>
      </c>
      <c r="AE18" s="1063"/>
      <c r="AF18" s="1063"/>
      <c r="AG18" s="1063"/>
      <c r="AH18" s="1064"/>
      <c r="AI18" s="1070">
        <f>'Basis &amp; Credits'!AI18</f>
        <v>0</v>
      </c>
      <c r="AJ18" s="1063"/>
      <c r="AK18" s="1063"/>
      <c r="AL18" s="1063"/>
      <c r="AM18" s="1064"/>
    </row>
    <row r="19" spans="1:39" ht="12.95" customHeight="1">
      <c r="B19" s="481"/>
      <c r="C19" s="1344" t="str">
        <f>'Basis &amp; Credits'!C19:S19</f>
        <v>Subtract (specify other ineligible amounts):</v>
      </c>
      <c r="D19" s="1063"/>
      <c r="E19" s="1063"/>
      <c r="F19" s="1063"/>
      <c r="G19" s="1063"/>
      <c r="H19" s="1063"/>
      <c r="I19" s="1063"/>
      <c r="J19" s="1063"/>
      <c r="K19" s="1063"/>
      <c r="L19" s="1063"/>
      <c r="M19" s="1063"/>
      <c r="N19" s="1063"/>
      <c r="O19" s="1063"/>
      <c r="P19" s="1063"/>
      <c r="Q19" s="1063"/>
      <c r="R19" s="1063"/>
      <c r="S19" s="1064"/>
      <c r="T19" s="1343">
        <f>'Basis &amp; Credits'!T19</f>
        <v>0</v>
      </c>
      <c r="U19" s="1063"/>
      <c r="V19" s="1063"/>
      <c r="W19" s="1063"/>
      <c r="X19" s="1064"/>
      <c r="Y19" s="1343">
        <f>'Basis &amp; Credits'!Y19</f>
        <v>0</v>
      </c>
      <c r="Z19" s="1063"/>
      <c r="AA19" s="1063"/>
      <c r="AB19" s="1063"/>
      <c r="AC19" s="1064"/>
      <c r="AD19" s="1070">
        <f>'Basis &amp; Credits'!AD19</f>
        <v>0</v>
      </c>
      <c r="AE19" s="1063"/>
      <c r="AF19" s="1063"/>
      <c r="AG19" s="1063"/>
      <c r="AH19" s="1064"/>
      <c r="AI19" s="1070">
        <f>'Basis &amp; Credits'!AI19</f>
        <v>0</v>
      </c>
      <c r="AJ19" s="1063"/>
      <c r="AK19" s="1063"/>
      <c r="AL19" s="1063"/>
      <c r="AM19" s="1064"/>
    </row>
    <row r="20" spans="1:39" ht="12.95" customHeight="1">
      <c r="B20" s="1160" t="s">
        <v>1722</v>
      </c>
      <c r="C20" s="973"/>
      <c r="D20" s="973"/>
      <c r="E20" s="973"/>
      <c r="F20" s="973"/>
      <c r="G20" s="973"/>
      <c r="H20" s="973"/>
      <c r="I20" s="973"/>
      <c r="J20" s="973"/>
      <c r="K20" s="973"/>
      <c r="L20" s="973"/>
      <c r="M20" s="973"/>
      <c r="N20" s="973"/>
      <c r="O20" s="973"/>
      <c r="P20" s="973"/>
      <c r="Q20" s="973"/>
      <c r="R20" s="973"/>
      <c r="S20" s="974"/>
      <c r="T20" s="1345">
        <f>SUM(T13:X19)</f>
        <v>0</v>
      </c>
      <c r="U20" s="973"/>
      <c r="V20" s="973"/>
      <c r="W20" s="973"/>
      <c r="X20" s="974"/>
      <c r="Y20" s="1345">
        <f>SUM(Y13:AC19)</f>
        <v>0</v>
      </c>
      <c r="Z20" s="973"/>
      <c r="AA20" s="973"/>
      <c r="AB20" s="973"/>
      <c r="AC20" s="974"/>
      <c r="AD20" s="1175">
        <f>SUM(AD13:AH19)</f>
        <v>0</v>
      </c>
      <c r="AE20" s="973"/>
      <c r="AF20" s="973"/>
      <c r="AG20" s="973"/>
      <c r="AH20" s="974"/>
      <c r="AI20" s="1175">
        <f>SUM(AI13:AM19)</f>
        <v>0</v>
      </c>
      <c r="AJ20" s="973"/>
      <c r="AK20" s="973"/>
      <c r="AL20" s="973"/>
      <c r="AM20" s="974"/>
    </row>
    <row r="21" spans="1:39" ht="12.95" customHeight="1">
      <c r="B21" s="1160" t="s">
        <v>1723</v>
      </c>
      <c r="C21" s="973"/>
      <c r="D21" s="973"/>
      <c r="E21" s="973"/>
      <c r="F21" s="973"/>
      <c r="G21" s="973"/>
      <c r="H21" s="973"/>
      <c r="I21" s="973"/>
      <c r="J21" s="973"/>
      <c r="K21" s="973"/>
      <c r="L21" s="973"/>
      <c r="M21" s="973"/>
      <c r="N21" s="973"/>
      <c r="O21" s="973"/>
      <c r="P21" s="973"/>
      <c r="Q21" s="973"/>
      <c r="R21" s="973"/>
      <c r="S21" s="974"/>
      <c r="T21" s="1343">
        <f>'Basis &amp; Credits'!T21</f>
        <v>4146939</v>
      </c>
      <c r="U21" s="1063"/>
      <c r="V21" s="1063"/>
      <c r="W21" s="1063"/>
      <c r="X21" s="1064"/>
      <c r="Y21" s="1343">
        <f>'Basis &amp; Credits'!Y21</f>
        <v>0</v>
      </c>
      <c r="Z21" s="1063"/>
      <c r="AA21" s="1063"/>
      <c r="AB21" s="1063"/>
      <c r="AC21" s="1064"/>
      <c r="AD21" s="1070">
        <f>'Basis &amp; Credits'!AD21</f>
        <v>0</v>
      </c>
      <c r="AE21" s="1063"/>
      <c r="AF21" s="1063"/>
      <c r="AG21" s="1063"/>
      <c r="AH21" s="1064"/>
      <c r="AI21" s="1070">
        <f>'Basis &amp; Credits'!AI21</f>
        <v>0</v>
      </c>
      <c r="AJ21" s="1063"/>
      <c r="AK21" s="1063"/>
      <c r="AL21" s="1063"/>
      <c r="AM21" s="1064"/>
    </row>
    <row r="22" spans="1:39" ht="12.95" customHeight="1">
      <c r="B22" s="1160" t="s">
        <v>1724</v>
      </c>
      <c r="C22" s="973"/>
      <c r="D22" s="973"/>
      <c r="E22" s="973"/>
      <c r="F22" s="973"/>
      <c r="G22" s="973"/>
      <c r="H22" s="973"/>
      <c r="I22" s="973"/>
      <c r="J22" s="973"/>
      <c r="K22" s="973"/>
      <c r="L22" s="973"/>
      <c r="M22" s="973"/>
      <c r="N22" s="973"/>
      <c r="O22" s="973"/>
      <c r="P22" s="973"/>
      <c r="Q22" s="973"/>
      <c r="R22" s="973"/>
      <c r="S22" s="974"/>
      <c r="T22" s="1362">
        <f>(T20+T21)*-1</f>
        <v>-4146939</v>
      </c>
      <c r="U22" s="973"/>
      <c r="V22" s="973"/>
      <c r="W22" s="973"/>
      <c r="X22" s="974"/>
      <c r="Y22" s="1362">
        <f>(Y20+Y21)*-1</f>
        <v>0</v>
      </c>
      <c r="Z22" s="973"/>
      <c r="AA22" s="973"/>
      <c r="AB22" s="973"/>
      <c r="AC22" s="974"/>
      <c r="AD22" s="1362">
        <f>(AD20+AD21)*-1</f>
        <v>0</v>
      </c>
      <c r="AE22" s="973"/>
      <c r="AF22" s="973"/>
      <c r="AG22" s="973"/>
      <c r="AH22" s="974"/>
      <c r="AI22" s="1362">
        <f>(AI20+AI21)*-1</f>
        <v>0</v>
      </c>
      <c r="AJ22" s="973"/>
      <c r="AK22" s="973"/>
      <c r="AL22" s="973"/>
      <c r="AM22" s="974"/>
    </row>
    <row r="23" spans="1:39" ht="12.95" customHeight="1">
      <c r="B23" s="1160" t="s">
        <v>2387</v>
      </c>
      <c r="C23" s="973"/>
      <c r="D23" s="973"/>
      <c r="E23" s="973"/>
      <c r="F23" s="973"/>
      <c r="G23" s="973"/>
      <c r="H23" s="973"/>
      <c r="I23" s="973"/>
      <c r="J23" s="973"/>
      <c r="K23" s="973"/>
      <c r="L23" s="973"/>
      <c r="M23" s="973"/>
      <c r="N23" s="973"/>
      <c r="O23" s="973"/>
      <c r="P23" s="973"/>
      <c r="Q23" s="973"/>
      <c r="R23" s="973"/>
      <c r="S23" s="974"/>
      <c r="T23" s="1345">
        <f>T11+T22</f>
        <v>21367521</v>
      </c>
      <c r="U23" s="973"/>
      <c r="V23" s="973"/>
      <c r="W23" s="973"/>
      <c r="X23" s="974"/>
      <c r="Y23" s="1345">
        <f>Y11+Y22</f>
        <v>0</v>
      </c>
      <c r="Z23" s="973"/>
      <c r="AA23" s="973"/>
      <c r="AB23" s="973"/>
      <c r="AC23" s="974"/>
      <c r="AD23" s="1345">
        <f>AD11+AD22</f>
        <v>0</v>
      </c>
      <c r="AE23" s="973"/>
      <c r="AF23" s="973"/>
      <c r="AG23" s="973"/>
      <c r="AH23" s="974"/>
      <c r="AI23" s="1345">
        <f>AI11+AI22</f>
        <v>0</v>
      </c>
      <c r="AJ23" s="973"/>
      <c r="AK23" s="973"/>
      <c r="AL23" s="973"/>
      <c r="AM23" s="974"/>
    </row>
    <row r="24" spans="1:39" ht="12.95" customHeight="1">
      <c r="B24" s="1160" t="s">
        <v>1726</v>
      </c>
      <c r="C24" s="973"/>
      <c r="D24" s="973"/>
      <c r="E24" s="973"/>
      <c r="F24" s="973"/>
      <c r="G24" s="973"/>
      <c r="H24" s="973"/>
      <c r="I24" s="973"/>
      <c r="J24" s="973"/>
      <c r="K24" s="973"/>
      <c r="L24" s="973"/>
      <c r="M24" s="973"/>
      <c r="N24" s="973"/>
      <c r="O24" s="973"/>
      <c r="P24" s="973"/>
      <c r="Q24" s="973"/>
      <c r="R24" s="973"/>
      <c r="S24" s="974"/>
      <c r="T24" s="1175">
        <f>Application!AD1020</f>
        <v>0</v>
      </c>
      <c r="U24" s="973"/>
      <c r="V24" s="973"/>
      <c r="W24" s="973"/>
      <c r="X24" s="973"/>
      <c r="Y24" s="973"/>
      <c r="Z24" s="973"/>
      <c r="AA24" s="973"/>
      <c r="AB24" s="973"/>
      <c r="AC24" s="973"/>
      <c r="AD24" s="973"/>
      <c r="AE24" s="973"/>
      <c r="AF24" s="973"/>
      <c r="AG24" s="973"/>
      <c r="AH24" s="973"/>
      <c r="AI24" s="973"/>
      <c r="AJ24" s="973"/>
      <c r="AK24" s="973"/>
      <c r="AL24" s="973"/>
      <c r="AM24" s="974"/>
    </row>
    <row r="25" spans="1:39" ht="12.95" customHeight="1">
      <c r="B25" s="1363" t="s">
        <v>2388</v>
      </c>
      <c r="C25" s="973"/>
      <c r="D25" s="973"/>
      <c r="E25" s="973"/>
      <c r="F25" s="973"/>
      <c r="G25" s="973"/>
      <c r="H25" s="973"/>
      <c r="I25" s="973"/>
      <c r="J25" s="973"/>
      <c r="K25" s="973"/>
      <c r="L25" s="973"/>
      <c r="M25" s="973"/>
      <c r="N25" s="973"/>
      <c r="O25" s="973"/>
      <c r="P25" s="973"/>
      <c r="Q25" s="973"/>
      <c r="R25" s="973"/>
      <c r="S25" s="974"/>
      <c r="T25" s="1353">
        <v>1</v>
      </c>
      <c r="U25" s="1093"/>
      <c r="V25" s="1093"/>
      <c r="W25" s="1093"/>
      <c r="X25" s="1093"/>
      <c r="Y25" s="1351">
        <v>1</v>
      </c>
      <c r="Z25" s="1093"/>
      <c r="AA25" s="1093"/>
      <c r="AB25" s="1093"/>
      <c r="AC25" s="1094"/>
      <c r="AD25" s="1351">
        <v>1</v>
      </c>
      <c r="AE25" s="1093"/>
      <c r="AF25" s="1093"/>
      <c r="AG25" s="1093"/>
      <c r="AH25" s="1094"/>
      <c r="AI25" s="1351">
        <v>1</v>
      </c>
      <c r="AJ25" s="1093"/>
      <c r="AK25" s="1093"/>
      <c r="AL25" s="1093"/>
      <c r="AM25" s="1094"/>
    </row>
    <row r="26" spans="1:39" ht="12.95" customHeight="1">
      <c r="B26" s="1160" t="s">
        <v>1728</v>
      </c>
      <c r="C26" s="973"/>
      <c r="D26" s="973"/>
      <c r="E26" s="973"/>
      <c r="F26" s="973"/>
      <c r="G26" s="973"/>
      <c r="H26" s="973"/>
      <c r="I26" s="973"/>
      <c r="J26" s="973"/>
      <c r="K26" s="973"/>
      <c r="L26" s="973"/>
      <c r="M26" s="973"/>
      <c r="N26" s="973"/>
      <c r="O26" s="973"/>
      <c r="P26" s="973"/>
      <c r="Q26" s="973"/>
      <c r="R26" s="973"/>
      <c r="S26" s="974"/>
      <c r="T26" s="1347">
        <f>T23*T25</f>
        <v>21367521</v>
      </c>
      <c r="U26" s="973"/>
      <c r="V26" s="973"/>
      <c r="W26" s="973"/>
      <c r="X26" s="974"/>
      <c r="Y26" s="1347">
        <f>Y23*Y25</f>
        <v>0</v>
      </c>
      <c r="Z26" s="973"/>
      <c r="AA26" s="973"/>
      <c r="AB26" s="973"/>
      <c r="AC26" s="974"/>
      <c r="AD26" s="1347">
        <f>AD23*AD25</f>
        <v>0</v>
      </c>
      <c r="AE26" s="973"/>
      <c r="AF26" s="973"/>
      <c r="AG26" s="973"/>
      <c r="AH26" s="974"/>
      <c r="AI26" s="1347">
        <f>AI23*AI25</f>
        <v>0</v>
      </c>
      <c r="AJ26" s="973"/>
      <c r="AK26" s="973"/>
      <c r="AL26" s="973"/>
      <c r="AM26" s="974"/>
    </row>
    <row r="27" spans="1:39" ht="12.95" customHeight="1">
      <c r="A27" s="4"/>
      <c r="B27" s="1357" t="s">
        <v>1729</v>
      </c>
      <c r="C27" s="973"/>
      <c r="D27" s="973"/>
      <c r="E27" s="973"/>
      <c r="F27" s="973"/>
      <c r="G27" s="973"/>
      <c r="H27" s="973"/>
      <c r="I27" s="973"/>
      <c r="J27" s="973"/>
      <c r="K27" s="973"/>
      <c r="L27" s="973"/>
      <c r="M27" s="973"/>
      <c r="N27" s="973"/>
      <c r="O27" s="973"/>
      <c r="P27" s="973"/>
      <c r="Q27" s="973"/>
      <c r="R27" s="973"/>
      <c r="S27" s="974"/>
      <c r="T27" s="1342">
        <f>Application!AG446</f>
        <v>1</v>
      </c>
      <c r="U27" s="973"/>
      <c r="V27" s="973"/>
      <c r="W27" s="973"/>
      <c r="X27" s="974"/>
      <c r="Y27" s="1342">
        <f>Application!AG446</f>
        <v>1</v>
      </c>
      <c r="Z27" s="973"/>
      <c r="AA27" s="973"/>
      <c r="AB27" s="973"/>
      <c r="AC27" s="974"/>
      <c r="AD27" s="1342">
        <f>Application!AG446</f>
        <v>1</v>
      </c>
      <c r="AE27" s="973"/>
      <c r="AF27" s="973"/>
      <c r="AG27" s="973"/>
      <c r="AH27" s="974"/>
      <c r="AI27" s="1342">
        <f>Application!AG446</f>
        <v>1</v>
      </c>
      <c r="AJ27" s="973"/>
      <c r="AK27" s="973"/>
      <c r="AL27" s="973"/>
      <c r="AM27" s="974"/>
    </row>
    <row r="28" spans="1:39" ht="12.95" customHeight="1">
      <c r="A28" s="3"/>
      <c r="B28" s="1160" t="s">
        <v>1730</v>
      </c>
      <c r="C28" s="973"/>
      <c r="D28" s="973"/>
      <c r="E28" s="973"/>
      <c r="F28" s="973"/>
      <c r="G28" s="973"/>
      <c r="H28" s="973"/>
      <c r="I28" s="973"/>
      <c r="J28" s="973"/>
      <c r="K28" s="973"/>
      <c r="L28" s="973"/>
      <c r="M28" s="973"/>
      <c r="N28" s="973"/>
      <c r="O28" s="973"/>
      <c r="P28" s="973"/>
      <c r="Q28" s="973"/>
      <c r="R28" s="973"/>
      <c r="S28" s="974"/>
      <c r="T28" s="1347">
        <f>IF(ISERROR((T26*T27)),0,(T26*T27))</f>
        <v>21367521</v>
      </c>
      <c r="U28" s="973"/>
      <c r="V28" s="973"/>
      <c r="W28" s="973"/>
      <c r="X28" s="974"/>
      <c r="Y28" s="1347">
        <f>IF(ISERROR((Y26*Y27)),0,(Y26*Y27))</f>
        <v>0</v>
      </c>
      <c r="Z28" s="973"/>
      <c r="AA28" s="973"/>
      <c r="AB28" s="973"/>
      <c r="AC28" s="974"/>
      <c r="AD28" s="1347">
        <f>IF(ISERROR((AD26*AD27)),0,(AD26*AD27))</f>
        <v>0</v>
      </c>
      <c r="AE28" s="973"/>
      <c r="AF28" s="973"/>
      <c r="AG28" s="973"/>
      <c r="AH28" s="974"/>
      <c r="AI28" s="1347">
        <f>IF(ISERROR((AI26*AI27)),0,(AI26*AI27))</f>
        <v>0</v>
      </c>
      <c r="AJ28" s="973"/>
      <c r="AK28" s="973"/>
      <c r="AL28" s="973"/>
      <c r="AM28" s="974"/>
    </row>
    <row r="29" spans="1:39" ht="12.95" customHeight="1">
      <c r="B29" s="1160" t="s">
        <v>1731</v>
      </c>
      <c r="C29" s="973"/>
      <c r="D29" s="973"/>
      <c r="E29" s="973"/>
      <c r="F29" s="973"/>
      <c r="G29" s="973"/>
      <c r="H29" s="973"/>
      <c r="I29" s="973"/>
      <c r="J29" s="973"/>
      <c r="K29" s="973"/>
      <c r="L29" s="973"/>
      <c r="M29" s="973"/>
      <c r="N29" s="973"/>
      <c r="O29" s="973"/>
      <c r="P29" s="973"/>
      <c r="Q29" s="973"/>
      <c r="R29" s="973"/>
      <c r="S29" s="974"/>
      <c r="T29" s="1175">
        <f>T28+Y28+AD28+AI28</f>
        <v>21367521</v>
      </c>
      <c r="U29" s="973"/>
      <c r="V29" s="973"/>
      <c r="W29" s="973"/>
      <c r="X29" s="973"/>
      <c r="Y29" s="973"/>
      <c r="Z29" s="973"/>
      <c r="AA29" s="973"/>
      <c r="AB29" s="973"/>
      <c r="AC29" s="973"/>
      <c r="AD29" s="973"/>
      <c r="AE29" s="973"/>
      <c r="AF29" s="973"/>
      <c r="AG29" s="973"/>
      <c r="AH29" s="973"/>
      <c r="AI29" s="973"/>
      <c r="AJ29" s="973"/>
      <c r="AK29" s="973"/>
      <c r="AL29" s="973"/>
      <c r="AM29" s="974"/>
    </row>
    <row r="30" spans="1:39" ht="12.95" customHeight="1">
      <c r="B30" s="1576"/>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133</v>
      </c>
      <c r="C33" s="3" t="s">
        <v>1178</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58" t="s">
        <v>1734</v>
      </c>
      <c r="Z35" s="1073"/>
      <c r="AA35" s="1073"/>
      <c r="AB35" s="1073"/>
      <c r="AC35" s="1074"/>
      <c r="AD35" s="1198" t="s">
        <v>1735</v>
      </c>
      <c r="AE35" s="1073"/>
      <c r="AF35" s="1073"/>
      <c r="AG35" s="1073"/>
      <c r="AH35" s="1074"/>
    </row>
    <row r="36" spans="1:40" ht="12.95" customHeight="1">
      <c r="B36" s="202"/>
      <c r="X36" s="71"/>
      <c r="Y36" s="1091"/>
      <c r="Z36" s="976"/>
      <c r="AA36" s="976"/>
      <c r="AB36" s="976"/>
      <c r="AC36" s="977"/>
      <c r="AD36" s="1091"/>
      <c r="AE36" s="976"/>
      <c r="AF36" s="976"/>
      <c r="AG36" s="976"/>
      <c r="AH36" s="97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92"/>
      <c r="Z37" s="1093"/>
      <c r="AA37" s="1093"/>
      <c r="AB37" s="1093"/>
      <c r="AC37" s="1094"/>
      <c r="AD37" s="1092"/>
      <c r="AE37" s="1093"/>
      <c r="AF37" s="1093"/>
      <c r="AG37" s="1093"/>
      <c r="AH37" s="1094"/>
    </row>
    <row r="38" spans="1:40" ht="12.95" customHeight="1">
      <c r="A38" s="3"/>
      <c r="B38" s="1160" t="s">
        <v>1730</v>
      </c>
      <c r="C38" s="973"/>
      <c r="D38" s="973"/>
      <c r="E38" s="973"/>
      <c r="F38" s="973"/>
      <c r="G38" s="973"/>
      <c r="H38" s="973"/>
      <c r="I38" s="973"/>
      <c r="J38" s="973"/>
      <c r="K38" s="973"/>
      <c r="L38" s="973"/>
      <c r="M38" s="973"/>
      <c r="N38" s="973"/>
      <c r="O38" s="973"/>
      <c r="P38" s="973"/>
      <c r="Q38" s="973"/>
      <c r="R38" s="973"/>
      <c r="S38" s="973"/>
      <c r="T38" s="973"/>
      <c r="U38" s="973"/>
      <c r="V38" s="973"/>
      <c r="W38" s="973"/>
      <c r="X38" s="974"/>
      <c r="Y38" s="1175">
        <f>IF(T24&gt;=(T23+Y23+AD23+AI23),T28+Y28,0)</f>
        <v>0</v>
      </c>
      <c r="Z38" s="973"/>
      <c r="AA38" s="973"/>
      <c r="AB38" s="973"/>
      <c r="AC38" s="974"/>
      <c r="AD38" s="1175">
        <f>IF(T24&gt;=(T23+Y23+AD23+AI23),AD28+AI28,0)</f>
        <v>0</v>
      </c>
      <c r="AE38" s="973"/>
      <c r="AF38" s="973"/>
      <c r="AG38" s="973"/>
      <c r="AH38" s="974"/>
    </row>
    <row r="39" spans="1:40" ht="12.95" customHeight="1">
      <c r="B39" s="1160" t="s">
        <v>2389</v>
      </c>
      <c r="C39" s="973"/>
      <c r="D39" s="973"/>
      <c r="E39" s="973"/>
      <c r="F39" s="973"/>
      <c r="G39" s="973"/>
      <c r="H39" s="973"/>
      <c r="I39" s="973"/>
      <c r="J39" s="973"/>
      <c r="K39" s="973"/>
      <c r="L39" s="973"/>
      <c r="M39" s="973"/>
      <c r="N39" s="973"/>
      <c r="O39" s="973"/>
      <c r="P39" s="973"/>
      <c r="Q39" s="973"/>
      <c r="R39" s="973"/>
      <c r="S39" s="973"/>
      <c r="T39" s="973"/>
      <c r="U39" s="973"/>
      <c r="V39" s="973"/>
      <c r="W39" s="973"/>
      <c r="X39" s="974"/>
      <c r="Y39" s="1577">
        <v>0.09</v>
      </c>
      <c r="Z39" s="1063"/>
      <c r="AA39" s="1063"/>
      <c r="AB39" s="1063"/>
      <c r="AC39" s="1064"/>
      <c r="AD39" s="1577">
        <f>'Basis &amp; Credits'!AD39:AH39</f>
        <v>0.04</v>
      </c>
      <c r="AE39" s="1063"/>
      <c r="AF39" s="1063"/>
      <c r="AG39" s="1063"/>
      <c r="AH39" s="1064"/>
    </row>
    <row r="40" spans="1:40" ht="12.95" customHeight="1">
      <c r="A40" s="3"/>
      <c r="B40" s="1160" t="s">
        <v>1737</v>
      </c>
      <c r="C40" s="973"/>
      <c r="D40" s="973"/>
      <c r="E40" s="973"/>
      <c r="F40" s="973"/>
      <c r="G40" s="973"/>
      <c r="H40" s="973"/>
      <c r="I40" s="973"/>
      <c r="J40" s="973"/>
      <c r="K40" s="973"/>
      <c r="L40" s="973"/>
      <c r="M40" s="973"/>
      <c r="N40" s="973"/>
      <c r="O40" s="973"/>
      <c r="P40" s="973"/>
      <c r="Q40" s="973"/>
      <c r="R40" s="973"/>
      <c r="S40" s="973"/>
      <c r="T40" s="973"/>
      <c r="U40" s="973"/>
      <c r="V40" s="973"/>
      <c r="W40" s="973"/>
      <c r="X40" s="974"/>
      <c r="Y40" s="1175">
        <f>ROUND(Y38*Y39,0)</f>
        <v>0</v>
      </c>
      <c r="Z40" s="973"/>
      <c r="AA40" s="973"/>
      <c r="AB40" s="973"/>
      <c r="AC40" s="974"/>
      <c r="AD40" s="1345">
        <f>ROUND(AD38*AD39,0)</f>
        <v>0</v>
      </c>
      <c r="AE40" s="973"/>
      <c r="AF40" s="973"/>
      <c r="AG40" s="973"/>
      <c r="AH40" s="974"/>
    </row>
    <row r="41" spans="1:40" ht="12.95" customHeight="1">
      <c r="B41" s="1160" t="s">
        <v>1738</v>
      </c>
      <c r="C41" s="973"/>
      <c r="D41" s="973"/>
      <c r="E41" s="973"/>
      <c r="F41" s="973"/>
      <c r="G41" s="973"/>
      <c r="H41" s="973"/>
      <c r="I41" s="973"/>
      <c r="J41" s="973"/>
      <c r="K41" s="973"/>
      <c r="L41" s="973"/>
      <c r="M41" s="973"/>
      <c r="N41" s="973"/>
      <c r="O41" s="973"/>
      <c r="P41" s="973"/>
      <c r="Q41" s="973"/>
      <c r="R41" s="973"/>
      <c r="S41" s="973"/>
      <c r="T41" s="973"/>
      <c r="U41" s="973"/>
      <c r="V41" s="973"/>
      <c r="W41" s="973"/>
      <c r="X41" s="974"/>
      <c r="Y41" s="1175">
        <f>IF((Y40+AD40)&gt;2500000,2500000,Y40+AD40)</f>
        <v>0</v>
      </c>
      <c r="Z41" s="973"/>
      <c r="AA41" s="973"/>
      <c r="AB41" s="973"/>
      <c r="AC41" s="973"/>
      <c r="AD41" s="973"/>
      <c r="AE41" s="973"/>
      <c r="AF41" s="973"/>
      <c r="AG41" s="973"/>
      <c r="AH41" s="974"/>
    </row>
    <row r="42" spans="1:40" ht="12.95" customHeight="1">
      <c r="A42" s="3"/>
      <c r="B42" s="1373" t="s">
        <v>2390</v>
      </c>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213</v>
      </c>
      <c r="C45" s="3" t="s">
        <v>1181</v>
      </c>
    </row>
    <row r="46" spans="1:40" ht="12.95" customHeight="1">
      <c r="D46" s="3" t="s">
        <v>1740</v>
      </c>
      <c r="AB46" s="1088">
        <f>'Sources and Uses Budget'!B104-'Sources and Uses Budget'!$B$15</f>
        <v>30083438</v>
      </c>
      <c r="AC46" s="973"/>
      <c r="AD46" s="973"/>
      <c r="AE46" s="973"/>
      <c r="AF46" s="974"/>
    </row>
    <row r="47" spans="1:40" ht="12.95" customHeight="1">
      <c r="D47" s="3" t="s">
        <v>657</v>
      </c>
      <c r="AB47" s="1088">
        <f>Application!AG641-MIN('Sources and Uses Budget'!B15,Application!AG393)</f>
        <v>0</v>
      </c>
      <c r="AC47" s="973"/>
      <c r="AD47" s="973"/>
      <c r="AE47" s="973"/>
      <c r="AF47" s="974"/>
    </row>
    <row r="48" spans="1:40" ht="12.95" customHeight="1">
      <c r="D48" s="3" t="s">
        <v>1741</v>
      </c>
      <c r="AB48" s="1088">
        <f>AB46-AB47</f>
        <v>30083438</v>
      </c>
      <c r="AC48" s="973"/>
      <c r="AD48" s="973"/>
      <c r="AE48" s="973"/>
      <c r="AF48" s="974"/>
    </row>
    <row r="49" spans="1:40" ht="12.95" customHeight="1">
      <c r="D49" s="3" t="s">
        <v>1742</v>
      </c>
      <c r="AA49" s="34"/>
      <c r="AB49" s="1350"/>
      <c r="AC49" s="1063"/>
      <c r="AD49" s="1063"/>
      <c r="AE49" s="1063"/>
      <c r="AF49" s="1064"/>
    </row>
    <row r="50" spans="1:40" s="321" customFormat="1" ht="12.95" customHeight="1">
      <c r="E50" s="1349" t="s">
        <v>2391</v>
      </c>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351"/>
      <c r="AB50" s="351"/>
      <c r="AC50" s="351"/>
      <c r="AD50" s="351"/>
      <c r="AE50" s="351"/>
      <c r="AF50" s="351"/>
    </row>
    <row r="51" spans="1:40" s="321" customFormat="1" ht="12.95" customHeight="1">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1744</v>
      </c>
      <c r="AB53" s="1088">
        <f>ROUND(IF(ISERROR((AB48/AB49)),0,(AB48/AB49)),0)</f>
        <v>0</v>
      </c>
      <c r="AC53" s="973"/>
      <c r="AD53" s="973"/>
      <c r="AE53" s="973"/>
      <c r="AF53" s="974"/>
    </row>
    <row r="54" spans="1:40" ht="12.95" customHeight="1">
      <c r="D54" s="3" t="s">
        <v>1745</v>
      </c>
      <c r="AB54" s="1088">
        <f>(AB53/10)</f>
        <v>0</v>
      </c>
      <c r="AC54" s="973"/>
      <c r="AD54" s="973"/>
      <c r="AE54" s="973"/>
      <c r="AF54" s="974"/>
    </row>
    <row r="55" spans="1:40" ht="12.95" customHeight="1">
      <c r="D55" s="3" t="s">
        <v>1746</v>
      </c>
      <c r="AB55" s="1578">
        <f>(IF((Y41&lt;AB54),Y41,AB54))</f>
        <v>0</v>
      </c>
      <c r="AC55" s="1063"/>
      <c r="AD55" s="1063"/>
      <c r="AE55" s="1063"/>
      <c r="AF55" s="1064"/>
    </row>
    <row r="56" spans="1:40" ht="12.95" customHeight="1">
      <c r="D56" s="3" t="s">
        <v>1747</v>
      </c>
      <c r="AB56" s="1088">
        <f>ROUND((10*AB55*AB49),0)</f>
        <v>0</v>
      </c>
      <c r="AC56" s="973"/>
      <c r="AD56" s="973"/>
      <c r="AE56" s="973"/>
      <c r="AF56" s="974"/>
    </row>
    <row r="57" spans="1:40" ht="12.95" customHeight="1">
      <c r="D57" s="3"/>
      <c r="AB57" s="274"/>
      <c r="AC57" s="274"/>
      <c r="AD57" s="274"/>
      <c r="AE57" s="274"/>
      <c r="AF57" s="274"/>
    </row>
    <row r="58" spans="1:40" ht="12.95" customHeight="1">
      <c r="D58" s="3" t="s">
        <v>1748</v>
      </c>
      <c r="AB58" s="1088">
        <f>AB48-AB56</f>
        <v>30083438</v>
      </c>
      <c r="AC58" s="973"/>
      <c r="AD58" s="973"/>
      <c r="AE58" s="973"/>
      <c r="AF58" s="97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2" t="s">
        <v>1749</v>
      </c>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row>
    <row r="61" spans="1:40" ht="12.95" customHeight="1" thickTop="1">
      <c r="A61" s="1341"/>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row>
    <row r="62" spans="1:40" ht="12.95" customHeight="1">
      <c r="A62" s="3" t="s">
        <v>235</v>
      </c>
      <c r="C62" s="3" t="s">
        <v>1187</v>
      </c>
      <c r="Y62" s="1185" t="s">
        <v>1750</v>
      </c>
      <c r="Z62" s="976"/>
      <c r="AA62" s="976"/>
      <c r="AB62" s="976"/>
      <c r="AC62" s="976"/>
      <c r="AD62" s="1185" t="s">
        <v>1735</v>
      </c>
      <c r="AE62" s="976"/>
      <c r="AF62" s="976"/>
      <c r="AG62" s="976"/>
      <c r="AH62" s="976"/>
    </row>
    <row r="63" spans="1:40" ht="12.95" customHeight="1">
      <c r="C63" s="3"/>
      <c r="D63" s="126" t="s">
        <v>1751</v>
      </c>
      <c r="E63" s="15"/>
      <c r="F63" s="15"/>
      <c r="G63" s="15"/>
      <c r="H63" s="15"/>
      <c r="I63" s="15"/>
      <c r="J63" s="15"/>
      <c r="K63" s="15"/>
      <c r="L63" s="15"/>
      <c r="M63" s="15"/>
      <c r="N63" s="15"/>
      <c r="O63" s="15"/>
      <c r="P63" s="15"/>
      <c r="Q63" s="15"/>
      <c r="R63" s="15"/>
      <c r="S63" s="15"/>
      <c r="T63" s="15"/>
      <c r="U63" s="15"/>
      <c r="V63" s="15"/>
      <c r="W63" s="15"/>
      <c r="X63" s="15"/>
      <c r="Y63" s="1175">
        <f>Y28</f>
        <v>0</v>
      </c>
      <c r="Z63" s="973"/>
      <c r="AA63" s="973"/>
      <c r="AB63" s="973"/>
      <c r="AC63" s="974"/>
      <c r="AD63" s="1175">
        <f>AI28</f>
        <v>0</v>
      </c>
      <c r="AE63" s="973"/>
      <c r="AF63" s="973"/>
      <c r="AG63" s="973"/>
      <c r="AH63" s="974"/>
    </row>
    <row r="64" spans="1:40" ht="12.95" customHeight="1">
      <c r="C64" s="3"/>
      <c r="E64" s="1346" t="s">
        <v>1752</v>
      </c>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row>
    <row r="65" spans="1:34" ht="30.75" customHeight="1">
      <c r="C65" s="3"/>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row>
    <row r="66" spans="1:34" ht="12.95" customHeight="1">
      <c r="C66" s="3"/>
      <c r="D66" s="3" t="s">
        <v>1753</v>
      </c>
      <c r="E66" s="101"/>
      <c r="F66" s="101"/>
      <c r="G66" s="101"/>
      <c r="H66" s="101"/>
      <c r="I66" s="101"/>
      <c r="J66" s="101"/>
      <c r="K66" s="101"/>
      <c r="L66" s="101"/>
      <c r="M66" s="101"/>
      <c r="N66" s="101"/>
      <c r="O66" s="101"/>
      <c r="P66" s="101"/>
      <c r="Q66" s="101"/>
      <c r="R66" s="101"/>
      <c r="S66" s="101"/>
      <c r="T66" s="101"/>
      <c r="U66" s="101"/>
      <c r="V66" s="101"/>
      <c r="W66" s="101"/>
      <c r="X66" s="101"/>
      <c r="Y66" s="1355">
        <v>0.3</v>
      </c>
      <c r="Z66" s="1073"/>
      <c r="AA66" s="1073"/>
      <c r="AB66" s="1073"/>
      <c r="AC66" s="1074"/>
      <c r="AD66" s="1355">
        <v>0.13</v>
      </c>
      <c r="AE66" s="1073"/>
      <c r="AF66" s="1073"/>
      <c r="AG66" s="1073"/>
      <c r="AH66" s="1074"/>
    </row>
    <row r="67" spans="1:34" ht="12.95" customHeight="1">
      <c r="C67" s="3"/>
      <c r="D67" s="3" t="s">
        <v>1754</v>
      </c>
      <c r="Y67" s="1175">
        <f>ROUND(Y63*Y66,0)</f>
        <v>0</v>
      </c>
      <c r="Z67" s="973"/>
      <c r="AA67" s="973"/>
      <c r="AB67" s="973"/>
      <c r="AC67" s="974"/>
      <c r="AD67" s="1175" t="str">
        <f>IF(OR(Application!D211="At-Risk",Application!D211="At-Risk/Located in Rural Census Tract",Application!D214="At-Risk"),ROUND(AD63*AD66,0),"$0")</f>
        <v>$0</v>
      </c>
      <c r="AE67" s="973"/>
      <c r="AF67" s="973"/>
      <c r="AG67" s="973"/>
      <c r="AH67" s="974"/>
    </row>
    <row r="68" spans="1:34" ht="12.95" customHeight="1">
      <c r="C68" s="3"/>
      <c r="E68" s="3"/>
      <c r="AB68" s="2"/>
      <c r="AC68" s="2"/>
      <c r="AD68" s="2"/>
      <c r="AE68" s="2"/>
      <c r="AF68" s="2"/>
    </row>
    <row r="69" spans="1:34" ht="12.95" customHeight="1">
      <c r="A69" s="3" t="s">
        <v>247</v>
      </c>
      <c r="C69" s="3" t="s">
        <v>1190</v>
      </c>
    </row>
    <row r="70" spans="1:34" ht="12.95" customHeight="1">
      <c r="A70" s="3"/>
      <c r="C70" s="3"/>
      <c r="D70" s="3" t="s">
        <v>1756</v>
      </c>
      <c r="AB70" s="1350"/>
      <c r="AC70" s="1063"/>
      <c r="AD70" s="1063"/>
      <c r="AE70" s="1063"/>
      <c r="AF70" s="1064"/>
    </row>
    <row r="71" spans="1:34" ht="12.95" customHeight="1">
      <c r="A71" s="3"/>
      <c r="C71" s="3"/>
      <c r="D71" s="3"/>
      <c r="E71" s="1348" t="s">
        <v>2392</v>
      </c>
      <c r="F71" s="976"/>
      <c r="G71" s="976"/>
      <c r="H71" s="976"/>
      <c r="I71" s="976"/>
      <c r="J71" s="976"/>
      <c r="K71" s="976"/>
      <c r="L71" s="976"/>
      <c r="M71" s="976"/>
      <c r="N71" s="976"/>
      <c r="O71" s="976"/>
      <c r="P71" s="976"/>
      <c r="Q71" s="976"/>
      <c r="R71" s="976"/>
      <c r="S71" s="976"/>
      <c r="T71" s="976"/>
      <c r="U71" s="976"/>
      <c r="V71" s="976"/>
      <c r="W71" s="976"/>
      <c r="X71" s="976"/>
      <c r="Y71" s="976"/>
      <c r="Z71" s="976"/>
      <c r="AA71" s="251"/>
      <c r="AB71" s="251"/>
      <c r="AC71" s="251"/>
    </row>
    <row r="72" spans="1:34" ht="12.95" customHeight="1">
      <c r="A72" s="3"/>
      <c r="C72" s="3"/>
      <c r="D72" s="3"/>
      <c r="E72" s="976"/>
      <c r="F72" s="976"/>
      <c r="G72" s="976"/>
      <c r="H72" s="976"/>
      <c r="I72" s="976"/>
      <c r="J72" s="976"/>
      <c r="K72" s="976"/>
      <c r="L72" s="976"/>
      <c r="M72" s="976"/>
      <c r="N72" s="976"/>
      <c r="O72" s="976"/>
      <c r="P72" s="976"/>
      <c r="Q72" s="976"/>
      <c r="R72" s="976"/>
      <c r="S72" s="976"/>
      <c r="T72" s="976"/>
      <c r="U72" s="976"/>
      <c r="V72" s="976"/>
      <c r="W72" s="976"/>
      <c r="X72" s="976"/>
      <c r="Y72" s="976"/>
      <c r="Z72" s="976"/>
      <c r="AA72" s="251"/>
      <c r="AB72" s="251"/>
      <c r="AC72" s="251"/>
    </row>
    <row r="73" spans="1:34" ht="12.95" customHeight="1">
      <c r="A73" s="3"/>
      <c r="C73" s="3"/>
      <c r="D73" s="3"/>
      <c r="E73" s="976"/>
      <c r="F73" s="976"/>
      <c r="G73" s="976"/>
      <c r="H73" s="976"/>
      <c r="I73" s="976"/>
      <c r="J73" s="976"/>
      <c r="K73" s="976"/>
      <c r="L73" s="976"/>
      <c r="M73" s="976"/>
      <c r="N73" s="976"/>
      <c r="O73" s="976"/>
      <c r="P73" s="976"/>
      <c r="Q73" s="976"/>
      <c r="R73" s="976"/>
      <c r="S73" s="976"/>
      <c r="T73" s="976"/>
      <c r="U73" s="976"/>
      <c r="V73" s="976"/>
      <c r="W73" s="976"/>
      <c r="X73" s="976"/>
      <c r="Y73" s="976"/>
      <c r="Z73" s="97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1758</v>
      </c>
      <c r="AB75" s="1162">
        <f>ROUND(IF(ISERROR((AB58/AB70)),0,(AB58/AB70)),0)</f>
        <v>0</v>
      </c>
      <c r="AC75" s="973"/>
      <c r="AD75" s="973"/>
      <c r="AE75" s="973"/>
      <c r="AF75" s="974"/>
    </row>
    <row r="76" spans="1:34" ht="12.95" customHeight="1">
      <c r="C76" s="3"/>
      <c r="D76" s="3" t="s">
        <v>1759</v>
      </c>
      <c r="AB76" s="1162">
        <f>IF((Y67+AD67&lt;AB75),Y67+AD67,AB75)</f>
        <v>0</v>
      </c>
      <c r="AC76" s="973"/>
      <c r="AD76" s="973"/>
      <c r="AE76" s="973"/>
      <c r="AF76" s="974"/>
    </row>
    <row r="77" spans="1:34" ht="12.95" customHeight="1">
      <c r="C77" s="3"/>
      <c r="D77" s="3" t="s">
        <v>1760</v>
      </c>
      <c r="AB77" s="1356">
        <f>AB76*AB70</f>
        <v>0</v>
      </c>
      <c r="AC77" s="973"/>
      <c r="AD77" s="973"/>
      <c r="AE77" s="973"/>
      <c r="AF77" s="974"/>
    </row>
    <row r="78" spans="1:34" ht="12.95" customHeight="1">
      <c r="C78" s="3"/>
      <c r="D78" s="3"/>
      <c r="AB78" s="593"/>
      <c r="AC78" s="593"/>
      <c r="AD78" s="593"/>
      <c r="AE78" s="593"/>
      <c r="AF78" s="593"/>
    </row>
    <row r="79" spans="1:34" ht="12.95" customHeight="1">
      <c r="D79" s="3" t="s">
        <v>1748</v>
      </c>
      <c r="AB79" s="1088">
        <f>AB48-(AB56+AB77)</f>
        <v>30083438</v>
      </c>
      <c r="AC79" s="973"/>
      <c r="AD79" s="973"/>
      <c r="AE79" s="973"/>
      <c r="AF79" s="974"/>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ustomWidth="1"/>
    <col min="16384" max="16384" width="0.42578125" style="332" customWidth="1"/>
  </cols>
  <sheetData>
    <row r="1" spans="1:7" ht="18" customHeight="1">
      <c r="A1" s="660" t="s">
        <v>2394</v>
      </c>
      <c r="G1" s="562"/>
    </row>
    <row r="2" spans="1:7" ht="12.75" customHeight="1">
      <c r="A2" s="262" t="s">
        <v>2395</v>
      </c>
      <c r="B2" s="225"/>
      <c r="C2" s="322"/>
      <c r="D2" s="322"/>
      <c r="E2" s="225"/>
      <c r="F2" s="323"/>
      <c r="G2" s="323"/>
    </row>
    <row r="3" spans="1:7" s="563" customFormat="1" ht="80.25" customHeight="1">
      <c r="A3" s="334"/>
      <c r="B3" s="324" t="s">
        <v>2396</v>
      </c>
      <c r="C3" s="324" t="s">
        <v>2397</v>
      </c>
      <c r="D3" s="324" t="s">
        <v>2398</v>
      </c>
      <c r="E3" s="324" t="s">
        <v>2399</v>
      </c>
      <c r="F3" s="320" t="s">
        <v>2400</v>
      </c>
      <c r="G3" s="324"/>
    </row>
    <row r="4" spans="1:7" s="564" customFormat="1" ht="12.75" customHeight="1">
      <c r="A4" s="877" t="s">
        <v>1599</v>
      </c>
      <c r="B4" s="325"/>
      <c r="C4" s="325"/>
      <c r="D4" s="325"/>
      <c r="E4" s="325"/>
      <c r="F4" s="325"/>
      <c r="G4" s="325"/>
    </row>
    <row r="5" spans="1:7" s="564" customFormat="1" ht="12.75" customHeight="1">
      <c r="A5" s="878" t="s">
        <v>2401</v>
      </c>
      <c r="B5" s="327">
        <f>'Sources and Uses Budget'!C4</f>
        <v>4200000</v>
      </c>
      <c r="C5" s="327">
        <f>'Sources and Uses Budget'!C4</f>
        <v>4200000</v>
      </c>
      <c r="D5" s="327">
        <f>'Sources and Uses Budget'!C4</f>
        <v>4200000</v>
      </c>
      <c r="E5" s="329">
        <f t="shared" ref="E5:E16" si="0">C5-B5</f>
        <v>0</v>
      </c>
      <c r="F5" s="328"/>
      <c r="G5" s="328"/>
    </row>
    <row r="6" spans="1:7" s="564" customFormat="1" ht="12.75" customHeight="1">
      <c r="A6" s="878" t="s">
        <v>2402</v>
      </c>
      <c r="B6" s="327">
        <f>'Sources and Uses Budget'!C5</f>
        <v>0</v>
      </c>
      <c r="C6" s="327">
        <f>'Sources and Uses Budget'!C5</f>
        <v>0</v>
      </c>
      <c r="D6" s="327">
        <f>'Sources and Uses Budget'!C5</f>
        <v>0</v>
      </c>
      <c r="E6" s="329">
        <f t="shared" si="0"/>
        <v>0</v>
      </c>
      <c r="F6" s="328"/>
      <c r="G6" s="328"/>
    </row>
    <row r="7" spans="1:7" s="564" customFormat="1" ht="12.75" customHeight="1">
      <c r="A7" s="878" t="s">
        <v>1602</v>
      </c>
      <c r="B7" s="327">
        <f>'Sources and Uses Budget'!C6</f>
        <v>0</v>
      </c>
      <c r="C7" s="327">
        <f>'Sources and Uses Budget'!C6</f>
        <v>0</v>
      </c>
      <c r="D7" s="327">
        <f>'Sources and Uses Budget'!C6</f>
        <v>0</v>
      </c>
      <c r="E7" s="329">
        <f t="shared" si="0"/>
        <v>0</v>
      </c>
      <c r="F7" s="328"/>
      <c r="G7" s="328"/>
    </row>
    <row r="8" spans="1:7" s="564" customFormat="1" ht="12.75" customHeight="1">
      <c r="A8" s="878" t="s">
        <v>1603</v>
      </c>
      <c r="B8" s="327">
        <f>'Sources and Uses Budget'!C7</f>
        <v>0</v>
      </c>
      <c r="C8" s="327">
        <f>'Sources and Uses Budget'!C7</f>
        <v>0</v>
      </c>
      <c r="D8" s="327">
        <f>'Sources and Uses Budget'!C7</f>
        <v>0</v>
      </c>
      <c r="E8" s="329">
        <f t="shared" si="0"/>
        <v>0</v>
      </c>
      <c r="F8" s="328"/>
      <c r="G8" s="328"/>
    </row>
    <row r="9" spans="1:7" s="564" customFormat="1" ht="12.75" customHeight="1">
      <c r="A9" s="879" t="s">
        <v>2403</v>
      </c>
      <c r="B9" s="329">
        <f>SUM(B5:B8)</f>
        <v>4200000</v>
      </c>
      <c r="C9" s="329">
        <f>SUM(C5:C8)</f>
        <v>4200000</v>
      </c>
      <c r="D9" s="329">
        <f>SUM(D5:D8)</f>
        <v>4200000</v>
      </c>
      <c r="E9" s="329">
        <f t="shared" si="0"/>
        <v>0</v>
      </c>
      <c r="F9" s="328"/>
      <c r="G9" s="328"/>
    </row>
    <row r="10" spans="1:7" s="564" customFormat="1" ht="12.75" customHeight="1">
      <c r="A10" s="878" t="s">
        <v>2404</v>
      </c>
      <c r="B10" s="327">
        <f>'Sources and Uses Budget'!C9</f>
        <v>0</v>
      </c>
      <c r="C10" s="327">
        <f>'Sources and Uses Budget'!C9</f>
        <v>0</v>
      </c>
      <c r="D10" s="327">
        <f>'Sources and Uses Budget'!C9</f>
        <v>0</v>
      </c>
      <c r="E10" s="329">
        <f t="shared" si="0"/>
        <v>0</v>
      </c>
      <c r="F10" s="328"/>
      <c r="G10" s="328"/>
    </row>
    <row r="11" spans="1:7" s="564" customFormat="1" ht="12.75" customHeight="1">
      <c r="A11" s="878" t="s">
        <v>2405</v>
      </c>
      <c r="B11" s="327">
        <f>'Sources and Uses Budget'!C10</f>
        <v>0</v>
      </c>
      <c r="C11" s="327">
        <f>'Sources and Uses Budget'!C10</f>
        <v>0</v>
      </c>
      <c r="D11" s="327">
        <f>'Sources and Uses Budget'!C10</f>
        <v>0</v>
      </c>
      <c r="E11" s="329">
        <f t="shared" si="0"/>
        <v>0</v>
      </c>
      <c r="F11" s="328"/>
      <c r="G11" s="328"/>
    </row>
    <row r="12" spans="1:7" s="564" customFormat="1" ht="12.75" customHeight="1">
      <c r="A12" s="879" t="s">
        <v>1607</v>
      </c>
      <c r="B12" s="329">
        <f>SUM(B10:B11)</f>
        <v>0</v>
      </c>
      <c r="C12" s="329">
        <f>SUM(C10:C11)</f>
        <v>0</v>
      </c>
      <c r="D12" s="329">
        <f>SUM(D10:D11)</f>
        <v>0</v>
      </c>
      <c r="E12" s="329">
        <f t="shared" si="0"/>
        <v>0</v>
      </c>
      <c r="F12" s="328"/>
      <c r="G12" s="328"/>
    </row>
    <row r="13" spans="1:7" s="564" customFormat="1" ht="12.75" customHeight="1">
      <c r="A13" s="879" t="s">
        <v>1608</v>
      </c>
      <c r="B13" s="329">
        <f>SUM(B9+B12)</f>
        <v>4200000</v>
      </c>
      <c r="C13" s="329">
        <f>SUM(C9+C12)</f>
        <v>4200000</v>
      </c>
      <c r="D13" s="329">
        <f>SUM(D9+D12)</f>
        <v>4200000</v>
      </c>
      <c r="E13" s="329">
        <f t="shared" si="0"/>
        <v>0</v>
      </c>
      <c r="F13" s="328"/>
      <c r="G13" s="328"/>
    </row>
    <row r="14" spans="1:7" s="564" customFormat="1" ht="12.75" customHeight="1">
      <c r="A14" s="880" t="s">
        <v>1609</v>
      </c>
      <c r="B14" s="327">
        <f>'Sources and Uses Budget'!C13</f>
        <v>0</v>
      </c>
      <c r="C14" s="327">
        <f>'Sources and Uses Budget'!C13</f>
        <v>0</v>
      </c>
      <c r="D14" s="327">
        <f>'Sources and Uses Budget'!C13</f>
        <v>0</v>
      </c>
      <c r="E14" s="329">
        <f t="shared" si="0"/>
        <v>0</v>
      </c>
      <c r="F14" s="328"/>
      <c r="G14" s="328"/>
    </row>
    <row r="15" spans="1:7" s="564" customFormat="1" ht="24" customHeight="1">
      <c r="A15" s="878" t="s">
        <v>1610</v>
      </c>
      <c r="B15" s="327">
        <f>'Sources and Uses Budget'!C14</f>
        <v>0</v>
      </c>
      <c r="C15" s="327">
        <f>'Sources and Uses Budget'!C14</f>
        <v>0</v>
      </c>
      <c r="D15" s="327">
        <f>'Sources and Uses Budget'!C14</f>
        <v>0</v>
      </c>
      <c r="E15" s="329">
        <f t="shared" si="0"/>
        <v>0</v>
      </c>
      <c r="F15" s="328"/>
      <c r="G15" s="328"/>
    </row>
    <row r="16" spans="1:7" s="564" customFormat="1" ht="12.75" customHeight="1">
      <c r="A16" s="878" t="s">
        <v>1611</v>
      </c>
      <c r="B16" s="327">
        <f>'Sources and Uses Budget'!C15</f>
        <v>0</v>
      </c>
      <c r="C16" s="327">
        <f>'Sources and Uses Budget'!C15</f>
        <v>0</v>
      </c>
      <c r="D16" s="327">
        <f>'Sources and Uses Budget'!C15</f>
        <v>0</v>
      </c>
      <c r="E16" s="329">
        <f t="shared" si="0"/>
        <v>0</v>
      </c>
      <c r="F16" s="328"/>
      <c r="G16" s="328"/>
    </row>
    <row r="17" spans="1:7" s="564" customFormat="1" ht="12.75" customHeight="1">
      <c r="A17" s="877" t="s">
        <v>1612</v>
      </c>
      <c r="B17" s="325"/>
      <c r="C17" s="325"/>
      <c r="D17" s="325"/>
      <c r="E17" s="325"/>
      <c r="F17" s="325"/>
      <c r="G17" s="325"/>
    </row>
    <row r="18" spans="1:7" s="564" customFormat="1" ht="12.75" customHeight="1">
      <c r="A18" s="237" t="s">
        <v>1613</v>
      </c>
      <c r="B18" s="327">
        <f>'Sources and Uses Budget'!C17</f>
        <v>0</v>
      </c>
      <c r="C18" s="327">
        <f>'Sources and Uses Budget'!C17</f>
        <v>0</v>
      </c>
      <c r="D18" s="327">
        <f>'Sources and Uses Budget'!C17</f>
        <v>0</v>
      </c>
      <c r="E18" s="329">
        <f t="shared" ref="E18:E28" si="1">C18-B18</f>
        <v>0</v>
      </c>
      <c r="F18" s="328"/>
      <c r="G18" s="328"/>
    </row>
    <row r="19" spans="1:7" s="564" customFormat="1" ht="12.75" customHeight="1">
      <c r="A19" s="237" t="s">
        <v>1614</v>
      </c>
      <c r="B19" s="327">
        <f>'Sources and Uses Budget'!C18</f>
        <v>0</v>
      </c>
      <c r="C19" s="327">
        <f>'Sources and Uses Budget'!C18</f>
        <v>0</v>
      </c>
      <c r="D19" s="327">
        <f>'Sources and Uses Budget'!C18</f>
        <v>0</v>
      </c>
      <c r="E19" s="329">
        <f t="shared" si="1"/>
        <v>0</v>
      </c>
      <c r="F19" s="328"/>
      <c r="G19" s="328"/>
    </row>
    <row r="20" spans="1:7" s="564" customFormat="1" ht="12.75" customHeight="1">
      <c r="A20" s="237" t="s">
        <v>1615</v>
      </c>
      <c r="B20" s="327">
        <f>'Sources and Uses Budget'!C19</f>
        <v>0</v>
      </c>
      <c r="C20" s="327">
        <f>'Sources and Uses Budget'!C19</f>
        <v>0</v>
      </c>
      <c r="D20" s="327">
        <f>'Sources and Uses Budget'!C19</f>
        <v>0</v>
      </c>
      <c r="E20" s="329">
        <f t="shared" si="1"/>
        <v>0</v>
      </c>
      <c r="F20" s="328"/>
      <c r="G20" s="328"/>
    </row>
    <row r="21" spans="1:7" s="564" customFormat="1" ht="12.75" customHeight="1">
      <c r="A21" s="237" t="s">
        <v>1616</v>
      </c>
      <c r="B21" s="327">
        <f>'Sources and Uses Budget'!C20</f>
        <v>0</v>
      </c>
      <c r="C21" s="327">
        <f>'Sources and Uses Budget'!C20</f>
        <v>0</v>
      </c>
      <c r="D21" s="327">
        <f>'Sources and Uses Budget'!C20</f>
        <v>0</v>
      </c>
      <c r="E21" s="329">
        <f t="shared" si="1"/>
        <v>0</v>
      </c>
      <c r="F21" s="328"/>
      <c r="G21" s="328"/>
    </row>
    <row r="22" spans="1:7" s="564" customFormat="1" ht="12.75" customHeight="1">
      <c r="A22" s="237" t="s">
        <v>1617</v>
      </c>
      <c r="B22" s="327">
        <f>'Sources and Uses Budget'!C21</f>
        <v>0</v>
      </c>
      <c r="C22" s="327">
        <f>'Sources and Uses Budget'!C21</f>
        <v>0</v>
      </c>
      <c r="D22" s="327">
        <f>'Sources and Uses Budget'!C21</f>
        <v>0</v>
      </c>
      <c r="E22" s="329">
        <f t="shared" si="1"/>
        <v>0</v>
      </c>
      <c r="F22" s="328"/>
      <c r="G22" s="328"/>
    </row>
    <row r="23" spans="1:7" s="564" customFormat="1" ht="12.75" customHeight="1">
      <c r="A23" s="237" t="s">
        <v>1618</v>
      </c>
      <c r="B23" s="327">
        <f>'Sources and Uses Budget'!C22</f>
        <v>0</v>
      </c>
      <c r="C23" s="327">
        <f>'Sources and Uses Budget'!C22</f>
        <v>0</v>
      </c>
      <c r="D23" s="327">
        <f>'Sources and Uses Budget'!C22</f>
        <v>0</v>
      </c>
      <c r="E23" s="329">
        <f t="shared" si="1"/>
        <v>0</v>
      </c>
      <c r="F23" s="328"/>
      <c r="G23" s="328"/>
    </row>
    <row r="24" spans="1:7" s="564" customFormat="1" ht="12.75" customHeight="1">
      <c r="A24" s="237" t="s">
        <v>1619</v>
      </c>
      <c r="B24" s="327">
        <f>'Sources and Uses Budget'!C23</f>
        <v>0</v>
      </c>
      <c r="C24" s="327">
        <f>'Sources and Uses Budget'!C23</f>
        <v>0</v>
      </c>
      <c r="D24" s="327">
        <f>'Sources and Uses Budget'!C23</f>
        <v>0</v>
      </c>
      <c r="E24" s="329">
        <f t="shared" si="1"/>
        <v>0</v>
      </c>
      <c r="F24" s="328"/>
      <c r="G24" s="328"/>
    </row>
    <row r="25" spans="1:7" s="564" customFormat="1" ht="12.75" customHeight="1">
      <c r="A25" s="248" t="s">
        <v>1620</v>
      </c>
      <c r="B25" s="327">
        <f>'Sources and Uses Budget'!C24</f>
        <v>0</v>
      </c>
      <c r="C25" s="327">
        <f>'Sources and Uses Budget'!C24</f>
        <v>0</v>
      </c>
      <c r="D25" s="327">
        <f>'Sources and Uses Budget'!C24</f>
        <v>0</v>
      </c>
      <c r="E25" s="329">
        <f t="shared" si="1"/>
        <v>0</v>
      </c>
      <c r="F25" s="328"/>
      <c r="G25" s="328"/>
    </row>
    <row r="26" spans="1:7" s="564" customFormat="1" ht="12.75" customHeight="1">
      <c r="A26" s="248" t="s">
        <v>1621</v>
      </c>
      <c r="B26" s="327">
        <f>'Sources and Uses Budget'!C25</f>
        <v>0</v>
      </c>
      <c r="C26" s="327">
        <f>'Sources and Uses Budget'!C25</f>
        <v>0</v>
      </c>
      <c r="D26" s="327">
        <f>'Sources and Uses Budget'!C25</f>
        <v>0</v>
      </c>
      <c r="E26" s="329">
        <f t="shared" si="1"/>
        <v>0</v>
      </c>
      <c r="F26" s="328"/>
      <c r="G26" s="328"/>
    </row>
    <row r="27" spans="1:7" s="564" customFormat="1" ht="12.75" customHeight="1">
      <c r="A27" s="330" t="s">
        <v>1622</v>
      </c>
      <c r="B27" s="888">
        <f>'Sources and Uses Budget'!C26</f>
        <v>0</v>
      </c>
      <c r="C27" s="888">
        <f>'Sources and Uses Budget'!C26</f>
        <v>0</v>
      </c>
      <c r="D27" s="888">
        <f>'Sources and Uses Budget'!C26</f>
        <v>0</v>
      </c>
      <c r="E27" s="329">
        <f t="shared" si="1"/>
        <v>0</v>
      </c>
      <c r="F27" s="328"/>
      <c r="G27" s="328"/>
    </row>
    <row r="28" spans="1:7" s="564" customFormat="1" ht="12.75" customHeight="1">
      <c r="A28" s="881" t="s">
        <v>1623</v>
      </c>
      <c r="B28" s="327">
        <f>'Sources and Uses Budget'!C27</f>
        <v>0</v>
      </c>
      <c r="C28" s="327">
        <f>'Sources and Uses Budget'!C27</f>
        <v>0</v>
      </c>
      <c r="D28" s="327">
        <f>'Sources and Uses Budget'!C27</f>
        <v>0</v>
      </c>
      <c r="E28" s="329">
        <f t="shared" si="1"/>
        <v>0</v>
      </c>
      <c r="F28" s="328"/>
      <c r="G28" s="328"/>
    </row>
    <row r="29" spans="1:7" s="564" customFormat="1" ht="12.75" customHeight="1">
      <c r="A29" s="877" t="s">
        <v>1624</v>
      </c>
      <c r="B29" s="325"/>
      <c r="C29" s="325"/>
      <c r="D29" s="325"/>
      <c r="E29" s="325"/>
      <c r="F29" s="325"/>
      <c r="G29" s="325"/>
    </row>
    <row r="30" spans="1:7" s="564" customFormat="1" ht="12.75" customHeight="1">
      <c r="A30" s="237" t="s">
        <v>1613</v>
      </c>
      <c r="B30" s="327">
        <f>'Sources and Uses Budget'!C29</f>
        <v>0</v>
      </c>
      <c r="C30" s="327">
        <f>'Sources and Uses Budget'!C29</f>
        <v>0</v>
      </c>
      <c r="D30" s="327">
        <f>'Sources and Uses Budget'!C29</f>
        <v>0</v>
      </c>
      <c r="E30" s="329">
        <f t="shared" ref="E30:E39" si="2">C30-B30</f>
        <v>0</v>
      </c>
      <c r="F30" s="328"/>
      <c r="G30" s="328"/>
    </row>
    <row r="31" spans="1:7" s="564" customFormat="1" ht="12.75" customHeight="1">
      <c r="A31" s="237" t="s">
        <v>1614</v>
      </c>
      <c r="B31" s="327">
        <f>'Sources and Uses Budget'!C30</f>
        <v>15000000</v>
      </c>
      <c r="C31" s="327">
        <f>'Sources and Uses Budget'!C30</f>
        <v>15000000</v>
      </c>
      <c r="D31" s="327">
        <f>'Sources and Uses Budget'!C30</f>
        <v>15000000</v>
      </c>
      <c r="E31" s="329">
        <f t="shared" si="2"/>
        <v>0</v>
      </c>
      <c r="F31" s="328"/>
      <c r="G31" s="328"/>
    </row>
    <row r="32" spans="1:7" s="564" customFormat="1" ht="12.75" customHeight="1">
      <c r="A32" s="237" t="s">
        <v>1615</v>
      </c>
      <c r="B32" s="327">
        <f>'Sources and Uses Budget'!C31</f>
        <v>900000</v>
      </c>
      <c r="C32" s="327">
        <f>'Sources and Uses Budget'!C31</f>
        <v>900000</v>
      </c>
      <c r="D32" s="327">
        <f>'Sources and Uses Budget'!C31</f>
        <v>900000</v>
      </c>
      <c r="E32" s="329">
        <f t="shared" si="2"/>
        <v>0</v>
      </c>
      <c r="F32" s="328"/>
      <c r="G32" s="328"/>
    </row>
    <row r="33" spans="1:7" s="564" customFormat="1" ht="12.75" customHeight="1">
      <c r="A33" s="237" t="s">
        <v>1616</v>
      </c>
      <c r="B33" s="327">
        <f>'Sources and Uses Budget'!C32</f>
        <v>318000</v>
      </c>
      <c r="C33" s="327">
        <f>'Sources and Uses Budget'!C32</f>
        <v>318000</v>
      </c>
      <c r="D33" s="327">
        <f>'Sources and Uses Budget'!C32</f>
        <v>318000</v>
      </c>
      <c r="E33" s="329">
        <f t="shared" si="2"/>
        <v>0</v>
      </c>
      <c r="F33" s="328"/>
      <c r="G33" s="328"/>
    </row>
    <row r="34" spans="1:7" s="564" customFormat="1" ht="12.75" customHeight="1">
      <c r="A34" s="237" t="s">
        <v>1617</v>
      </c>
      <c r="B34" s="327">
        <f>'Sources and Uses Budget'!C33</f>
        <v>954000</v>
      </c>
      <c r="C34" s="327">
        <f>'Sources and Uses Budget'!C33</f>
        <v>954000</v>
      </c>
      <c r="D34" s="327">
        <f>'Sources and Uses Budget'!C33</f>
        <v>954000</v>
      </c>
      <c r="E34" s="329">
        <f t="shared" si="2"/>
        <v>0</v>
      </c>
      <c r="F34" s="328"/>
      <c r="G34" s="328"/>
    </row>
    <row r="35" spans="1:7" s="564" customFormat="1" ht="12.75" customHeight="1">
      <c r="A35" s="237" t="s">
        <v>1618</v>
      </c>
      <c r="B35" s="327">
        <f>'Sources and Uses Budget'!C34</f>
        <v>0</v>
      </c>
      <c r="C35" s="327">
        <f>'Sources and Uses Budget'!C34</f>
        <v>0</v>
      </c>
      <c r="D35" s="327">
        <f>'Sources and Uses Budget'!C34</f>
        <v>0</v>
      </c>
      <c r="E35" s="329">
        <f t="shared" si="2"/>
        <v>0</v>
      </c>
      <c r="F35" s="328"/>
      <c r="G35" s="328"/>
    </row>
    <row r="36" spans="1:7" s="564" customFormat="1" ht="12.75" customHeight="1">
      <c r="A36" s="237" t="s">
        <v>1619</v>
      </c>
      <c r="B36" s="327">
        <f>'Sources and Uses Budget'!C35</f>
        <v>515160</v>
      </c>
      <c r="C36" s="327">
        <f>'Sources and Uses Budget'!C35</f>
        <v>515160</v>
      </c>
      <c r="D36" s="327">
        <f>'Sources and Uses Budget'!C35</f>
        <v>515160</v>
      </c>
      <c r="E36" s="329">
        <f t="shared" si="2"/>
        <v>0</v>
      </c>
      <c r="F36" s="328"/>
      <c r="G36" s="328"/>
    </row>
    <row r="37" spans="1:7" s="564" customFormat="1" ht="12.75" customHeight="1">
      <c r="A37" s="237" t="s">
        <v>1620</v>
      </c>
      <c r="B37" s="327">
        <f>'Sources and Uses Budget'!C36</f>
        <v>0</v>
      </c>
      <c r="C37" s="327">
        <f>'Sources and Uses Budget'!C36</f>
        <v>0</v>
      </c>
      <c r="D37" s="327">
        <f>'Sources and Uses Budget'!C36</f>
        <v>0</v>
      </c>
      <c r="E37" s="329">
        <f t="shared" si="2"/>
        <v>0</v>
      </c>
      <c r="F37" s="328"/>
      <c r="G37" s="328"/>
    </row>
    <row r="38" spans="1:7" s="564" customFormat="1" ht="12.75" customHeight="1">
      <c r="A38" s="248" t="s">
        <v>1621</v>
      </c>
      <c r="B38" s="327">
        <f>'Sources and Uses Budget'!C37</f>
        <v>0</v>
      </c>
      <c r="C38" s="327">
        <f>'Sources and Uses Budget'!C37</f>
        <v>0</v>
      </c>
      <c r="D38" s="327">
        <f>'Sources and Uses Budget'!C37</f>
        <v>0</v>
      </c>
      <c r="E38" s="329">
        <f t="shared" si="2"/>
        <v>0</v>
      </c>
      <c r="F38" s="328"/>
      <c r="G38" s="328"/>
    </row>
    <row r="39" spans="1:7" s="564" customFormat="1" ht="12.75" customHeight="1">
      <c r="A39" s="881" t="s">
        <v>1625</v>
      </c>
      <c r="B39" s="888">
        <f>'Sources and Uses Budget'!C38</f>
        <v>17687160</v>
      </c>
      <c r="C39" s="888">
        <f>'Sources and Uses Budget'!C38</f>
        <v>17687160</v>
      </c>
      <c r="D39" s="888">
        <f>'Sources and Uses Budget'!C38</f>
        <v>17687160</v>
      </c>
      <c r="E39" s="329">
        <f t="shared" si="2"/>
        <v>0</v>
      </c>
      <c r="F39" s="328"/>
      <c r="G39" s="328"/>
    </row>
    <row r="40" spans="1:7" s="564" customFormat="1" ht="12.75" customHeight="1">
      <c r="A40" s="877" t="s">
        <v>1626</v>
      </c>
      <c r="B40" s="325"/>
      <c r="C40" s="325"/>
      <c r="D40" s="325"/>
      <c r="E40" s="325"/>
      <c r="F40" s="325"/>
      <c r="G40" s="325"/>
    </row>
    <row r="41" spans="1:7" s="564" customFormat="1" ht="12.75" customHeight="1">
      <c r="A41" s="882" t="s">
        <v>1627</v>
      </c>
      <c r="B41" s="327">
        <f>'Sources and Uses Budget'!C40</f>
        <v>800000</v>
      </c>
      <c r="C41" s="327">
        <f>'Sources and Uses Budget'!C40</f>
        <v>800000</v>
      </c>
      <c r="D41" s="327">
        <f>'Sources and Uses Budget'!C40</f>
        <v>800000</v>
      </c>
      <c r="E41" s="329">
        <f>C41-B41</f>
        <v>0</v>
      </c>
      <c r="F41" s="328"/>
      <c r="G41" s="328"/>
    </row>
    <row r="42" spans="1:7" s="564" customFormat="1" ht="12.75" customHeight="1">
      <c r="A42" s="882" t="s">
        <v>1628</v>
      </c>
      <c r="B42" s="327">
        <f>'Sources and Uses Budget'!C41</f>
        <v>0</v>
      </c>
      <c r="C42" s="327">
        <f>'Sources and Uses Budget'!C41</f>
        <v>0</v>
      </c>
      <c r="D42" s="327">
        <f>'Sources and Uses Budget'!C41</f>
        <v>0</v>
      </c>
      <c r="E42" s="329">
        <f>C42-B42</f>
        <v>0</v>
      </c>
      <c r="F42" s="328"/>
      <c r="G42" s="328"/>
    </row>
    <row r="43" spans="1:7" s="564" customFormat="1" ht="12" customHeight="1">
      <c r="A43" s="881" t="s">
        <v>1629</v>
      </c>
      <c r="B43" s="888">
        <f>'Sources and Uses Budget'!C42</f>
        <v>800000</v>
      </c>
      <c r="C43" s="888">
        <f>'Sources and Uses Budget'!C42</f>
        <v>800000</v>
      </c>
      <c r="D43" s="888">
        <f>'Sources and Uses Budget'!C42</f>
        <v>800000</v>
      </c>
      <c r="E43" s="329">
        <f>C43-B43</f>
        <v>0</v>
      </c>
      <c r="F43" s="328"/>
      <c r="G43" s="328"/>
    </row>
    <row r="44" spans="1:7" s="564" customFormat="1" ht="12.75" customHeight="1">
      <c r="A44" s="881" t="s">
        <v>1630</v>
      </c>
      <c r="B44" s="327">
        <f>'Sources and Uses Budget'!C43</f>
        <v>250000</v>
      </c>
      <c r="C44" s="327">
        <f>'Sources and Uses Budget'!C43</f>
        <v>250000</v>
      </c>
      <c r="D44" s="327">
        <f>'Sources and Uses Budget'!C43</f>
        <v>250000</v>
      </c>
      <c r="E44" s="329">
        <f>C44-B44</f>
        <v>0</v>
      </c>
      <c r="F44" s="328"/>
      <c r="G44" s="328"/>
    </row>
    <row r="45" spans="1:7" s="564" customFormat="1" ht="12.75" customHeight="1">
      <c r="A45" s="233" t="s">
        <v>1631</v>
      </c>
      <c r="B45" s="325"/>
      <c r="C45" s="325"/>
      <c r="D45" s="325"/>
      <c r="E45" s="325"/>
      <c r="F45" s="325"/>
      <c r="G45" s="325"/>
    </row>
    <row r="46" spans="1:7" s="564" customFormat="1" ht="12" customHeight="1">
      <c r="A46" s="237" t="s">
        <v>1632</v>
      </c>
      <c r="B46" s="327">
        <f>'Sources and Uses Budget'!C45</f>
        <v>885218</v>
      </c>
      <c r="C46" s="327">
        <f>'Sources and Uses Budget'!C45</f>
        <v>885218</v>
      </c>
      <c r="D46" s="327">
        <f>'Sources and Uses Budget'!C45</f>
        <v>885218</v>
      </c>
      <c r="E46" s="329">
        <f t="shared" ref="E46:E54" si="3">C46-B46</f>
        <v>0</v>
      </c>
      <c r="F46" s="328"/>
      <c r="G46" s="328"/>
    </row>
    <row r="47" spans="1:7" s="564" customFormat="1" ht="12.75" customHeight="1">
      <c r="A47" s="237" t="s">
        <v>1633</v>
      </c>
      <c r="B47" s="327">
        <f>'Sources and Uses Budget'!C46</f>
        <v>256677</v>
      </c>
      <c r="C47" s="327">
        <f>'Sources and Uses Budget'!C46</f>
        <v>256677</v>
      </c>
      <c r="D47" s="327">
        <f>'Sources and Uses Budget'!C46</f>
        <v>256677</v>
      </c>
      <c r="E47" s="329">
        <f t="shared" si="3"/>
        <v>0</v>
      </c>
      <c r="F47" s="328"/>
      <c r="G47" s="328"/>
    </row>
    <row r="48" spans="1:7" s="564" customFormat="1" ht="12.75" customHeight="1">
      <c r="A48" s="237" t="s">
        <v>1634</v>
      </c>
      <c r="B48" s="327">
        <f>'Sources and Uses Budget'!C47</f>
        <v>35000</v>
      </c>
      <c r="C48" s="327">
        <f>'Sources and Uses Budget'!C47</f>
        <v>35000</v>
      </c>
      <c r="D48" s="327">
        <f>'Sources and Uses Budget'!C47</f>
        <v>35000</v>
      </c>
      <c r="E48" s="329">
        <f t="shared" si="3"/>
        <v>0</v>
      </c>
      <c r="F48" s="328"/>
      <c r="G48" s="328"/>
    </row>
    <row r="49" spans="1:7" s="564" customFormat="1" ht="12.75" customHeight="1">
      <c r="A49" s="237" t="s">
        <v>1635</v>
      </c>
      <c r="B49" s="327">
        <f>'Sources and Uses Budget'!C48</f>
        <v>0</v>
      </c>
      <c r="C49" s="327">
        <f>'Sources and Uses Budget'!C48</f>
        <v>0</v>
      </c>
      <c r="D49" s="327">
        <f>'Sources and Uses Budget'!C48</f>
        <v>0</v>
      </c>
      <c r="E49" s="329">
        <f t="shared" si="3"/>
        <v>0</v>
      </c>
      <c r="F49" s="328"/>
      <c r="G49" s="328"/>
    </row>
    <row r="50" spans="1:7" s="564" customFormat="1" ht="12.75" customHeight="1">
      <c r="A50" s="237" t="s">
        <v>1636</v>
      </c>
      <c r="B50" s="327">
        <f>'Sources and Uses Budget'!C49</f>
        <v>40000</v>
      </c>
      <c r="C50" s="327">
        <f>'Sources and Uses Budget'!C49</f>
        <v>40000</v>
      </c>
      <c r="D50" s="327">
        <f>'Sources and Uses Budget'!C49</f>
        <v>40000</v>
      </c>
      <c r="E50" s="329">
        <f t="shared" si="3"/>
        <v>0</v>
      </c>
      <c r="F50" s="328"/>
      <c r="G50" s="328"/>
    </row>
    <row r="51" spans="1:7" s="564" customFormat="1" ht="12.75" customHeight="1">
      <c r="A51" s="237" t="s">
        <v>1637</v>
      </c>
      <c r="B51" s="327">
        <f>'Sources and Uses Budget'!C50</f>
        <v>84000</v>
      </c>
      <c r="C51" s="327">
        <f>'Sources and Uses Budget'!C50</f>
        <v>84000</v>
      </c>
      <c r="D51" s="327">
        <f>'Sources and Uses Budget'!C50</f>
        <v>84000</v>
      </c>
      <c r="E51" s="329">
        <f t="shared" si="3"/>
        <v>0</v>
      </c>
      <c r="F51" s="328"/>
      <c r="G51" s="328"/>
    </row>
    <row r="52" spans="1:7" s="565" customFormat="1" ht="12.75" customHeight="1">
      <c r="A52" s="237" t="s">
        <v>772</v>
      </c>
      <c r="B52" s="327">
        <f>'Sources and Uses Budget'!C51</f>
        <v>0</v>
      </c>
      <c r="C52" s="327">
        <f>'Sources and Uses Budget'!C51</f>
        <v>0</v>
      </c>
      <c r="D52" s="327">
        <f>'Sources and Uses Budget'!C51</f>
        <v>0</v>
      </c>
      <c r="E52" s="329">
        <f t="shared" si="3"/>
        <v>0</v>
      </c>
      <c r="F52" s="328"/>
      <c r="G52" s="328"/>
    </row>
    <row r="53" spans="1:7" s="564" customFormat="1" ht="12.75" customHeight="1">
      <c r="A53" s="244" t="s">
        <v>1621</v>
      </c>
      <c r="B53" s="327">
        <f>'Sources and Uses Budget'!C52</f>
        <v>20000</v>
      </c>
      <c r="C53" s="327">
        <f>'Sources and Uses Budget'!C52</f>
        <v>20000</v>
      </c>
      <c r="D53" s="327">
        <f>'Sources and Uses Budget'!C52</f>
        <v>20000</v>
      </c>
      <c r="E53" s="329">
        <f t="shared" si="3"/>
        <v>0</v>
      </c>
      <c r="F53" s="328"/>
      <c r="G53" s="328"/>
    </row>
    <row r="54" spans="1:7" s="564" customFormat="1" ht="12.75" customHeight="1">
      <c r="A54" s="241" t="s">
        <v>1638</v>
      </c>
      <c r="B54" s="888">
        <f>'Sources and Uses Budget'!C53</f>
        <v>1320895</v>
      </c>
      <c r="C54" s="888">
        <f>'Sources and Uses Budget'!C53</f>
        <v>1320895</v>
      </c>
      <c r="D54" s="888">
        <f>'Sources and Uses Budget'!C53</f>
        <v>1320895</v>
      </c>
      <c r="E54" s="329">
        <f t="shared" si="3"/>
        <v>0</v>
      </c>
      <c r="F54" s="328"/>
      <c r="G54" s="328"/>
    </row>
    <row r="55" spans="1:7" s="564" customFormat="1" ht="12" customHeight="1">
      <c r="A55" s="877" t="s">
        <v>578</v>
      </c>
      <c r="B55" s="325"/>
      <c r="C55" s="325"/>
      <c r="D55" s="325"/>
      <c r="E55" s="325"/>
      <c r="F55" s="325"/>
      <c r="G55" s="325"/>
    </row>
    <row r="56" spans="1:7" s="564" customFormat="1" ht="12.75" customHeight="1">
      <c r="A56" s="882" t="s">
        <v>1639</v>
      </c>
      <c r="B56" s="327">
        <f>'Sources and Uses Budget'!C55</f>
        <v>0</v>
      </c>
      <c r="C56" s="327">
        <f>'Sources and Uses Budget'!C55</f>
        <v>0</v>
      </c>
      <c r="D56" s="327">
        <f>'Sources and Uses Budget'!C55</f>
        <v>0</v>
      </c>
      <c r="E56" s="329">
        <f t="shared" ref="E56:E63" si="4">C56-B56</f>
        <v>0</v>
      </c>
      <c r="F56" s="328"/>
      <c r="G56" s="328"/>
    </row>
    <row r="57" spans="1:7" s="564" customFormat="1" ht="12.75" customHeight="1">
      <c r="A57" s="882" t="s">
        <v>1634</v>
      </c>
      <c r="B57" s="327">
        <f>'Sources and Uses Budget'!C56</f>
        <v>0</v>
      </c>
      <c r="C57" s="327">
        <f>'Sources and Uses Budget'!C56</f>
        <v>0</v>
      </c>
      <c r="D57" s="327">
        <f>'Sources and Uses Budget'!C56</f>
        <v>0</v>
      </c>
      <c r="E57" s="329">
        <f t="shared" si="4"/>
        <v>0</v>
      </c>
      <c r="F57" s="328"/>
      <c r="G57" s="328"/>
    </row>
    <row r="58" spans="1:7" s="564" customFormat="1" ht="12.75" customHeight="1">
      <c r="A58" s="882" t="s">
        <v>1636</v>
      </c>
      <c r="B58" s="327">
        <f>'Sources and Uses Budget'!C57</f>
        <v>10000</v>
      </c>
      <c r="C58" s="327">
        <f>'Sources and Uses Budget'!C57</f>
        <v>10000</v>
      </c>
      <c r="D58" s="327">
        <f>'Sources and Uses Budget'!C57</f>
        <v>10000</v>
      </c>
      <c r="E58" s="329">
        <f t="shared" si="4"/>
        <v>0</v>
      </c>
      <c r="F58" s="328"/>
      <c r="G58" s="328"/>
    </row>
    <row r="59" spans="1:7" s="564" customFormat="1" ht="12.75" customHeight="1">
      <c r="A59" s="882" t="s">
        <v>1637</v>
      </c>
      <c r="B59" s="327">
        <f>'Sources and Uses Budget'!C58</f>
        <v>5000</v>
      </c>
      <c r="C59" s="327">
        <f>'Sources and Uses Budget'!C58</f>
        <v>5000</v>
      </c>
      <c r="D59" s="327">
        <f>'Sources and Uses Budget'!C58</f>
        <v>5000</v>
      </c>
      <c r="E59" s="329">
        <f t="shared" si="4"/>
        <v>0</v>
      </c>
      <c r="F59" s="328"/>
      <c r="G59" s="328"/>
    </row>
    <row r="60" spans="1:7" s="564" customFormat="1" ht="12.75" customHeight="1">
      <c r="A60" s="882" t="s">
        <v>772</v>
      </c>
      <c r="B60" s="327">
        <f>'Sources and Uses Budget'!C59</f>
        <v>0</v>
      </c>
      <c r="C60" s="327">
        <f>'Sources and Uses Budget'!C59</f>
        <v>0</v>
      </c>
      <c r="D60" s="327">
        <f>'Sources and Uses Budget'!C59</f>
        <v>0</v>
      </c>
      <c r="E60" s="329">
        <f t="shared" si="4"/>
        <v>0</v>
      </c>
      <c r="F60" s="328"/>
      <c r="G60" s="328"/>
    </row>
    <row r="61" spans="1:7" s="564" customFormat="1" ht="13.9" customHeight="1">
      <c r="A61" s="883" t="s">
        <v>1621</v>
      </c>
      <c r="B61" s="327">
        <f>'Sources and Uses Budget'!C60</f>
        <v>0</v>
      </c>
      <c r="C61" s="327">
        <f>'Sources and Uses Budget'!C60</f>
        <v>0</v>
      </c>
      <c r="D61" s="327">
        <f>'Sources and Uses Budget'!C60</f>
        <v>0</v>
      </c>
      <c r="E61" s="329">
        <f t="shared" si="4"/>
        <v>0</v>
      </c>
      <c r="F61" s="328"/>
      <c r="G61" s="328"/>
    </row>
    <row r="62" spans="1:7" s="564" customFormat="1" ht="12.75" customHeight="1">
      <c r="A62" s="881" t="s">
        <v>1640</v>
      </c>
      <c r="B62" s="888">
        <f>'Sources and Uses Budget'!C61</f>
        <v>15000</v>
      </c>
      <c r="C62" s="888">
        <f>'Sources and Uses Budget'!C61</f>
        <v>15000</v>
      </c>
      <c r="D62" s="888">
        <f>'Sources and Uses Budget'!C61</f>
        <v>15000</v>
      </c>
      <c r="E62" s="329">
        <f t="shared" si="4"/>
        <v>0</v>
      </c>
      <c r="F62" s="328"/>
      <c r="G62" s="328"/>
    </row>
    <row r="63" spans="1:7" s="564" customFormat="1" ht="12.75" customHeight="1">
      <c r="A63" s="884" t="s">
        <v>1641</v>
      </c>
      <c r="B63" s="888">
        <f>'Sources and Uses Budget'!C62</f>
        <v>24273055</v>
      </c>
      <c r="C63" s="888">
        <f>'Sources and Uses Budget'!C62</f>
        <v>24273055</v>
      </c>
      <c r="D63" s="888">
        <f>'Sources and Uses Budget'!C62</f>
        <v>24273055</v>
      </c>
      <c r="E63" s="329">
        <f t="shared" si="4"/>
        <v>0</v>
      </c>
      <c r="F63" s="328"/>
      <c r="G63" s="328"/>
    </row>
    <row r="64" spans="1:7" s="564" customFormat="1" ht="24" customHeight="1">
      <c r="A64" s="233" t="s">
        <v>1642</v>
      </c>
      <c r="B64" s="325"/>
      <c r="C64" s="325"/>
      <c r="D64" s="325"/>
      <c r="E64" s="325"/>
      <c r="F64" s="325"/>
      <c r="G64" s="325"/>
    </row>
    <row r="65" spans="1:7" s="564" customFormat="1" ht="12.75" customHeight="1">
      <c r="A65" s="237" t="s">
        <v>1643</v>
      </c>
      <c r="B65" s="327">
        <f>'Sources and Uses Budget'!C64</f>
        <v>65000</v>
      </c>
      <c r="C65" s="327">
        <f>'Sources and Uses Budget'!C64</f>
        <v>65000</v>
      </c>
      <c r="D65" s="327">
        <f>'Sources and Uses Budget'!C64</f>
        <v>65000</v>
      </c>
      <c r="E65" s="329">
        <f t="shared" ref="E65:E70" si="5">C65-B65</f>
        <v>0</v>
      </c>
      <c r="F65" s="328"/>
      <c r="G65" s="328"/>
    </row>
    <row r="66" spans="1:7" s="564" customFormat="1" ht="24" customHeight="1">
      <c r="A66" s="237" t="s">
        <v>1644</v>
      </c>
      <c r="B66" s="327">
        <f>'Sources and Uses Budget'!C65</f>
        <v>0</v>
      </c>
      <c r="C66" s="327">
        <f>'Sources and Uses Budget'!C65</f>
        <v>0</v>
      </c>
      <c r="D66" s="327">
        <f>'Sources and Uses Budget'!C65</f>
        <v>0</v>
      </c>
      <c r="E66" s="329">
        <f t="shared" si="5"/>
        <v>0</v>
      </c>
      <c r="F66" s="328"/>
      <c r="G66" s="328"/>
    </row>
    <row r="67" spans="1:7" s="564" customFormat="1" ht="24" customHeight="1">
      <c r="A67" s="237" t="s">
        <v>1645</v>
      </c>
      <c r="B67" s="327">
        <f>'Sources and Uses Budget'!C66</f>
        <v>0</v>
      </c>
      <c r="C67" s="327">
        <f>'Sources and Uses Budget'!C66</f>
        <v>0</v>
      </c>
      <c r="D67" s="327">
        <f>'Sources and Uses Budget'!C66</f>
        <v>0</v>
      </c>
      <c r="E67" s="329">
        <f t="shared" si="5"/>
        <v>0</v>
      </c>
      <c r="F67" s="328"/>
      <c r="G67" s="328"/>
    </row>
    <row r="68" spans="1:7" s="564" customFormat="1" ht="12.75" customHeight="1">
      <c r="A68" s="237" t="s">
        <v>1646</v>
      </c>
      <c r="B68" s="327">
        <f>'Sources and Uses Budget'!C67</f>
        <v>0</v>
      </c>
      <c r="C68" s="327">
        <f>'Sources and Uses Budget'!C67</f>
        <v>0</v>
      </c>
      <c r="D68" s="327">
        <f>'Sources and Uses Budget'!C67</f>
        <v>0</v>
      </c>
      <c r="E68" s="329">
        <f t="shared" si="5"/>
        <v>0</v>
      </c>
      <c r="F68" s="328"/>
      <c r="G68" s="328"/>
    </row>
    <row r="69" spans="1:7" s="564" customFormat="1" ht="12.75" customHeight="1">
      <c r="A69" s="248" t="s">
        <v>2406</v>
      </c>
      <c r="B69" s="327">
        <f>'Sources and Uses Budget'!C68</f>
        <v>50000</v>
      </c>
      <c r="C69" s="327">
        <f>'Sources and Uses Budget'!C68</f>
        <v>50000</v>
      </c>
      <c r="D69" s="327">
        <f>'Sources and Uses Budget'!C68</f>
        <v>50000</v>
      </c>
      <c r="E69" s="329">
        <f t="shared" si="5"/>
        <v>0</v>
      </c>
      <c r="F69" s="328"/>
      <c r="G69" s="328"/>
    </row>
    <row r="70" spans="1:7" s="564" customFormat="1" ht="12.75" customHeight="1">
      <c r="A70" s="241" t="s">
        <v>1647</v>
      </c>
      <c r="B70" s="888">
        <f>'Sources and Uses Budget'!C69</f>
        <v>115000</v>
      </c>
      <c r="C70" s="888">
        <f>'Sources and Uses Budget'!C69</f>
        <v>115000</v>
      </c>
      <c r="D70" s="888">
        <f>'Sources and Uses Budget'!C69</f>
        <v>115000</v>
      </c>
      <c r="E70" s="329">
        <f t="shared" si="5"/>
        <v>0</v>
      </c>
      <c r="F70" s="328"/>
      <c r="G70" s="328"/>
    </row>
    <row r="71" spans="1:7" s="564" customFormat="1" ht="12.75" customHeight="1">
      <c r="A71" s="877" t="s">
        <v>1648</v>
      </c>
      <c r="B71" s="325"/>
      <c r="C71" s="325"/>
      <c r="D71" s="325"/>
      <c r="E71" s="325"/>
      <c r="F71" s="325"/>
      <c r="G71" s="325"/>
    </row>
    <row r="72" spans="1:7" s="564" customFormat="1" ht="12.75" customHeight="1">
      <c r="A72" s="882" t="s">
        <v>1649</v>
      </c>
      <c r="B72" s="327">
        <f>'Sources and Uses Budget'!C71</f>
        <v>30000</v>
      </c>
      <c r="C72" s="327">
        <f>'Sources and Uses Budget'!C71</f>
        <v>30000</v>
      </c>
      <c r="D72" s="327">
        <f>'Sources and Uses Budget'!C71</f>
        <v>30000</v>
      </c>
      <c r="E72" s="329">
        <f t="shared" ref="E72:E77" si="6">C72-B72</f>
        <v>0</v>
      </c>
      <c r="F72" s="328"/>
      <c r="G72" s="328"/>
    </row>
    <row r="73" spans="1:7" s="564" customFormat="1" ht="12.75" customHeight="1">
      <c r="A73" s="882" t="s">
        <v>1650</v>
      </c>
      <c r="B73" s="327">
        <f>'Sources and Uses Budget'!C72</f>
        <v>0</v>
      </c>
      <c r="C73" s="327">
        <f>'Sources and Uses Budget'!C72</f>
        <v>0</v>
      </c>
      <c r="D73" s="327">
        <f>'Sources and Uses Budget'!C72</f>
        <v>0</v>
      </c>
      <c r="E73" s="329">
        <f t="shared" si="6"/>
        <v>0</v>
      </c>
      <c r="F73" s="328"/>
      <c r="G73" s="328"/>
    </row>
    <row r="74" spans="1:7" s="564" customFormat="1" ht="12.75" customHeight="1">
      <c r="A74" s="885" t="s">
        <v>1651</v>
      </c>
      <c r="B74" s="327">
        <f>'Sources and Uses Budget'!C73</f>
        <v>0</v>
      </c>
      <c r="C74" s="327">
        <f>'Sources and Uses Budget'!C73</f>
        <v>0</v>
      </c>
      <c r="D74" s="327">
        <f>'Sources and Uses Budget'!C73</f>
        <v>0</v>
      </c>
      <c r="E74" s="329">
        <f t="shared" si="6"/>
        <v>0</v>
      </c>
      <c r="F74" s="328"/>
      <c r="G74" s="328"/>
    </row>
    <row r="75" spans="1:7" s="564" customFormat="1" ht="12.75" customHeight="1">
      <c r="A75" s="882" t="s">
        <v>1652</v>
      </c>
      <c r="B75" s="327">
        <f>'Sources and Uses Budget'!C74</f>
        <v>155012</v>
      </c>
      <c r="C75" s="327">
        <f>'Sources and Uses Budget'!C74</f>
        <v>155012</v>
      </c>
      <c r="D75" s="327">
        <f>'Sources and Uses Budget'!C74</f>
        <v>155012</v>
      </c>
      <c r="E75" s="329">
        <f t="shared" si="6"/>
        <v>0</v>
      </c>
      <c r="F75" s="328"/>
      <c r="G75" s="328"/>
    </row>
    <row r="76" spans="1:7" s="564" customFormat="1" ht="12.75" customHeight="1">
      <c r="A76" s="886" t="s">
        <v>1621</v>
      </c>
      <c r="B76" s="327">
        <f>'Sources and Uses Budget'!C75</f>
        <v>0</v>
      </c>
      <c r="C76" s="327">
        <f>'Sources and Uses Budget'!C75</f>
        <v>0</v>
      </c>
      <c r="D76" s="327">
        <f>'Sources and Uses Budget'!C75</f>
        <v>0</v>
      </c>
      <c r="E76" s="329">
        <f t="shared" si="6"/>
        <v>0</v>
      </c>
      <c r="F76" s="328"/>
      <c r="G76" s="328"/>
    </row>
    <row r="77" spans="1:7" s="564" customFormat="1" ht="12.75" customHeight="1">
      <c r="A77" s="881" t="s">
        <v>1653</v>
      </c>
      <c r="B77" s="888">
        <f>'Sources and Uses Budget'!C76</f>
        <v>185012</v>
      </c>
      <c r="C77" s="888">
        <f>'Sources and Uses Budget'!C76</f>
        <v>185012</v>
      </c>
      <c r="D77" s="888">
        <f>'Sources and Uses Budget'!C76</f>
        <v>185012</v>
      </c>
      <c r="E77" s="329">
        <f t="shared" si="6"/>
        <v>0</v>
      </c>
      <c r="F77" s="328"/>
      <c r="G77" s="328"/>
    </row>
    <row r="78" spans="1:7" s="564" customFormat="1" ht="12.75" customHeight="1">
      <c r="A78" s="877" t="s">
        <v>1654</v>
      </c>
      <c r="B78" s="325"/>
      <c r="C78" s="325"/>
      <c r="D78" s="325"/>
      <c r="E78" s="325"/>
      <c r="F78" s="325"/>
      <c r="G78" s="325"/>
    </row>
    <row r="79" spans="1:7" s="564" customFormat="1" ht="13.9" customHeight="1">
      <c r="A79" s="882" t="s">
        <v>1655</v>
      </c>
      <c r="B79" s="327">
        <f>'Sources and Uses Budget'!C78</f>
        <v>884358</v>
      </c>
      <c r="C79" s="327">
        <f>'Sources and Uses Budget'!C78</f>
        <v>884358</v>
      </c>
      <c r="D79" s="327">
        <f>'Sources and Uses Budget'!C78</f>
        <v>884358</v>
      </c>
      <c r="E79" s="329">
        <f>C79-B79</f>
        <v>0</v>
      </c>
      <c r="F79" s="328"/>
      <c r="G79" s="328"/>
    </row>
    <row r="80" spans="1:7" s="564" customFormat="1" ht="12.75" customHeight="1">
      <c r="A80" s="882" t="s">
        <v>1656</v>
      </c>
      <c r="B80" s="327">
        <f>'Sources and Uses Budget'!C79</f>
        <v>177547</v>
      </c>
      <c r="C80" s="327">
        <f>'Sources and Uses Budget'!C79</f>
        <v>177547</v>
      </c>
      <c r="D80" s="327">
        <f>'Sources and Uses Budget'!C79</f>
        <v>177547</v>
      </c>
      <c r="E80" s="329">
        <f>C80-B80</f>
        <v>0</v>
      </c>
      <c r="F80" s="328"/>
      <c r="G80" s="328"/>
    </row>
    <row r="81" spans="1:7" s="564" customFormat="1" ht="12.75" customHeight="1">
      <c r="A81" s="881" t="s">
        <v>1657</v>
      </c>
      <c r="B81" s="888">
        <f>'Sources and Uses Budget'!C80</f>
        <v>1061905</v>
      </c>
      <c r="C81" s="888">
        <f>'Sources and Uses Budget'!C80</f>
        <v>1061905</v>
      </c>
      <c r="D81" s="888">
        <f>'Sources and Uses Budget'!C80</f>
        <v>1061905</v>
      </c>
      <c r="E81" s="329">
        <f>C81-B81</f>
        <v>0</v>
      </c>
      <c r="F81" s="328"/>
      <c r="G81" s="328"/>
    </row>
    <row r="82" spans="1:7" s="564" customFormat="1" ht="12.75" customHeight="1">
      <c r="A82" s="877" t="s">
        <v>1658</v>
      </c>
      <c r="B82" s="325"/>
      <c r="C82" s="325"/>
      <c r="D82" s="325"/>
      <c r="E82" s="325"/>
      <c r="F82" s="325"/>
      <c r="G82" s="325"/>
    </row>
    <row r="83" spans="1:7" s="564" customFormat="1" ht="12.75" customHeight="1">
      <c r="A83" s="237" t="s">
        <v>1659</v>
      </c>
      <c r="B83" s="327">
        <f>'Sources and Uses Budget'!C82</f>
        <v>101681</v>
      </c>
      <c r="C83" s="327">
        <f>'Sources and Uses Budget'!C82</f>
        <v>101681</v>
      </c>
      <c r="D83" s="327">
        <f>'Sources and Uses Budget'!C82</f>
        <v>101681</v>
      </c>
      <c r="E83" s="329">
        <f t="shared" ref="E83:E97" si="7">C83-B83</f>
        <v>0</v>
      </c>
      <c r="F83" s="328"/>
      <c r="G83" s="328"/>
    </row>
    <row r="84" spans="1:7" s="564" customFormat="1" ht="12.75" customHeight="1">
      <c r="A84" s="237" t="s">
        <v>1660</v>
      </c>
      <c r="B84" s="327">
        <f>'Sources and Uses Budget'!C83</f>
        <v>7000</v>
      </c>
      <c r="C84" s="327">
        <f>'Sources and Uses Budget'!C83</f>
        <v>7000</v>
      </c>
      <c r="D84" s="327">
        <f>'Sources and Uses Budget'!C83</f>
        <v>7000</v>
      </c>
      <c r="E84" s="329">
        <f t="shared" si="7"/>
        <v>0</v>
      </c>
      <c r="F84" s="328"/>
      <c r="G84" s="328"/>
    </row>
    <row r="85" spans="1:7" s="564" customFormat="1" ht="12.75" customHeight="1">
      <c r="A85" s="237" t="s">
        <v>1661</v>
      </c>
      <c r="B85" s="327">
        <f>'Sources and Uses Budget'!C84</f>
        <v>236395</v>
      </c>
      <c r="C85" s="327">
        <f>'Sources and Uses Budget'!C84</f>
        <v>236395</v>
      </c>
      <c r="D85" s="327">
        <f>'Sources and Uses Budget'!C84</f>
        <v>236395</v>
      </c>
      <c r="E85" s="329">
        <f t="shared" si="7"/>
        <v>0</v>
      </c>
      <c r="F85" s="328"/>
      <c r="G85" s="328"/>
    </row>
    <row r="86" spans="1:7" s="564" customFormat="1" ht="12.75" customHeight="1">
      <c r="A86" s="237" t="s">
        <v>1662</v>
      </c>
      <c r="B86" s="327">
        <f>'Sources and Uses Budget'!C85</f>
        <v>1433605</v>
      </c>
      <c r="C86" s="327">
        <f>'Sources and Uses Budget'!C85</f>
        <v>1433605</v>
      </c>
      <c r="D86" s="327">
        <f>'Sources and Uses Budget'!C85</f>
        <v>1433605</v>
      </c>
      <c r="E86" s="329">
        <f t="shared" si="7"/>
        <v>0</v>
      </c>
      <c r="F86" s="328"/>
      <c r="G86" s="328"/>
    </row>
    <row r="87" spans="1:7" s="564" customFormat="1" ht="12.75" customHeight="1">
      <c r="A87" s="237" t="s">
        <v>1663</v>
      </c>
      <c r="B87" s="327">
        <f>'Sources and Uses Budget'!C86</f>
        <v>0</v>
      </c>
      <c r="C87" s="327">
        <f>'Sources and Uses Budget'!C86</f>
        <v>0</v>
      </c>
      <c r="D87" s="327">
        <f>'Sources and Uses Budget'!C86</f>
        <v>0</v>
      </c>
      <c r="E87" s="329">
        <f t="shared" si="7"/>
        <v>0</v>
      </c>
      <c r="F87" s="328"/>
      <c r="G87" s="328"/>
    </row>
    <row r="88" spans="1:7" s="564" customFormat="1" ht="12.75" customHeight="1">
      <c r="A88" s="237" t="s">
        <v>1664</v>
      </c>
      <c r="B88" s="327">
        <f>'Sources and Uses Budget'!C87</f>
        <v>67285</v>
      </c>
      <c r="C88" s="327">
        <f>'Sources and Uses Budget'!C87</f>
        <v>67285</v>
      </c>
      <c r="D88" s="327">
        <f>'Sources and Uses Budget'!C87</f>
        <v>67285</v>
      </c>
      <c r="E88" s="329">
        <f t="shared" si="7"/>
        <v>0</v>
      </c>
      <c r="F88" s="328"/>
      <c r="G88" s="328"/>
    </row>
    <row r="89" spans="1:7" s="564" customFormat="1" ht="12.75" customHeight="1">
      <c r="A89" s="237" t="s">
        <v>1665</v>
      </c>
      <c r="B89" s="327">
        <f>'Sources and Uses Budget'!C88</f>
        <v>40000</v>
      </c>
      <c r="C89" s="327">
        <f>'Sources and Uses Budget'!C88</f>
        <v>40000</v>
      </c>
      <c r="D89" s="327">
        <f>'Sources and Uses Budget'!C88</f>
        <v>40000</v>
      </c>
      <c r="E89" s="329">
        <f t="shared" si="7"/>
        <v>0</v>
      </c>
      <c r="F89" s="328"/>
      <c r="G89" s="328"/>
    </row>
    <row r="90" spans="1:7" s="564" customFormat="1" ht="12.75" customHeight="1">
      <c r="A90" s="237" t="s">
        <v>1666</v>
      </c>
      <c r="B90" s="327">
        <f>'Sources and Uses Budget'!C89</f>
        <v>10000</v>
      </c>
      <c r="C90" s="327">
        <f>'Sources and Uses Budget'!C89</f>
        <v>10000</v>
      </c>
      <c r="D90" s="327">
        <f>'Sources and Uses Budget'!C89</f>
        <v>10000</v>
      </c>
      <c r="E90" s="329">
        <f t="shared" si="7"/>
        <v>0</v>
      </c>
      <c r="F90" s="328"/>
      <c r="G90" s="328"/>
    </row>
    <row r="91" spans="1:7" s="564" customFormat="1" ht="12.75" customHeight="1">
      <c r="A91" s="248" t="s">
        <v>1667</v>
      </c>
      <c r="B91" s="327">
        <f>'Sources and Uses Budget'!C90</f>
        <v>45000</v>
      </c>
      <c r="C91" s="327">
        <f>'Sources and Uses Budget'!C90</f>
        <v>45000</v>
      </c>
      <c r="D91" s="327">
        <f>'Sources and Uses Budget'!C90</f>
        <v>45000</v>
      </c>
      <c r="E91" s="329">
        <f t="shared" si="7"/>
        <v>0</v>
      </c>
      <c r="F91" s="328"/>
      <c r="G91" s="328"/>
    </row>
    <row r="92" spans="1:7" s="564" customFormat="1" ht="12.75" customHeight="1">
      <c r="A92" s="248" t="s">
        <v>1668</v>
      </c>
      <c r="B92" s="327">
        <f>'Sources and Uses Budget'!C91</f>
        <v>7500</v>
      </c>
      <c r="C92" s="327">
        <f>'Sources and Uses Budget'!C91</f>
        <v>7500</v>
      </c>
      <c r="D92" s="327">
        <f>'Sources and Uses Budget'!C91</f>
        <v>7500</v>
      </c>
      <c r="E92" s="329">
        <f t="shared" si="7"/>
        <v>0</v>
      </c>
      <c r="F92" s="328"/>
      <c r="G92" s="328"/>
    </row>
    <row r="93" spans="1:7" s="564" customFormat="1" ht="12.75" customHeight="1">
      <c r="A93" s="244" t="s">
        <v>1621</v>
      </c>
      <c r="B93" s="327">
        <f>'Sources and Uses Budget'!C92</f>
        <v>0</v>
      </c>
      <c r="C93" s="327">
        <f>'Sources and Uses Budget'!C92</f>
        <v>0</v>
      </c>
      <c r="D93" s="327">
        <f>'Sources and Uses Budget'!C92</f>
        <v>0</v>
      </c>
      <c r="E93" s="329">
        <f t="shared" si="7"/>
        <v>0</v>
      </c>
      <c r="F93" s="328"/>
      <c r="G93" s="328"/>
    </row>
    <row r="94" spans="1:7" s="564" customFormat="1" ht="12.75" customHeight="1">
      <c r="A94" s="244" t="s">
        <v>1621</v>
      </c>
      <c r="B94" s="327">
        <f>'Sources and Uses Budget'!C93</f>
        <v>0</v>
      </c>
      <c r="C94" s="327">
        <f>'Sources and Uses Budget'!C93</f>
        <v>0</v>
      </c>
      <c r="D94" s="327">
        <f>'Sources and Uses Budget'!C93</f>
        <v>0</v>
      </c>
      <c r="E94" s="329">
        <f t="shared" si="7"/>
        <v>0</v>
      </c>
      <c r="F94" s="328"/>
      <c r="G94" s="328"/>
    </row>
    <row r="95" spans="1:7" s="564" customFormat="1" ht="12.75" customHeight="1">
      <c r="A95" s="244" t="s">
        <v>1621</v>
      </c>
      <c r="B95" s="327">
        <f>'Sources and Uses Budget'!C94</f>
        <v>0</v>
      </c>
      <c r="C95" s="327">
        <f>'Sources and Uses Budget'!C94</f>
        <v>0</v>
      </c>
      <c r="D95" s="327">
        <f>'Sources and Uses Budget'!C94</f>
        <v>0</v>
      </c>
      <c r="E95" s="329">
        <f t="shared" si="7"/>
        <v>0</v>
      </c>
      <c r="F95" s="328"/>
      <c r="G95" s="328"/>
    </row>
    <row r="96" spans="1:7" s="564" customFormat="1" ht="12.75" customHeight="1">
      <c r="A96" s="241" t="s">
        <v>1669</v>
      </c>
      <c r="B96" s="888">
        <f>'Sources and Uses Budget'!C95</f>
        <v>1948466</v>
      </c>
      <c r="C96" s="888">
        <f>'Sources and Uses Budget'!C95</f>
        <v>1948466</v>
      </c>
      <c r="D96" s="888">
        <f>'Sources and Uses Budget'!C95</f>
        <v>1948466</v>
      </c>
      <c r="E96" s="329">
        <f t="shared" si="7"/>
        <v>0</v>
      </c>
      <c r="F96" s="328"/>
      <c r="G96" s="328"/>
    </row>
    <row r="97" spans="1:7" s="564" customFormat="1" ht="12.75" customHeight="1">
      <c r="A97" s="241" t="s">
        <v>1670</v>
      </c>
      <c r="B97" s="888">
        <f>'Sources and Uses Budget'!C96</f>
        <v>27583438</v>
      </c>
      <c r="C97" s="888">
        <f>'Sources and Uses Budget'!C96</f>
        <v>27583438</v>
      </c>
      <c r="D97" s="888">
        <f>'Sources and Uses Budget'!C96</f>
        <v>27583438</v>
      </c>
      <c r="E97" s="329">
        <f t="shared" si="7"/>
        <v>0</v>
      </c>
      <c r="F97" s="328"/>
      <c r="G97" s="328"/>
    </row>
    <row r="98" spans="1:7" s="564" customFormat="1" ht="12.75" customHeight="1">
      <c r="A98" s="877" t="s">
        <v>1671</v>
      </c>
      <c r="B98" s="325"/>
      <c r="C98" s="325"/>
      <c r="D98" s="325"/>
      <c r="E98" s="325"/>
      <c r="F98" s="325"/>
      <c r="G98" s="325"/>
    </row>
    <row r="99" spans="1:7" s="564" customFormat="1" ht="12.75" customHeight="1">
      <c r="A99" s="237" t="s">
        <v>1672</v>
      </c>
      <c r="B99" s="327">
        <f>'Sources and Uses Budget'!C98</f>
        <v>2500000</v>
      </c>
      <c r="C99" s="327">
        <f>'Sources and Uses Budget'!C98</f>
        <v>2500000</v>
      </c>
      <c r="D99" s="327">
        <f>'Sources and Uses Budget'!C98</f>
        <v>2500000</v>
      </c>
      <c r="E99" s="329">
        <f t="shared" ref="E99:E105" si="8">C99-B99</f>
        <v>0</v>
      </c>
      <c r="F99" s="328"/>
      <c r="G99" s="328"/>
    </row>
    <row r="100" spans="1:7" s="564" customFormat="1" ht="12" customHeight="1">
      <c r="A100" s="237" t="s">
        <v>2407</v>
      </c>
      <c r="B100" s="327">
        <f>'Sources and Uses Budget'!C99</f>
        <v>0</v>
      </c>
      <c r="C100" s="327">
        <f>'Sources and Uses Budget'!C99</f>
        <v>0</v>
      </c>
      <c r="D100" s="327">
        <f>'Sources and Uses Budget'!C99</f>
        <v>0</v>
      </c>
      <c r="E100" s="329">
        <f t="shared" si="8"/>
        <v>0</v>
      </c>
      <c r="F100" s="328"/>
      <c r="G100" s="328"/>
    </row>
    <row r="101" spans="1:7" s="564" customFormat="1" ht="12.75" customHeight="1">
      <c r="A101" s="237" t="s">
        <v>1674</v>
      </c>
      <c r="B101" s="327">
        <f>'Sources and Uses Budget'!C100</f>
        <v>0</v>
      </c>
      <c r="C101" s="327">
        <f>'Sources and Uses Budget'!C100</f>
        <v>0</v>
      </c>
      <c r="D101" s="327">
        <f>'Sources and Uses Budget'!C100</f>
        <v>0</v>
      </c>
      <c r="E101" s="329">
        <f t="shared" si="8"/>
        <v>0</v>
      </c>
      <c r="F101" s="328"/>
      <c r="G101" s="328"/>
    </row>
    <row r="102" spans="1:7" s="564" customFormat="1" ht="12.75" customHeight="1">
      <c r="A102" s="237" t="s">
        <v>2408</v>
      </c>
      <c r="B102" s="327">
        <f>'Sources and Uses Budget'!C101</f>
        <v>0</v>
      </c>
      <c r="C102" s="327">
        <f>'Sources and Uses Budget'!C101</f>
        <v>0</v>
      </c>
      <c r="D102" s="327">
        <f>'Sources and Uses Budget'!C101</f>
        <v>0</v>
      </c>
      <c r="E102" s="329">
        <f t="shared" si="8"/>
        <v>0</v>
      </c>
      <c r="F102" s="328"/>
      <c r="G102" s="328"/>
    </row>
    <row r="103" spans="1:7" s="564" customFormat="1" ht="12.75" customHeight="1">
      <c r="A103" s="883" t="s">
        <v>1621</v>
      </c>
      <c r="B103" s="327">
        <f>'Sources and Uses Budget'!C102</f>
        <v>0</v>
      </c>
      <c r="C103" s="327">
        <f>'Sources and Uses Budget'!C102</f>
        <v>0</v>
      </c>
      <c r="D103" s="327">
        <f>'Sources and Uses Budget'!C102</f>
        <v>0</v>
      </c>
      <c r="E103" s="329">
        <f t="shared" si="8"/>
        <v>0</v>
      </c>
      <c r="F103" s="328"/>
      <c r="G103" s="328"/>
    </row>
    <row r="104" spans="1:7" s="564" customFormat="1" ht="12.75" customHeight="1">
      <c r="A104" s="881" t="s">
        <v>1676</v>
      </c>
      <c r="B104" s="888">
        <f>'Sources and Uses Budget'!C103</f>
        <v>2500000</v>
      </c>
      <c r="C104" s="888">
        <f>'Sources and Uses Budget'!C103</f>
        <v>2500000</v>
      </c>
      <c r="D104" s="888">
        <f>'Sources and Uses Budget'!C103</f>
        <v>2500000</v>
      </c>
      <c r="E104" s="329">
        <f t="shared" si="8"/>
        <v>0</v>
      </c>
      <c r="F104" s="328"/>
      <c r="G104" s="328"/>
    </row>
    <row r="105" spans="1:7" s="564" customFormat="1" ht="12.75" customHeight="1">
      <c r="A105" s="881" t="s">
        <v>2409</v>
      </c>
      <c r="B105" s="888">
        <f>'Sources and Uses Budget'!C104</f>
        <v>30083438</v>
      </c>
      <c r="C105" s="888">
        <f>'Sources and Uses Budget'!C104</f>
        <v>30083438</v>
      </c>
      <c r="D105" s="888">
        <f>'Sources and Uses Budget'!C104</f>
        <v>30083438</v>
      </c>
      <c r="E105" s="329">
        <f t="shared" si="8"/>
        <v>0</v>
      </c>
      <c r="F105" s="328"/>
      <c r="G105" s="887"/>
    </row>
    <row r="106" spans="1:7" s="564" customFormat="1" ht="12.75" customHeight="1">
      <c r="A106" s="334" t="s">
        <v>2410</v>
      </c>
      <c r="B106" s="136"/>
      <c r="C106" s="335"/>
      <c r="D106" s="336"/>
      <c r="E106" s="350"/>
      <c r="F106" s="326"/>
      <c r="G106" s="333"/>
    </row>
    <row r="107" spans="1:7" ht="12" customHeight="1"/>
  </sheetData>
  <printOptions horizontalCentered="1"/>
  <pageMargins left="0.5" right="0.5" top="0.5" bottom="0.25" header="0.5" footer="0.25"/>
  <pageSetup scale="49" firstPageNumber="22" fitToHeight="3" orientation="portrait" useFirstPageNumber="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97"/>
  <sheetViews>
    <sheetView workbookViewId="0">
      <selection activeCell="A2" sqref="A2:J2"/>
    </sheetView>
  </sheetViews>
  <sheetFormatPr defaultColWidth="0" defaultRowHeight="12.75" zeroHeight="1"/>
  <cols>
    <col min="1" max="10" width="9.140625" customWidth="1"/>
    <col min="11" max="11" width="8.85546875" customWidth="1"/>
    <col min="12" max="12" width="8.85546875" hidden="1" customWidth="1"/>
    <col min="13" max="16384" width="8.85546875" hidden="1"/>
  </cols>
  <sheetData>
    <row r="1" spans="1:10" ht="14.25" customHeight="1"/>
    <row r="2" spans="1:10" ht="15.75" customHeight="1">
      <c r="A2" s="991" t="s">
        <v>679</v>
      </c>
      <c r="B2" s="976"/>
      <c r="C2" s="976"/>
      <c r="D2" s="976"/>
      <c r="E2" s="976"/>
      <c r="F2" s="976"/>
      <c r="G2" s="976"/>
      <c r="H2" s="976"/>
      <c r="I2" s="976"/>
      <c r="J2" s="976"/>
    </row>
    <row r="3" spans="1:10" ht="15" customHeight="1">
      <c r="A3" s="995" t="s">
        <v>1209</v>
      </c>
      <c r="B3" s="976"/>
      <c r="C3" s="976"/>
      <c r="D3" s="976"/>
      <c r="E3" s="976"/>
      <c r="F3" s="976"/>
      <c r="G3" s="976"/>
      <c r="H3" s="976"/>
      <c r="I3" s="976"/>
      <c r="J3" s="976"/>
    </row>
    <row r="5" spans="1:10" ht="12.75" customHeight="1">
      <c r="A5" s="984" t="s">
        <v>1210</v>
      </c>
      <c r="B5" s="976"/>
      <c r="C5" s="976"/>
      <c r="D5" s="976"/>
      <c r="E5" s="976"/>
      <c r="F5" s="976"/>
      <c r="G5" s="976"/>
      <c r="H5" s="976"/>
      <c r="I5" s="976"/>
      <c r="J5" s="976"/>
    </row>
    <row r="6" spans="1:10">
      <c r="A6" s="976"/>
      <c r="B6" s="976"/>
      <c r="C6" s="976"/>
      <c r="D6" s="976"/>
      <c r="E6" s="976"/>
      <c r="F6" s="976"/>
      <c r="G6" s="976"/>
      <c r="H6" s="976"/>
      <c r="I6" s="976"/>
      <c r="J6" s="976"/>
    </row>
    <row r="7" spans="1:10">
      <c r="A7" s="49"/>
      <c r="B7" s="49"/>
      <c r="C7" s="49"/>
      <c r="D7" s="49"/>
      <c r="E7" s="49"/>
      <c r="F7" s="49"/>
      <c r="G7" s="49"/>
      <c r="H7" s="49"/>
      <c r="I7" s="49"/>
      <c r="J7" s="49"/>
    </row>
    <row r="8" spans="1:10">
      <c r="A8" s="5" t="s">
        <v>1211</v>
      </c>
      <c r="B8" s="49"/>
      <c r="C8" s="49"/>
      <c r="D8" s="49"/>
      <c r="E8" s="49"/>
      <c r="F8" s="49"/>
      <c r="G8" s="49"/>
      <c r="H8" s="49"/>
      <c r="I8" s="49"/>
      <c r="J8" s="49"/>
    </row>
    <row r="9" spans="1:10">
      <c r="A9" s="300"/>
      <c r="B9" s="300"/>
      <c r="C9" s="300"/>
      <c r="D9" s="300"/>
      <c r="E9" s="300"/>
      <c r="F9" s="300"/>
      <c r="G9" s="300"/>
      <c r="H9" s="300"/>
      <c r="I9" s="300"/>
      <c r="J9" s="300"/>
    </row>
    <row r="10" spans="1:10" s="807" customFormat="1" ht="12.75" customHeight="1">
      <c r="A10" s="992" t="s">
        <v>1212</v>
      </c>
      <c r="B10" s="992"/>
      <c r="C10" s="992"/>
      <c r="D10" s="992"/>
      <c r="E10" s="992"/>
      <c r="F10" s="992"/>
      <c r="G10" s="992"/>
      <c r="H10" s="992"/>
      <c r="I10" s="992"/>
      <c r="J10" s="992"/>
    </row>
    <row r="11" spans="1:10" s="807" customFormat="1" ht="12.75" customHeight="1">
      <c r="A11" s="992"/>
      <c r="B11" s="992"/>
      <c r="C11" s="992"/>
      <c r="D11" s="992"/>
      <c r="E11" s="992"/>
      <c r="F11" s="992"/>
      <c r="G11" s="992"/>
      <c r="H11" s="992"/>
      <c r="I11" s="992"/>
      <c r="J11" s="992"/>
    </row>
    <row r="12" spans="1:10" s="807" customFormat="1" ht="12.75" customHeight="1">
      <c r="A12" s="992"/>
      <c r="B12" s="992"/>
      <c r="C12" s="992"/>
      <c r="D12" s="992"/>
      <c r="E12" s="992"/>
      <c r="F12" s="992"/>
      <c r="G12" s="992"/>
      <c r="H12" s="992"/>
      <c r="I12" s="992"/>
      <c r="J12" s="992"/>
    </row>
    <row r="13" spans="1:10" s="807" customFormat="1" ht="12.75" customHeight="1">
      <c r="A13" s="992"/>
      <c r="B13" s="992"/>
      <c r="C13" s="992"/>
      <c r="D13" s="992"/>
      <c r="E13" s="992"/>
      <c r="F13" s="992"/>
      <c r="G13" s="992"/>
      <c r="H13" s="992"/>
      <c r="I13" s="992"/>
      <c r="J13" s="992"/>
    </row>
    <row r="14" spans="1:10" s="807" customFormat="1" ht="12.75" customHeight="1">
      <c r="A14" s="992"/>
      <c r="B14" s="992"/>
      <c r="C14" s="992"/>
      <c r="D14" s="992"/>
      <c r="E14" s="992"/>
      <c r="F14" s="992"/>
      <c r="G14" s="992"/>
      <c r="H14" s="992"/>
      <c r="I14" s="992"/>
      <c r="J14" s="992"/>
    </row>
    <row r="16" spans="1:10" ht="12.75" customHeight="1">
      <c r="A16" s="992" t="s">
        <v>1213</v>
      </c>
      <c r="B16" s="976"/>
      <c r="C16" s="976"/>
      <c r="D16" s="976"/>
      <c r="E16" s="976"/>
      <c r="F16" s="976"/>
      <c r="G16" s="976"/>
      <c r="H16" s="976"/>
      <c r="I16" s="976"/>
      <c r="J16" s="976"/>
    </row>
    <row r="17" spans="1:10" ht="12.75" customHeight="1">
      <c r="A17" s="976"/>
      <c r="B17" s="976"/>
      <c r="C17" s="976"/>
      <c r="D17" s="976"/>
      <c r="E17" s="976"/>
      <c r="F17" s="976"/>
      <c r="G17" s="976"/>
      <c r="H17" s="976"/>
      <c r="I17" s="976"/>
      <c r="J17" s="976"/>
    </row>
    <row r="18" spans="1:10">
      <c r="A18" s="976"/>
      <c r="B18" s="976"/>
      <c r="C18" s="976"/>
      <c r="D18" s="976"/>
      <c r="E18" s="976"/>
      <c r="F18" s="976"/>
      <c r="G18" s="976"/>
      <c r="H18" s="976"/>
      <c r="I18" s="976"/>
      <c r="J18" s="976"/>
    </row>
    <row r="19" spans="1:10">
      <c r="A19" s="976"/>
      <c r="B19" s="976"/>
      <c r="C19" s="976"/>
      <c r="D19" s="976"/>
      <c r="E19" s="976"/>
      <c r="F19" s="976"/>
      <c r="G19" s="976"/>
      <c r="H19" s="976"/>
      <c r="I19" s="976"/>
      <c r="J19" s="976"/>
    </row>
    <row r="20" spans="1:10">
      <c r="A20" s="976"/>
      <c r="B20" s="976"/>
      <c r="C20" s="976"/>
      <c r="D20" s="976"/>
      <c r="E20" s="976"/>
      <c r="F20" s="976"/>
      <c r="G20" s="976"/>
      <c r="H20" s="976"/>
      <c r="I20" s="976"/>
      <c r="J20" s="976"/>
    </row>
    <row r="21" spans="1:10">
      <c r="A21" s="976"/>
      <c r="B21" s="976"/>
      <c r="C21" s="976"/>
      <c r="D21" s="976"/>
      <c r="E21" s="976"/>
      <c r="F21" s="976"/>
      <c r="G21" s="976"/>
      <c r="H21" s="976"/>
      <c r="I21" s="976"/>
      <c r="J21" s="976"/>
    </row>
    <row r="22" spans="1:10">
      <c r="A22" s="300"/>
      <c r="B22" s="300"/>
      <c r="C22" s="300"/>
      <c r="D22" s="300"/>
      <c r="E22" s="300"/>
      <c r="F22" s="300"/>
      <c r="G22" s="300"/>
      <c r="H22" s="300"/>
      <c r="I22" s="300"/>
      <c r="J22" s="300"/>
    </row>
    <row r="23" spans="1:10">
      <c r="A23" s="5" t="s">
        <v>1214</v>
      </c>
      <c r="B23" s="300"/>
      <c r="C23" s="300"/>
      <c r="D23" s="300"/>
      <c r="E23" s="300"/>
      <c r="F23" s="300"/>
      <c r="G23" s="300"/>
      <c r="H23" s="300"/>
      <c r="I23" s="300"/>
      <c r="J23" s="300"/>
    </row>
    <row r="24" spans="1:10" ht="15" customHeight="1">
      <c r="A24" s="351" t="s">
        <v>1151</v>
      </c>
      <c r="B24" s="351"/>
      <c r="C24" s="351"/>
      <c r="D24" s="351"/>
      <c r="E24" s="351"/>
      <c r="F24" s="351"/>
      <c r="G24" s="351"/>
      <c r="H24" s="351"/>
      <c r="I24" s="351"/>
      <c r="J24" s="925"/>
    </row>
    <row r="25" spans="1:10">
      <c r="A25" s="983" t="s">
        <v>1215</v>
      </c>
      <c r="B25" s="976"/>
      <c r="C25" s="976"/>
      <c r="D25" s="976"/>
      <c r="E25" s="976"/>
    </row>
    <row r="81" spans="1:10">
      <c r="A81" s="993" t="s">
        <v>1216</v>
      </c>
      <c r="B81" s="976"/>
      <c r="C81" s="976"/>
      <c r="D81" s="976"/>
      <c r="E81" s="976"/>
      <c r="F81" s="976"/>
      <c r="G81" s="976"/>
      <c r="H81" s="976"/>
      <c r="I81" s="976"/>
      <c r="J81" s="976"/>
    </row>
    <row r="82" spans="1:10">
      <c r="A82" s="976"/>
      <c r="B82" s="976"/>
      <c r="C82" s="976"/>
      <c r="D82" s="976"/>
      <c r="E82" s="976"/>
      <c r="F82" s="976"/>
      <c r="G82" s="976"/>
      <c r="H82" s="976"/>
      <c r="I82" s="976"/>
      <c r="J82" s="976"/>
    </row>
    <row r="83" spans="1:10">
      <c r="A83" s="976"/>
      <c r="B83" s="976"/>
      <c r="C83" s="976"/>
      <c r="D83" s="976"/>
      <c r="E83" s="976"/>
      <c r="F83" s="976"/>
      <c r="G83" s="976"/>
      <c r="H83" s="976"/>
      <c r="I83" s="976"/>
      <c r="J83" s="976"/>
    </row>
    <row r="85" spans="1:10">
      <c r="A85" s="5" t="s">
        <v>1215</v>
      </c>
    </row>
    <row r="95" spans="1:10">
      <c r="A95" s="994" t="s">
        <v>1217</v>
      </c>
      <c r="B95" s="976"/>
      <c r="C95" s="976"/>
      <c r="D95" s="976"/>
      <c r="E95" s="976"/>
      <c r="F95" s="976"/>
      <c r="G95" s="976"/>
      <c r="H95" s="976"/>
      <c r="I95" s="976"/>
    </row>
    <row r="96" spans="1:10">
      <c r="A96" s="985" t="s">
        <v>1218</v>
      </c>
      <c r="B96" s="976"/>
      <c r="C96" s="976"/>
      <c r="D96" s="976"/>
      <c r="E96" s="976"/>
      <c r="F96" s="181"/>
    </row>
    <row r="97" spans="1:6">
      <c r="A97" s="985" t="s">
        <v>1219</v>
      </c>
      <c r="B97" s="976"/>
      <c r="C97" s="976"/>
      <c r="D97" s="976"/>
      <c r="E97" s="976"/>
      <c r="F97" s="181"/>
    </row>
  </sheetData>
  <sheetProtection algorithmName="SHA-512" hashValue="sxPHck89Qy/aCe0hm+RNqklpHstr7dmUvoplJrNgWbD4lHQnvoRvEdJUnll67gGkUanxE4mr/z7z9uJIn2N24w==" saltValue="peZWGgvhEn9nlP1iOBYspQ==" spinCount="100000" sheet="1" objects="1" scenarios="1"/>
  <mergeCells count="10">
    <mergeCell ref="A2:J2"/>
    <mergeCell ref="A10:J14"/>
    <mergeCell ref="A97:E97"/>
    <mergeCell ref="A81:J83"/>
    <mergeCell ref="A95:I95"/>
    <mergeCell ref="A5:J6"/>
    <mergeCell ref="A96:E96"/>
    <mergeCell ref="A25:E25"/>
    <mergeCell ref="A3:J3"/>
    <mergeCell ref="A16:J21"/>
  </mergeCells>
  <hyperlinks>
    <hyperlink ref="A96" r:id="rId1" xr:uid="{00000000-0004-0000-0100-000000000000}"/>
    <hyperlink ref="A97" r:id="rId2" xr:uid="{00000000-0004-0000-0100-000001000000}"/>
  </hyperlinks>
  <pageMargins left="0.7" right="0.7" top="0.75" bottom="0.75" header="0.3" footer="0.3"/>
  <pageSetup scale="98" orientation="portrait"/>
  <rowBreaks count="1" manualBreakCount="1">
    <brk id="24"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536" workbookViewId="0">
      <selection activeCell="B554" sqref="B55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ustomWidth="1"/>
    <col min="16384" max="16384" width="0.28515625" hidden="1" customWidth="1"/>
  </cols>
  <sheetData>
    <row r="1" spans="1:9" ht="13.7" customHeight="1"/>
    <row r="2" spans="1:9" ht="12.75" customHeight="1">
      <c r="A2" s="996" t="s">
        <v>1220</v>
      </c>
      <c r="B2" s="997"/>
      <c r="C2" s="997"/>
      <c r="D2" s="983"/>
      <c r="E2" s="983"/>
      <c r="F2" s="983"/>
      <c r="G2" s="983"/>
      <c r="I2" t="s">
        <v>48</v>
      </c>
    </row>
    <row r="3" spans="1:9" ht="12.75" customHeight="1">
      <c r="A3" s="188"/>
      <c r="B3" s="188"/>
      <c r="I3" s="5" t="s">
        <v>1221</v>
      </c>
    </row>
    <row r="4" spans="1:9" ht="12.75" customHeight="1">
      <c r="A4" s="1036" t="s">
        <v>1222</v>
      </c>
      <c r="B4" s="997"/>
      <c r="C4" s="997"/>
      <c r="D4" s="983"/>
      <c r="E4" s="983"/>
      <c r="F4" s="983"/>
      <c r="G4" s="983"/>
      <c r="I4" s="5" t="s">
        <v>1223</v>
      </c>
    </row>
    <row r="5" spans="1:9" ht="12.75" customHeight="1">
      <c r="A5" s="1036" t="s">
        <v>1224</v>
      </c>
      <c r="B5" s="997"/>
      <c r="C5" s="997"/>
      <c r="D5" s="983"/>
      <c r="E5" s="983"/>
      <c r="F5" s="983"/>
      <c r="G5" s="983"/>
      <c r="I5" t="s">
        <v>155</v>
      </c>
    </row>
    <row r="6" spans="1:9" ht="13.7" customHeight="1"/>
    <row r="7" spans="1:9" ht="12.75" customHeight="1">
      <c r="A7" s="1022" t="s">
        <v>1225</v>
      </c>
      <c r="B7" s="997"/>
      <c r="C7" s="997"/>
      <c r="D7" s="983"/>
      <c r="E7" s="983"/>
      <c r="F7" s="983"/>
      <c r="G7" s="983"/>
    </row>
    <row r="8" spans="1:9" ht="12.75" customHeight="1">
      <c r="A8" s="997"/>
      <c r="B8" s="997"/>
      <c r="C8" s="997"/>
      <c r="D8" s="983"/>
      <c r="E8" s="983"/>
      <c r="F8" s="983"/>
      <c r="G8" s="983"/>
    </row>
    <row r="9" spans="1:9" ht="12.75" customHeight="1">
      <c r="A9" s="190"/>
      <c r="B9" s="190"/>
      <c r="C9" s="188"/>
      <c r="D9" s="188"/>
      <c r="E9" s="188"/>
      <c r="F9" s="188"/>
      <c r="G9" s="188"/>
    </row>
    <row r="10" spans="1:9" ht="12.75" customHeight="1">
      <c r="A10" s="1001" t="s">
        <v>1226</v>
      </c>
      <c r="B10" s="973"/>
      <c r="C10" s="973"/>
      <c r="D10" s="973"/>
      <c r="E10" s="973"/>
      <c r="F10" s="973"/>
      <c r="G10" s="973"/>
    </row>
    <row r="11" spans="1:9" ht="12.75" customHeight="1">
      <c r="A11" s="188"/>
      <c r="B11" s="188"/>
    </row>
    <row r="12" spans="1:9" ht="13.7" customHeight="1">
      <c r="C12" s="188"/>
      <c r="D12" s="1027" t="s">
        <v>1227</v>
      </c>
      <c r="E12" s="983"/>
      <c r="F12" s="983"/>
      <c r="G12" s="605"/>
    </row>
    <row r="13" spans="1:9" ht="12.75" customHeight="1">
      <c r="C13" s="188"/>
      <c r="D13" s="983"/>
      <c r="E13" s="983"/>
      <c r="F13" s="983"/>
      <c r="G13" s="605"/>
    </row>
    <row r="14" spans="1:9" ht="12.75" customHeight="1">
      <c r="A14" s="189"/>
      <c r="B14" s="189"/>
      <c r="C14" s="189"/>
      <c r="D14" s="1002" t="s">
        <v>1228</v>
      </c>
      <c r="E14" s="983"/>
      <c r="F14" s="983"/>
    </row>
    <row r="15" spans="1:9" ht="12.75" customHeight="1">
      <c r="A15" s="189"/>
      <c r="B15" s="189"/>
      <c r="C15" s="189"/>
    </row>
    <row r="16" spans="1:9" ht="14.45" customHeight="1">
      <c r="A16" s="269"/>
      <c r="B16" s="604" t="s">
        <v>155</v>
      </c>
      <c r="C16" s="189"/>
      <c r="D16" s="981" t="s">
        <v>1229</v>
      </c>
      <c r="E16" s="983"/>
      <c r="F16" s="983"/>
      <c r="G16" s="351"/>
    </row>
    <row r="17" spans="1:7" ht="14.45" customHeight="1">
      <c r="A17" s="269"/>
      <c r="C17" s="189"/>
      <c r="D17" s="983"/>
      <c r="E17" s="983"/>
      <c r="F17" s="983"/>
      <c r="G17" s="351"/>
    </row>
    <row r="18" spans="1:7" ht="12.75" customHeight="1">
      <c r="A18" s="189"/>
      <c r="C18" s="189"/>
      <c r="D18" s="983"/>
      <c r="E18" s="983"/>
      <c r="F18" s="983"/>
      <c r="G18" s="351"/>
    </row>
    <row r="19" spans="1:7" ht="12.75" customHeight="1">
      <c r="A19" s="189"/>
      <c r="C19" s="189"/>
      <c r="D19" s="24"/>
      <c r="E19" s="126" t="s">
        <v>1230</v>
      </c>
      <c r="F19" s="24"/>
      <c r="G19" s="351"/>
    </row>
    <row r="20" spans="1:7" ht="12.75" customHeight="1">
      <c r="A20" s="189"/>
      <c r="B20" s="189"/>
      <c r="C20" s="189"/>
    </row>
    <row r="21" spans="1:7" ht="14.25" customHeight="1">
      <c r="A21" s="269"/>
      <c r="B21" s="604" t="s">
        <v>1223</v>
      </c>
      <c r="D21" s="981" t="s">
        <v>1231</v>
      </c>
      <c r="E21" s="983"/>
      <c r="F21" s="983"/>
    </row>
    <row r="22" spans="1:7" ht="12.75" customHeight="1">
      <c r="D22" s="983"/>
      <c r="E22" s="983"/>
      <c r="F22" s="983"/>
    </row>
    <row r="23" spans="1:7" ht="12.75" customHeight="1">
      <c r="D23" s="100"/>
      <c r="E23" s="102" t="s">
        <v>1232</v>
      </c>
      <c r="F23" s="100"/>
    </row>
    <row r="24" spans="1:7" ht="14.25" customHeight="1">
      <c r="A24" s="269"/>
      <c r="B24" s="269"/>
      <c r="D24" s="44"/>
    </row>
    <row r="25" spans="1:7" ht="14.25" customHeight="1">
      <c r="A25" s="269"/>
      <c r="B25" s="604" t="s">
        <v>155</v>
      </c>
      <c r="D25" s="1006" t="s">
        <v>1233</v>
      </c>
      <c r="E25" s="983"/>
      <c r="F25" s="983"/>
    </row>
    <row r="26" spans="1:7" ht="14.25" customHeight="1">
      <c r="A26" s="269"/>
      <c r="B26" s="269"/>
      <c r="D26" s="983"/>
      <c r="E26" s="983"/>
      <c r="F26" s="983"/>
    </row>
    <row r="27" spans="1:7" ht="14.25" customHeight="1">
      <c r="A27" s="269"/>
      <c r="B27" s="269"/>
      <c r="D27" s="44"/>
    </row>
    <row r="28" spans="1:7" ht="14.25" customHeight="1">
      <c r="A28" s="269"/>
      <c r="B28" s="604" t="s">
        <v>1223</v>
      </c>
      <c r="D28" s="981" t="s">
        <v>1234</v>
      </c>
      <c r="E28" s="983"/>
      <c r="F28" s="983"/>
    </row>
    <row r="29" spans="1:7" ht="14.25" customHeight="1">
      <c r="A29" s="269"/>
      <c r="B29" s="269"/>
      <c r="D29" s="983"/>
      <c r="E29" s="983"/>
      <c r="F29" s="983"/>
    </row>
    <row r="30" spans="1:7" ht="14.25" customHeight="1">
      <c r="A30" s="269"/>
      <c r="B30" s="269"/>
      <c r="D30" s="983"/>
      <c r="E30" s="983"/>
      <c r="F30" s="983"/>
    </row>
    <row r="31" spans="1:7" ht="14.25" customHeight="1">
      <c r="A31" s="269"/>
      <c r="B31" s="269"/>
      <c r="D31" s="983"/>
      <c r="E31" s="983"/>
      <c r="F31" s="983"/>
    </row>
    <row r="32" spans="1:7" ht="14.25" customHeight="1">
      <c r="A32" s="269"/>
      <c r="B32" s="269"/>
      <c r="D32" s="983"/>
      <c r="E32" s="983"/>
      <c r="F32" s="983"/>
    </row>
    <row r="33" spans="1:6" ht="14.25" customHeight="1">
      <c r="A33" s="269"/>
      <c r="B33" s="269"/>
      <c r="D33" s="572"/>
      <c r="F33" s="607"/>
    </row>
    <row r="34" spans="1:6" ht="14.45" customHeight="1">
      <c r="A34" s="269"/>
      <c r="B34" s="604" t="s">
        <v>155</v>
      </c>
      <c r="D34" s="1006" t="s">
        <v>1235</v>
      </c>
      <c r="E34" s="983"/>
      <c r="F34" s="983"/>
    </row>
    <row r="35" spans="1:6" ht="14.25" customHeight="1">
      <c r="A35" s="269"/>
      <c r="B35" s="269"/>
      <c r="D35" s="983"/>
      <c r="E35" s="983"/>
      <c r="F35" s="983"/>
    </row>
    <row r="36" spans="1:6" ht="14.25" customHeight="1">
      <c r="A36" s="269"/>
      <c r="B36" s="269"/>
      <c r="D36" s="207"/>
      <c r="E36" s="207"/>
      <c r="F36" s="207"/>
    </row>
    <row r="37" spans="1:6" ht="14.25" customHeight="1">
      <c r="A37" s="269"/>
      <c r="B37" s="604" t="s">
        <v>155</v>
      </c>
      <c r="D37" s="981" t="s">
        <v>1236</v>
      </c>
      <c r="E37" s="983"/>
      <c r="F37" s="983"/>
    </row>
    <row r="38" spans="1:6" ht="14.25" customHeight="1">
      <c r="A38" s="269"/>
      <c r="B38" s="269"/>
      <c r="D38" s="983"/>
      <c r="E38" s="983"/>
      <c r="F38" s="983"/>
    </row>
    <row r="39" spans="1:6" ht="14.25" customHeight="1">
      <c r="A39" s="269"/>
      <c r="B39" s="269"/>
      <c r="D39" s="983"/>
      <c r="E39" s="983"/>
      <c r="F39" s="983"/>
    </row>
    <row r="40" spans="1:6" ht="14.25" customHeight="1">
      <c r="A40" s="269"/>
      <c r="B40" s="269"/>
      <c r="D40" s="983"/>
      <c r="E40" s="983"/>
      <c r="F40" s="983"/>
    </row>
    <row r="41" spans="1:6" ht="14.25" customHeight="1">
      <c r="A41" s="269"/>
      <c r="B41" s="269"/>
      <c r="D41" s="983"/>
      <c r="E41" s="983"/>
      <c r="F41" s="983"/>
    </row>
    <row r="42" spans="1:6" ht="14.25" customHeight="1">
      <c r="A42" s="269"/>
      <c r="B42" s="269"/>
      <c r="D42" s="983"/>
      <c r="E42" s="983"/>
      <c r="F42" s="983"/>
    </row>
    <row r="43" spans="1:6" ht="14.25" customHeight="1">
      <c r="A43" s="269"/>
      <c r="B43" s="269"/>
      <c r="D43" s="983"/>
      <c r="E43" s="983"/>
      <c r="F43" s="983"/>
    </row>
    <row r="44" spans="1:6" ht="14.25" customHeight="1">
      <c r="A44" s="269"/>
      <c r="B44" s="269"/>
      <c r="D44" s="983"/>
      <c r="E44" s="983"/>
      <c r="F44" s="983"/>
    </row>
    <row r="45" spans="1:6" ht="14.25" customHeight="1">
      <c r="A45" s="269"/>
      <c r="B45" s="269"/>
      <c r="D45" s="24"/>
      <c r="E45" s="24"/>
      <c r="F45" s="24"/>
    </row>
    <row r="46" spans="1:6" ht="14.45" customHeight="1">
      <c r="A46" s="269"/>
      <c r="B46" s="604" t="s">
        <v>155</v>
      </c>
      <c r="D46" s="1006" t="s">
        <v>1237</v>
      </c>
      <c r="E46" s="983"/>
      <c r="F46" s="983"/>
    </row>
    <row r="47" spans="1:6" ht="14.25" customHeight="1">
      <c r="A47" s="269"/>
      <c r="B47" s="269"/>
      <c r="D47" s="983"/>
      <c r="E47" s="983"/>
      <c r="F47" s="983"/>
    </row>
    <row r="48" spans="1:6" ht="14.25" customHeight="1">
      <c r="A48" s="269"/>
      <c r="B48" s="269"/>
      <c r="D48" s="983"/>
      <c r="E48" s="983"/>
      <c r="F48" s="983"/>
    </row>
    <row r="49" spans="1:6" ht="14.25" customHeight="1">
      <c r="A49" s="269"/>
      <c r="B49" s="269"/>
      <c r="D49" s="983"/>
      <c r="E49" s="983"/>
      <c r="F49" s="983"/>
    </row>
    <row r="50" spans="1:6" ht="14.25" customHeight="1">
      <c r="A50" s="269"/>
      <c r="B50" s="269"/>
      <c r="D50" s="983"/>
      <c r="E50" s="983"/>
      <c r="F50" s="983"/>
    </row>
    <row r="51" spans="1:6" ht="14.25" customHeight="1">
      <c r="A51" s="269"/>
      <c r="B51" s="269"/>
      <c r="D51" s="44"/>
    </row>
    <row r="52" spans="1:6" ht="14.25" customHeight="1">
      <c r="A52" s="269"/>
      <c r="B52" s="604" t="s">
        <v>155</v>
      </c>
      <c r="D52" s="981" t="s">
        <v>1238</v>
      </c>
      <c r="E52" s="983"/>
      <c r="F52" s="983"/>
    </row>
    <row r="53" spans="1:6" ht="14.25" customHeight="1">
      <c r="A53" s="269"/>
      <c r="B53" s="269"/>
      <c r="D53" s="983"/>
      <c r="E53" s="983"/>
      <c r="F53" s="983"/>
    </row>
    <row r="54" spans="1:6" ht="14.25" customHeight="1">
      <c r="A54" s="269"/>
      <c r="B54" s="269"/>
      <c r="D54" s="983"/>
      <c r="E54" s="983"/>
      <c r="F54" s="983"/>
    </row>
    <row r="55" spans="1:6" ht="14.25" customHeight="1">
      <c r="A55" s="269"/>
      <c r="B55" s="269"/>
      <c r="D55" s="983"/>
      <c r="E55" s="983"/>
      <c r="F55" s="983"/>
    </row>
    <row r="56" spans="1:6" ht="14.25" customHeight="1">
      <c r="A56" s="269"/>
      <c r="B56" s="269"/>
      <c r="D56" s="983"/>
      <c r="E56" s="983"/>
      <c r="F56" s="983"/>
    </row>
    <row r="57" spans="1:6" ht="15" customHeight="1">
      <c r="A57" s="269"/>
      <c r="B57" s="269"/>
      <c r="D57" s="983"/>
      <c r="E57" s="983"/>
      <c r="F57" s="983"/>
    </row>
    <row r="58" spans="1:6" ht="14.25" customHeight="1">
      <c r="A58" s="269"/>
      <c r="B58" s="269"/>
    </row>
    <row r="59" spans="1:6" ht="14.25" customHeight="1">
      <c r="A59" s="269"/>
      <c r="B59" s="604" t="s">
        <v>155</v>
      </c>
      <c r="D59" s="981" t="s">
        <v>1239</v>
      </c>
      <c r="E59" s="983"/>
      <c r="F59" s="983"/>
    </row>
    <row r="60" spans="1:6" ht="14.25" customHeight="1">
      <c r="A60" s="269"/>
      <c r="B60" s="269"/>
      <c r="D60" s="983"/>
      <c r="E60" s="983"/>
      <c r="F60" s="983"/>
    </row>
    <row r="61" spans="1:6" ht="14.25" customHeight="1">
      <c r="A61" s="269"/>
      <c r="B61" s="269"/>
      <c r="D61" s="983"/>
      <c r="E61" s="983"/>
      <c r="F61" s="983"/>
    </row>
    <row r="62" spans="1:6" ht="14.25" customHeight="1">
      <c r="A62" s="269"/>
      <c r="B62" s="269"/>
      <c r="D62" s="983"/>
      <c r="E62" s="983"/>
      <c r="F62" s="983"/>
    </row>
    <row r="63" spans="1:6" ht="17.25" customHeight="1">
      <c r="A63" s="269"/>
      <c r="B63" s="269"/>
      <c r="D63" s="983"/>
      <c r="E63" s="983"/>
      <c r="F63" s="983"/>
    </row>
    <row r="64" spans="1:6" ht="14.25" customHeight="1">
      <c r="A64" s="269"/>
      <c r="B64" s="604" t="s">
        <v>155</v>
      </c>
      <c r="D64" s="1006" t="s">
        <v>1240</v>
      </c>
      <c r="E64" s="983"/>
      <c r="F64" s="983"/>
    </row>
    <row r="65" spans="1:6" ht="15" customHeight="1">
      <c r="A65" s="269"/>
      <c r="B65" s="269"/>
      <c r="D65" s="983"/>
      <c r="E65" s="983"/>
      <c r="F65" s="983"/>
    </row>
    <row r="66" spans="1:6" ht="21.6" customHeight="1">
      <c r="A66" s="269"/>
      <c r="B66" s="269"/>
      <c r="D66" s="983"/>
      <c r="E66" s="983"/>
      <c r="F66" s="983"/>
    </row>
    <row r="67" spans="1:6" ht="14.25" customHeight="1">
      <c r="A67" s="269"/>
      <c r="B67" s="269"/>
    </row>
    <row r="68" spans="1:6" ht="14.25" customHeight="1">
      <c r="A68" s="269"/>
      <c r="B68" s="604" t="s">
        <v>1223</v>
      </c>
      <c r="D68" s="981" t="s">
        <v>1241</v>
      </c>
      <c r="E68" s="983"/>
      <c r="F68" s="983"/>
    </row>
    <row r="69" spans="1:6" ht="12.75" customHeight="1">
      <c r="D69" s="983"/>
      <c r="E69" s="983"/>
      <c r="F69" s="983"/>
    </row>
    <row r="70" spans="1:6" ht="12.75" customHeight="1">
      <c r="D70" s="983"/>
      <c r="E70" s="983"/>
      <c r="F70" s="983"/>
    </row>
    <row r="71" spans="1:6" ht="14.25" customHeight="1">
      <c r="A71" s="269"/>
      <c r="B71" s="269"/>
      <c r="D71" s="207"/>
      <c r="E71" s="126" t="s">
        <v>1230</v>
      </c>
      <c r="F71" s="207"/>
    </row>
    <row r="72" spans="1:6" ht="14.25" customHeight="1">
      <c r="A72" s="269"/>
      <c r="B72" s="269"/>
    </row>
    <row r="73" spans="1:6" ht="14.25" customHeight="1">
      <c r="A73" s="269"/>
      <c r="B73" s="604" t="s">
        <v>155</v>
      </c>
      <c r="D73" s="981" t="s">
        <v>1242</v>
      </c>
      <c r="E73" s="983"/>
      <c r="F73" s="983"/>
    </row>
    <row r="74" spans="1:6" ht="12.75" customHeight="1">
      <c r="D74" s="983"/>
      <c r="E74" s="983"/>
      <c r="F74" s="983"/>
    </row>
    <row r="75" spans="1:6" ht="12.75" customHeight="1">
      <c r="D75" s="983"/>
      <c r="E75" s="983"/>
      <c r="F75" s="983"/>
    </row>
    <row r="76" spans="1:6" ht="12.75" customHeight="1"/>
    <row r="77" spans="1:6" ht="14.25" customHeight="1">
      <c r="A77" s="269" t="s">
        <v>1151</v>
      </c>
      <c r="B77" s="604" t="s">
        <v>155</v>
      </c>
      <c r="D77" s="1006" t="s">
        <v>1243</v>
      </c>
      <c r="E77" s="983"/>
      <c r="F77" s="983"/>
    </row>
    <row r="78" spans="1:6" ht="12.75" customHeight="1">
      <c r="D78" s="983"/>
      <c r="E78" s="983"/>
      <c r="F78" s="983"/>
    </row>
    <row r="79" spans="1:6" ht="12.75" customHeight="1"/>
    <row r="80" spans="1:6" ht="14.25" customHeight="1">
      <c r="A80" s="269" t="s">
        <v>1151</v>
      </c>
      <c r="B80" s="604" t="s">
        <v>1223</v>
      </c>
      <c r="D80" s="1006" t="s">
        <v>1244</v>
      </c>
      <c r="E80" s="983"/>
      <c r="F80" s="983"/>
    </row>
    <row r="81" spans="1:7" ht="12.75" customHeight="1">
      <c r="D81" s="983"/>
      <c r="E81" s="983"/>
      <c r="F81" s="983"/>
    </row>
    <row r="82" spans="1:7" ht="12.75" customHeight="1">
      <c r="D82" s="983"/>
      <c r="E82" s="983"/>
      <c r="F82" s="983"/>
    </row>
    <row r="83" spans="1:7" ht="12.75" customHeight="1">
      <c r="D83" s="44"/>
    </row>
    <row r="84" spans="1:7" ht="14.25" customHeight="1">
      <c r="A84" s="269" t="s">
        <v>1151</v>
      </c>
      <c r="B84" s="604" t="s">
        <v>1223</v>
      </c>
      <c r="D84" s="1006" t="s">
        <v>1245</v>
      </c>
      <c r="E84" s="983"/>
      <c r="F84" s="983"/>
    </row>
    <row r="85" spans="1:7" ht="12.75" customHeight="1">
      <c r="D85" s="983"/>
      <c r="E85" s="983"/>
      <c r="F85" s="983"/>
    </row>
    <row r="86" spans="1:7" ht="12.75" customHeight="1"/>
    <row r="87" spans="1:7" ht="12.75" customHeight="1">
      <c r="A87" s="1001" t="s">
        <v>1246</v>
      </c>
      <c r="B87" s="973"/>
      <c r="C87" s="973"/>
      <c r="D87" s="973"/>
      <c r="E87" s="973"/>
      <c r="F87" s="973"/>
      <c r="G87" s="973"/>
    </row>
    <row r="88" spans="1:7" ht="12.75" customHeight="1"/>
    <row r="89" spans="1:7" ht="13.7" customHeight="1">
      <c r="C89" s="586"/>
      <c r="D89" s="1019" t="s">
        <v>1247</v>
      </c>
      <c r="E89" s="983"/>
      <c r="F89" s="983"/>
    </row>
    <row r="90" spans="1:7" ht="13.7" customHeight="1">
      <c r="A90" s="44"/>
      <c r="B90" s="44"/>
      <c r="D90" s="1006" t="s">
        <v>1248</v>
      </c>
      <c r="E90" s="983"/>
      <c r="F90" s="983"/>
    </row>
    <row r="91" spans="1:7" ht="12.75" customHeight="1">
      <c r="A91" s="44"/>
      <c r="B91" s="44"/>
    </row>
    <row r="92" spans="1:7" ht="14.25" customHeight="1">
      <c r="A92" s="269"/>
      <c r="B92" s="604" t="s">
        <v>48</v>
      </c>
      <c r="D92" s="981" t="s">
        <v>1249</v>
      </c>
      <c r="E92" s="983"/>
      <c r="F92" s="983"/>
    </row>
    <row r="93" spans="1:7" ht="14.45" customHeight="1">
      <c r="A93" s="269"/>
      <c r="D93" s="983"/>
      <c r="E93" s="983"/>
      <c r="F93" s="983"/>
    </row>
    <row r="94" spans="1:7" ht="14.25" customHeight="1">
      <c r="A94" s="269"/>
      <c r="B94" s="269"/>
      <c r="D94" s="983"/>
      <c r="E94" s="983"/>
      <c r="F94" s="983"/>
    </row>
    <row r="95" spans="1:7" ht="14.25" customHeight="1">
      <c r="A95" s="269"/>
      <c r="B95" s="269"/>
      <c r="D95" s="983"/>
      <c r="E95" s="983"/>
      <c r="F95" s="983"/>
    </row>
    <row r="96" spans="1:7" ht="14.25" customHeight="1">
      <c r="A96" s="269"/>
      <c r="B96" s="269"/>
      <c r="D96" s="983"/>
      <c r="E96" s="983"/>
      <c r="F96" s="983"/>
    </row>
    <row r="97" spans="1:6" ht="14.25" customHeight="1">
      <c r="A97" s="269"/>
      <c r="B97" s="269"/>
      <c r="D97" s="983"/>
      <c r="E97" s="983"/>
      <c r="F97" s="983"/>
    </row>
    <row r="98" spans="1:6" ht="14.25" customHeight="1">
      <c r="A98" s="269"/>
      <c r="B98" s="269"/>
      <c r="D98" s="983"/>
      <c r="E98" s="983"/>
      <c r="F98" s="983"/>
    </row>
    <row r="99" spans="1:6" ht="14.25" customHeight="1">
      <c r="A99" s="269"/>
      <c r="B99" s="269"/>
      <c r="D99" s="983"/>
      <c r="E99" s="983"/>
      <c r="F99" s="983"/>
    </row>
    <row r="100" spans="1:6" ht="14.25" customHeight="1">
      <c r="A100" s="269"/>
      <c r="B100" s="269"/>
      <c r="D100" s="983"/>
      <c r="E100" s="983"/>
      <c r="F100" s="983"/>
    </row>
    <row r="101" spans="1:6" ht="14.45" customHeight="1">
      <c r="A101" s="269"/>
      <c r="B101" s="604" t="s">
        <v>155</v>
      </c>
      <c r="D101" s="1000" t="s">
        <v>1250</v>
      </c>
      <c r="E101" s="983"/>
      <c r="F101" s="983"/>
    </row>
    <row r="102" spans="1:6" ht="14.25" customHeight="1">
      <c r="A102" s="269"/>
      <c r="B102" s="269"/>
      <c r="D102" s="983"/>
      <c r="E102" s="983"/>
      <c r="F102" s="983"/>
    </row>
    <row r="103" spans="1:6" ht="14.25" customHeight="1">
      <c r="A103" s="269"/>
      <c r="B103" s="269"/>
      <c r="D103" s="983"/>
      <c r="E103" s="983"/>
      <c r="F103" s="983"/>
    </row>
    <row r="104" spans="1:6" ht="14.25" customHeight="1">
      <c r="A104" s="269"/>
      <c r="B104" s="269"/>
      <c r="D104" s="983"/>
      <c r="E104" s="983"/>
      <c r="F104" s="983"/>
    </row>
    <row r="105" spans="1:6" ht="14.25" customHeight="1">
      <c r="A105" s="269"/>
      <c r="B105" s="269"/>
      <c r="D105" s="983"/>
      <c r="E105" s="983"/>
      <c r="F105" s="983"/>
    </row>
    <row r="106" spans="1:6" ht="14.25" customHeight="1">
      <c r="A106" s="269"/>
      <c r="B106" s="269"/>
      <c r="D106" s="983"/>
      <c r="E106" s="983"/>
      <c r="F106" s="983"/>
    </row>
    <row r="107" spans="1:6" ht="14.25" customHeight="1">
      <c r="A107" s="269"/>
      <c r="B107" s="269"/>
      <c r="D107" s="983"/>
      <c r="E107" s="983"/>
      <c r="F107" s="983"/>
    </row>
    <row r="108" spans="1:6" ht="14.25" customHeight="1">
      <c r="A108" s="269"/>
      <c r="B108" s="269"/>
      <c r="D108" s="983"/>
      <c r="E108" s="983"/>
      <c r="F108" s="983"/>
    </row>
    <row r="109" spans="1:6" ht="14.25" customHeight="1">
      <c r="A109" s="269"/>
      <c r="B109" s="269"/>
      <c r="D109" s="983"/>
      <c r="E109" s="983"/>
      <c r="F109" s="983"/>
    </row>
    <row r="110" spans="1:6" ht="14.25" customHeight="1">
      <c r="A110" s="269"/>
      <c r="B110" s="269"/>
      <c r="D110" s="983"/>
      <c r="E110" s="983"/>
      <c r="F110" s="983"/>
    </row>
    <row r="111" spans="1:6" ht="14.25" customHeight="1">
      <c r="A111" s="269"/>
      <c r="B111" s="269"/>
      <c r="D111" s="983"/>
      <c r="E111" s="983"/>
      <c r="F111" s="983"/>
    </row>
    <row r="112" spans="1:6" ht="14.25" customHeight="1">
      <c r="A112" s="269"/>
      <c r="B112" s="269"/>
      <c r="D112" s="983"/>
      <c r="E112" s="983"/>
      <c r="F112" s="983"/>
    </row>
    <row r="113" spans="1:6" ht="14.25" customHeight="1">
      <c r="A113" s="269"/>
      <c r="B113" s="269"/>
      <c r="D113" s="983"/>
      <c r="E113" s="983"/>
      <c r="F113" s="983"/>
    </row>
    <row r="114" spans="1:6" ht="14.25" customHeight="1">
      <c r="A114" s="269"/>
      <c r="B114" s="604" t="s">
        <v>155</v>
      </c>
      <c r="D114" s="981" t="s">
        <v>1251</v>
      </c>
      <c r="E114" s="983"/>
      <c r="F114" s="983"/>
    </row>
    <row r="115" spans="1:6" ht="14.25" customHeight="1">
      <c r="A115" s="269"/>
      <c r="B115" s="269"/>
      <c r="D115" s="983"/>
      <c r="E115" s="983"/>
      <c r="F115" s="983"/>
    </row>
    <row r="116" spans="1:6" ht="14.25" customHeight="1">
      <c r="A116" s="269"/>
      <c r="B116" s="269"/>
      <c r="D116" s="983"/>
      <c r="E116" s="983"/>
      <c r="F116" s="983"/>
    </row>
    <row r="117" spans="1:6" ht="14.25" customHeight="1">
      <c r="A117" s="269"/>
      <c r="B117" s="269"/>
      <c r="D117" s="983"/>
      <c r="E117" s="983"/>
      <c r="F117" s="983"/>
    </row>
    <row r="118" spans="1:6" ht="14.25" customHeight="1">
      <c r="A118" s="269"/>
      <c r="B118" s="269"/>
      <c r="D118" s="983"/>
      <c r="E118" s="983"/>
      <c r="F118" s="983"/>
    </row>
    <row r="119" spans="1:6" ht="14.25" customHeight="1">
      <c r="A119" s="269"/>
      <c r="B119" s="269"/>
      <c r="D119" s="983"/>
      <c r="E119" s="983"/>
      <c r="F119" s="983"/>
    </row>
    <row r="120" spans="1:6" ht="14.25" customHeight="1">
      <c r="A120" s="269"/>
      <c r="B120" s="269"/>
      <c r="D120" s="983"/>
      <c r="E120" s="983"/>
      <c r="F120" s="983"/>
    </row>
    <row r="121" spans="1:6" ht="14.25" customHeight="1">
      <c r="A121" s="269"/>
      <c r="B121" s="269"/>
      <c r="D121" s="983"/>
      <c r="E121" s="983"/>
      <c r="F121" s="983"/>
    </row>
    <row r="122" spans="1:6" ht="14.25" customHeight="1">
      <c r="A122" s="269"/>
      <c r="B122" s="604" t="s">
        <v>155</v>
      </c>
      <c r="D122" s="981" t="s">
        <v>1252</v>
      </c>
      <c r="E122" s="983"/>
      <c r="F122" s="983"/>
    </row>
    <row r="123" spans="1:6" ht="14.25" customHeight="1">
      <c r="A123" s="269"/>
      <c r="B123" s="269"/>
      <c r="D123" s="983"/>
      <c r="E123" s="983"/>
      <c r="F123" s="983"/>
    </row>
    <row r="124" spans="1:6" ht="14.25" customHeight="1">
      <c r="A124" s="269"/>
      <c r="B124" s="269"/>
      <c r="D124" s="983"/>
      <c r="E124" s="983"/>
      <c r="F124" s="983"/>
    </row>
    <row r="125" spans="1:6" ht="14.25" customHeight="1">
      <c r="A125" s="269"/>
      <c r="B125" s="269"/>
      <c r="D125" s="983"/>
      <c r="E125" s="983"/>
      <c r="F125" s="983"/>
    </row>
    <row r="126" spans="1:6" ht="14.25" customHeight="1">
      <c r="A126" s="269"/>
      <c r="B126" s="269"/>
      <c r="D126" s="983"/>
      <c r="E126" s="983"/>
      <c r="F126" s="983"/>
    </row>
    <row r="127" spans="1:6" ht="14.25" customHeight="1">
      <c r="A127" s="269"/>
      <c r="B127" s="269"/>
      <c r="D127" s="983"/>
      <c r="E127" s="983"/>
      <c r="F127" s="983"/>
    </row>
    <row r="128" spans="1:6" ht="17.25" customHeight="1">
      <c r="A128" s="269"/>
      <c r="B128" s="269"/>
      <c r="D128" s="983"/>
      <c r="E128" s="983"/>
      <c r="F128" s="983"/>
    </row>
    <row r="129" spans="1:7" ht="14.25" customHeight="1">
      <c r="A129" s="269"/>
      <c r="B129" s="269"/>
      <c r="D129" s="24"/>
      <c r="E129" s="24"/>
      <c r="F129" s="24"/>
    </row>
    <row r="130" spans="1:7" ht="12.75" customHeight="1">
      <c r="A130" s="269"/>
      <c r="B130" s="604" t="s">
        <v>48</v>
      </c>
      <c r="D130" s="981" t="s">
        <v>1253</v>
      </c>
      <c r="E130" s="983"/>
      <c r="F130" s="983"/>
    </row>
    <row r="131" spans="1:7" ht="12.75" customHeight="1">
      <c r="D131" s="983"/>
      <c r="E131" s="983"/>
      <c r="F131" s="983"/>
    </row>
    <row r="132" spans="1:7" ht="12.75" customHeight="1">
      <c r="D132" s="983"/>
      <c r="E132" s="983"/>
      <c r="F132" s="983"/>
    </row>
    <row r="133" spans="1:7" ht="12.75" customHeight="1">
      <c r="D133" s="983"/>
      <c r="E133" s="983"/>
      <c r="F133" s="983"/>
    </row>
    <row r="134" spans="1:7" ht="26.85" customHeight="1">
      <c r="D134" s="983"/>
      <c r="E134" s="983"/>
      <c r="F134" s="983"/>
    </row>
    <row r="135" spans="1:7" ht="12.75" customHeight="1"/>
    <row r="136" spans="1:7" ht="14.25" customHeight="1">
      <c r="A136" s="269"/>
      <c r="B136" s="604" t="s">
        <v>48</v>
      </c>
      <c r="D136" s="1006" t="s">
        <v>1254</v>
      </c>
      <c r="E136" s="983"/>
      <c r="F136" s="983"/>
    </row>
    <row r="137" spans="1:7" s="321" customFormat="1" ht="13.9" customHeight="1">
      <c r="A137" s="314"/>
      <c r="B137" s="314"/>
      <c r="C137" s="314"/>
      <c r="D137" s="1023"/>
      <c r="E137" s="1023"/>
      <c r="F137" s="1023"/>
      <c r="G137" s="354"/>
    </row>
    <row r="138" spans="1:7" ht="13.9" customHeight="1">
      <c r="D138" s="983"/>
      <c r="E138" s="983"/>
      <c r="F138" s="983"/>
    </row>
    <row r="139" spans="1:7" ht="13.9" customHeight="1">
      <c r="D139" s="983"/>
      <c r="E139" s="983"/>
      <c r="F139" s="983"/>
    </row>
    <row r="140" spans="1:7" ht="13.9" customHeight="1">
      <c r="D140" s="983"/>
      <c r="E140" s="983"/>
      <c r="F140" s="983"/>
    </row>
    <row r="141" spans="1:7" ht="13.9" customHeight="1">
      <c r="D141" s="983"/>
      <c r="E141" s="983"/>
      <c r="F141" s="983"/>
    </row>
    <row r="142" spans="1:7" ht="13.9" customHeight="1">
      <c r="D142" s="983"/>
      <c r="E142" s="983"/>
      <c r="F142" s="983"/>
    </row>
    <row r="143" spans="1:7" ht="13.9" customHeight="1">
      <c r="D143" s="983"/>
      <c r="E143" s="983"/>
      <c r="F143" s="983"/>
    </row>
    <row r="144" spans="1:7" ht="13.9" customHeight="1">
      <c r="D144" s="983"/>
      <c r="E144" s="983"/>
      <c r="F144" s="983"/>
    </row>
    <row r="145" spans="1:6" ht="13.9" customHeight="1">
      <c r="D145" s="983"/>
      <c r="E145" s="983"/>
      <c r="F145" s="983"/>
    </row>
    <row r="146" spans="1:6" ht="17.25" customHeight="1">
      <c r="D146" s="983"/>
      <c r="E146" s="983"/>
      <c r="F146" s="983"/>
    </row>
    <row r="147" spans="1:6" ht="25.5" hidden="1" customHeight="1">
      <c r="D147" s="983"/>
      <c r="E147" s="983"/>
      <c r="F147" s="983"/>
    </row>
    <row r="148" spans="1:6" ht="13.9" customHeight="1"/>
    <row r="149" spans="1:6" ht="13.9" customHeight="1">
      <c r="B149" s="604" t="s">
        <v>48</v>
      </c>
      <c r="D149" s="981" t="s">
        <v>1255</v>
      </c>
      <c r="E149" s="983"/>
      <c r="F149" s="983"/>
    </row>
    <row r="150" spans="1:6" ht="13.9" customHeight="1">
      <c r="D150" s="983"/>
      <c r="E150" s="983"/>
      <c r="F150" s="983"/>
    </row>
    <row r="151" spans="1:6" ht="13.9" customHeight="1">
      <c r="D151" s="983"/>
      <c r="E151" s="983"/>
      <c r="F151" s="983"/>
    </row>
    <row r="152" spans="1:6" ht="13.9" customHeight="1">
      <c r="D152" s="983"/>
      <c r="E152" s="983"/>
      <c r="F152" s="983"/>
    </row>
    <row r="153" spans="1:6" ht="13.9" customHeight="1">
      <c r="D153" s="983"/>
      <c r="E153" s="983"/>
      <c r="F153" s="983"/>
    </row>
    <row r="154" spans="1:6" ht="13.9" hidden="1" customHeight="1">
      <c r="D154" s="983"/>
      <c r="E154" s="983"/>
      <c r="F154" s="983"/>
    </row>
    <row r="155" spans="1:6" ht="13.9" hidden="1" customHeight="1">
      <c r="D155" s="983"/>
      <c r="E155" s="983"/>
      <c r="F155" s="983"/>
    </row>
    <row r="156" spans="1:6" ht="13.9" customHeight="1">
      <c r="A156" s="18"/>
      <c r="B156" s="18"/>
      <c r="D156" s="983"/>
      <c r="E156" s="983"/>
      <c r="F156" s="983"/>
    </row>
    <row r="157" spans="1:6" ht="13.9" customHeight="1">
      <c r="A157" s="18"/>
      <c r="B157" s="18"/>
      <c r="D157" s="983"/>
      <c r="E157" s="983"/>
      <c r="F157" s="983"/>
    </row>
    <row r="158" spans="1:6" ht="13.9" customHeight="1">
      <c r="A158" s="18"/>
      <c r="B158" s="18"/>
      <c r="D158" s="983"/>
      <c r="E158" s="983"/>
      <c r="F158" s="983"/>
    </row>
    <row r="159" spans="1:6" ht="13.9" customHeight="1">
      <c r="A159" s="18"/>
      <c r="B159" s="18"/>
      <c r="D159" s="983"/>
      <c r="E159" s="983"/>
      <c r="F159" s="983"/>
    </row>
    <row r="160" spans="1:6" ht="13.9" customHeight="1">
      <c r="A160" s="18"/>
      <c r="B160" s="18"/>
      <c r="D160" s="983"/>
      <c r="E160" s="983"/>
      <c r="F160" s="983"/>
    </row>
    <row r="161" spans="1:6" ht="13.9" customHeight="1">
      <c r="A161" s="18"/>
      <c r="B161" s="18"/>
      <c r="D161" s="983"/>
      <c r="E161" s="983"/>
      <c r="F161" s="983"/>
    </row>
    <row r="162" spans="1:6" ht="13.9" customHeight="1">
      <c r="A162" s="18"/>
      <c r="B162" s="18"/>
      <c r="D162" s="983"/>
      <c r="E162" s="983"/>
      <c r="F162" s="983"/>
    </row>
    <row r="163" spans="1:6" ht="13.9" customHeight="1">
      <c r="A163" s="18"/>
      <c r="B163" s="18"/>
      <c r="D163" s="983"/>
      <c r="E163" s="983"/>
      <c r="F163" s="983"/>
    </row>
    <row r="164" spans="1:6" ht="13.9" customHeight="1">
      <c r="A164" s="18"/>
      <c r="B164" s="18"/>
      <c r="D164" s="1037" t="s">
        <v>1256</v>
      </c>
      <c r="E164" s="1038"/>
      <c r="F164" s="1038"/>
    </row>
    <row r="165" spans="1:6" ht="13.9" customHeight="1">
      <c r="A165" s="18"/>
      <c r="B165" s="18"/>
      <c r="D165" s="44"/>
    </row>
    <row r="166" spans="1:6" ht="13.9" customHeight="1">
      <c r="A166" s="269"/>
      <c r="B166" s="604" t="s">
        <v>155</v>
      </c>
      <c r="D166" s="1000" t="s">
        <v>1257</v>
      </c>
      <c r="E166" s="983"/>
      <c r="F166" s="983"/>
    </row>
    <row r="167" spans="1:6" ht="13.9" customHeight="1">
      <c r="A167" s="269"/>
      <c r="B167" s="18"/>
      <c r="D167" s="983"/>
      <c r="E167" s="983"/>
      <c r="F167" s="983"/>
    </row>
    <row r="168" spans="1:6" ht="13.9" customHeight="1">
      <c r="A168" s="269"/>
      <c r="B168" s="18"/>
      <c r="D168" s="983"/>
      <c r="E168" s="983"/>
      <c r="F168" s="983"/>
    </row>
    <row r="169" spans="1:6" ht="13.9" customHeight="1">
      <c r="A169" s="269"/>
      <c r="B169" s="18"/>
      <c r="D169" s="983"/>
      <c r="E169" s="983"/>
      <c r="F169" s="983"/>
    </row>
    <row r="170" spans="1:6" ht="13.9" customHeight="1">
      <c r="A170" s="18"/>
      <c r="B170" s="18"/>
      <c r="D170" s="983"/>
      <c r="E170" s="983"/>
      <c r="F170" s="983"/>
    </row>
    <row r="171" spans="1:6" ht="13.9" customHeight="1">
      <c r="A171" s="18"/>
      <c r="B171" s="18"/>
      <c r="D171" s="44"/>
    </row>
    <row r="172" spans="1:6" ht="13.9" customHeight="1">
      <c r="A172" s="269"/>
      <c r="B172" s="604" t="s">
        <v>48</v>
      </c>
      <c r="D172" s="1033" t="s">
        <v>1258</v>
      </c>
      <c r="E172" s="983"/>
      <c r="F172" s="983"/>
    </row>
    <row r="173" spans="1:6" ht="13.9" customHeight="1">
      <c r="A173" s="18"/>
      <c r="B173" s="18"/>
      <c r="D173" s="983"/>
      <c r="E173" s="983"/>
      <c r="F173" s="983"/>
    </row>
    <row r="174" spans="1:6" ht="13.9" customHeight="1">
      <c r="A174" s="18"/>
      <c r="B174" s="18"/>
      <c r="D174" s="983"/>
      <c r="E174" s="983"/>
      <c r="F174" s="983"/>
    </row>
    <row r="175" spans="1:6" ht="13.9" customHeight="1">
      <c r="A175" s="18"/>
      <c r="B175" s="18"/>
      <c r="D175" s="983"/>
      <c r="E175" s="983"/>
      <c r="F175" s="983"/>
    </row>
    <row r="176" spans="1:6" ht="13.9" customHeight="1">
      <c r="A176" s="18"/>
      <c r="B176" s="18"/>
      <c r="D176" s="44"/>
    </row>
    <row r="177" spans="1:7" ht="13.9" customHeight="1">
      <c r="A177" s="367"/>
      <c r="B177" s="604" t="s">
        <v>155</v>
      </c>
      <c r="C177" s="367"/>
      <c r="D177" s="1048" t="s">
        <v>1259</v>
      </c>
      <c r="E177" s="983"/>
      <c r="F177" s="983"/>
      <c r="G177" s="358"/>
    </row>
    <row r="178" spans="1:7" ht="13.9" customHeight="1">
      <c r="A178" s="367"/>
      <c r="B178" s="367"/>
      <c r="C178" s="367"/>
      <c r="D178" s="983"/>
      <c r="E178" s="983"/>
      <c r="F178" s="983"/>
      <c r="G178" s="358"/>
    </row>
    <row r="179" spans="1:7" ht="13.9" customHeight="1">
      <c r="A179" s="367"/>
      <c r="B179" s="367"/>
      <c r="C179" s="367"/>
      <c r="D179" s="983"/>
      <c r="E179" s="983"/>
      <c r="F179" s="983"/>
      <c r="G179" s="358"/>
    </row>
    <row r="180" spans="1:7" ht="12.75" customHeight="1">
      <c r="A180" s="367"/>
      <c r="B180" s="367"/>
      <c r="C180" s="367"/>
      <c r="D180" s="369"/>
      <c r="E180" s="358"/>
      <c r="F180" s="358"/>
      <c r="G180" s="358"/>
    </row>
    <row r="181" spans="1:7" ht="12.75" customHeight="1">
      <c r="A181" s="1001" t="s">
        <v>1260</v>
      </c>
      <c r="B181" s="973"/>
      <c r="C181" s="973"/>
      <c r="D181" s="973"/>
      <c r="E181" s="973"/>
      <c r="F181" s="973"/>
      <c r="G181" s="973"/>
    </row>
    <row r="182" spans="1:7" ht="12.75" customHeight="1">
      <c r="D182" s="44"/>
    </row>
    <row r="183" spans="1:7" ht="12.75" customHeight="1">
      <c r="C183" s="586"/>
      <c r="D183" s="1003" t="s">
        <v>1261</v>
      </c>
      <c r="E183" s="983"/>
      <c r="F183" s="983"/>
    </row>
    <row r="184" spans="1:7" ht="12.75" customHeight="1">
      <c r="A184" s="188"/>
      <c r="B184" s="188"/>
      <c r="C184" s="188"/>
      <c r="D184" s="1018" t="s">
        <v>1262</v>
      </c>
      <c r="E184" s="983"/>
      <c r="F184" s="983"/>
    </row>
    <row r="185" spans="1:7" ht="12.75" customHeight="1">
      <c r="A185" s="189"/>
      <c r="B185" s="189"/>
      <c r="C185" s="189"/>
    </row>
    <row r="186" spans="1:7" ht="14.25" customHeight="1">
      <c r="A186" s="269"/>
      <c r="B186" s="604" t="s">
        <v>155</v>
      </c>
      <c r="D186" s="1009" t="s">
        <v>1263</v>
      </c>
      <c r="E186" s="983"/>
      <c r="F186" s="983"/>
    </row>
    <row r="187" spans="1:7" ht="14.25" customHeight="1">
      <c r="A187" s="269"/>
      <c r="D187" s="310"/>
      <c r="E187" s="100"/>
      <c r="F187" s="100"/>
    </row>
    <row r="188" spans="1:7" ht="14.25" customHeight="1">
      <c r="A188" s="269"/>
      <c r="B188" s="604" t="s">
        <v>155</v>
      </c>
      <c r="D188" s="999" t="s">
        <v>1264</v>
      </c>
      <c r="E188" s="983"/>
      <c r="F188" s="983"/>
    </row>
    <row r="189" spans="1:7" ht="14.25" customHeight="1">
      <c r="A189" s="269"/>
      <c r="D189" s="100"/>
      <c r="E189" s="100"/>
      <c r="F189" s="100"/>
    </row>
    <row r="190" spans="1:7" ht="14.25" customHeight="1">
      <c r="A190" s="269"/>
      <c r="B190" s="604" t="s">
        <v>155</v>
      </c>
      <c r="D190" s="1053" t="s">
        <v>1265</v>
      </c>
      <c r="E190" s="983"/>
      <c r="F190" s="983"/>
    </row>
    <row r="191" spans="1:7" ht="13.7" customHeight="1">
      <c r="A191" s="269"/>
      <c r="D191" s="41" t="s">
        <v>626</v>
      </c>
      <c r="E191" s="981" t="s">
        <v>1266</v>
      </c>
      <c r="F191" s="983"/>
    </row>
    <row r="192" spans="1:7" ht="14.25" customHeight="1">
      <c r="A192" s="269"/>
      <c r="D192" s="770"/>
      <c r="E192" s="983"/>
      <c r="F192" s="983"/>
    </row>
    <row r="193" spans="1:7" ht="14.25" customHeight="1">
      <c r="A193" s="269"/>
      <c r="D193" s="770"/>
      <c r="E193" s="983"/>
      <c r="F193" s="983"/>
    </row>
    <row r="194" spans="1:7" ht="12.75" customHeight="1"/>
    <row r="195" spans="1:7" ht="14.25" customHeight="1">
      <c r="A195" s="269"/>
      <c r="B195" s="604" t="s">
        <v>155</v>
      </c>
      <c r="D195" s="981" t="s">
        <v>1267</v>
      </c>
      <c r="E195" s="983"/>
      <c r="F195" s="983"/>
    </row>
    <row r="196" spans="1:7" ht="14.25" customHeight="1">
      <c r="A196" s="269"/>
      <c r="B196" s="269"/>
      <c r="D196" s="983"/>
      <c r="E196" s="983"/>
      <c r="F196" s="983"/>
    </row>
    <row r="197" spans="1:7" ht="14.25" customHeight="1">
      <c r="A197" s="269"/>
      <c r="B197" s="269"/>
      <c r="D197" s="983"/>
      <c r="E197" s="983"/>
      <c r="F197" s="983"/>
    </row>
    <row r="198" spans="1:7" ht="14.25" customHeight="1">
      <c r="A198" s="269"/>
      <c r="B198" s="269"/>
      <c r="D198" s="983"/>
      <c r="E198" s="983"/>
      <c r="F198" s="983"/>
    </row>
    <row r="199" spans="1:7" ht="12.75" customHeight="1">
      <c r="D199" s="1032" t="s">
        <v>1268</v>
      </c>
      <c r="E199" s="983"/>
      <c r="F199" s="983"/>
    </row>
    <row r="200" spans="1:7" ht="12.75" customHeight="1">
      <c r="D200" s="620"/>
      <c r="E200" s="620"/>
      <c r="F200" s="620"/>
    </row>
    <row r="201" spans="1:7" ht="14.25" customHeight="1">
      <c r="A201" s="269"/>
      <c r="B201" s="604" t="s">
        <v>155</v>
      </c>
      <c r="D201" s="1043" t="s">
        <v>1269</v>
      </c>
      <c r="E201" s="983"/>
      <c r="F201" s="983"/>
    </row>
    <row r="202" spans="1:7" ht="12.75" customHeight="1"/>
    <row r="203" spans="1:7" ht="12.75" customHeight="1">
      <c r="A203" s="1001" t="s">
        <v>1270</v>
      </c>
      <c r="B203" s="973"/>
      <c r="C203" s="973"/>
      <c r="D203" s="973"/>
      <c r="E203" s="973"/>
      <c r="F203" s="973"/>
      <c r="G203" s="973"/>
    </row>
    <row r="204" spans="1:7" ht="12.75" customHeight="1"/>
    <row r="205" spans="1:7" ht="12.75" customHeight="1">
      <c r="C205" s="586"/>
      <c r="D205" s="1003" t="s">
        <v>1271</v>
      </c>
      <c r="E205" s="983"/>
      <c r="F205" s="983"/>
    </row>
    <row r="206" spans="1:7" ht="12.75" customHeight="1">
      <c r="A206" s="587"/>
      <c r="B206" s="587"/>
      <c r="C206" s="586"/>
      <c r="D206" s="1003" t="s">
        <v>1272</v>
      </c>
      <c r="E206" s="983"/>
      <c r="F206" s="983"/>
    </row>
    <row r="207" spans="1:7" ht="12.75" customHeight="1">
      <c r="A207" s="188"/>
      <c r="B207" s="188"/>
      <c r="C207" s="188"/>
      <c r="D207" s="999" t="s">
        <v>1273</v>
      </c>
      <c r="E207" s="983"/>
      <c r="F207" s="983"/>
    </row>
    <row r="208" spans="1:7" ht="12.75" customHeight="1">
      <c r="A208" s="188"/>
      <c r="B208" s="188"/>
      <c r="C208" s="188"/>
    </row>
    <row r="209" spans="1:6" ht="12.75" customHeight="1">
      <c r="A209" s="188"/>
      <c r="B209" s="188"/>
      <c r="C209" s="188"/>
      <c r="D209" s="981" t="s">
        <v>1274</v>
      </c>
      <c r="E209" s="983"/>
      <c r="F209" s="983"/>
    </row>
    <row r="210" spans="1:6" ht="12.75" customHeight="1">
      <c r="A210" s="188"/>
      <c r="B210" s="188"/>
      <c r="C210" s="188"/>
      <c r="D210" s="983"/>
      <c r="E210" s="983"/>
      <c r="F210" s="983"/>
    </row>
    <row r="211" spans="1:6" ht="12.75" customHeight="1">
      <c r="A211" s="188"/>
      <c r="B211" s="188"/>
      <c r="C211" s="188"/>
      <c r="D211" s="983"/>
      <c r="E211" s="983"/>
      <c r="F211" s="983"/>
    </row>
    <row r="212" spans="1:6" ht="12.75" customHeight="1">
      <c r="A212" s="188"/>
      <c r="B212" s="188"/>
      <c r="C212" s="188"/>
      <c r="D212" s="983"/>
      <c r="E212" s="983"/>
      <c r="F212" s="983"/>
    </row>
    <row r="213" spans="1:6" ht="12.75" customHeight="1">
      <c r="A213" s="188"/>
      <c r="B213" s="188"/>
      <c r="C213" s="188"/>
      <c r="D213" s="983"/>
      <c r="E213" s="983"/>
      <c r="F213" s="983"/>
    </row>
    <row r="214" spans="1:6" ht="12.75" customHeight="1">
      <c r="A214" s="188"/>
      <c r="B214" s="188"/>
      <c r="C214" s="188"/>
      <c r="D214" s="983"/>
      <c r="E214" s="983"/>
      <c r="F214" s="983"/>
    </row>
    <row r="215" spans="1:6" ht="12.75" customHeight="1">
      <c r="A215" s="188"/>
      <c r="B215" s="188"/>
      <c r="C215" s="188"/>
      <c r="D215" s="983"/>
      <c r="E215" s="983"/>
      <c r="F215" s="983"/>
    </row>
    <row r="216" spans="1:6" ht="12.75" customHeight="1">
      <c r="A216" s="188"/>
      <c r="B216" s="188"/>
      <c r="C216" s="188"/>
      <c r="D216" s="983"/>
      <c r="E216" s="983"/>
      <c r="F216" s="983"/>
    </row>
    <row r="217" spans="1:6" ht="12.75" customHeight="1">
      <c r="A217" s="188"/>
      <c r="B217" s="188"/>
      <c r="C217" s="188"/>
      <c r="D217" s="983"/>
      <c r="E217" s="983"/>
      <c r="F217" s="983"/>
    </row>
    <row r="218" spans="1:6" ht="12.75" customHeight="1">
      <c r="A218" s="188"/>
      <c r="B218" s="188"/>
      <c r="C218" s="188"/>
      <c r="D218" s="983"/>
      <c r="E218" s="983"/>
      <c r="F218" s="983"/>
    </row>
    <row r="219" spans="1:6" ht="12.75" customHeight="1">
      <c r="A219" s="188"/>
      <c r="B219" s="188"/>
      <c r="C219" s="188"/>
      <c r="D219" s="983"/>
      <c r="E219" s="983"/>
      <c r="F219" s="983"/>
    </row>
    <row r="220" spans="1:6" ht="12.75" customHeight="1">
      <c r="A220" s="188"/>
      <c r="B220" s="188"/>
      <c r="C220" s="188"/>
      <c r="D220" s="983"/>
      <c r="E220" s="983"/>
      <c r="F220" s="983"/>
    </row>
    <row r="221" spans="1:6" ht="12.75" customHeight="1">
      <c r="A221" s="188"/>
      <c r="B221" s="188"/>
      <c r="C221" s="188"/>
      <c r="D221" s="983"/>
      <c r="E221" s="983"/>
      <c r="F221" s="983"/>
    </row>
    <row r="222" spans="1:6" ht="12.75" customHeight="1">
      <c r="A222" s="188"/>
      <c r="B222" s="188"/>
      <c r="C222" s="188"/>
      <c r="D222" s="983"/>
      <c r="E222" s="983"/>
      <c r="F222" s="983"/>
    </row>
    <row r="223" spans="1:6" ht="12.75" customHeight="1">
      <c r="A223" s="188"/>
      <c r="B223" s="188"/>
      <c r="C223" s="188"/>
      <c r="D223" s="983"/>
      <c r="E223" s="983"/>
      <c r="F223" s="983"/>
    </row>
    <row r="224" spans="1:6" ht="12.75" customHeight="1">
      <c r="A224" s="188"/>
      <c r="B224" s="188"/>
      <c r="C224" s="188"/>
      <c r="D224" s="983"/>
      <c r="E224" s="983"/>
      <c r="F224" s="983"/>
    </row>
    <row r="225" spans="1:6" ht="12.75" customHeight="1">
      <c r="A225" s="188"/>
      <c r="B225" s="188"/>
      <c r="C225" s="188"/>
      <c r="D225" s="983"/>
      <c r="E225" s="983"/>
      <c r="F225" s="983"/>
    </row>
    <row r="226" spans="1:6" ht="3.75" customHeight="1">
      <c r="A226" s="188"/>
      <c r="B226" s="188"/>
      <c r="C226" s="188"/>
      <c r="D226" s="983"/>
      <c r="E226" s="983"/>
      <c r="F226" s="983"/>
    </row>
    <row r="227" spans="1:6" ht="12.75" customHeight="1">
      <c r="A227" s="189"/>
      <c r="B227" s="189"/>
      <c r="C227" s="189"/>
    </row>
    <row r="228" spans="1:6" ht="14.45" customHeight="1">
      <c r="A228" s="269"/>
      <c r="B228" s="604" t="s">
        <v>155</v>
      </c>
      <c r="C228" s="189"/>
      <c r="D228" s="1002" t="s">
        <v>1275</v>
      </c>
      <c r="E228" s="983"/>
      <c r="F228" s="983"/>
    </row>
    <row r="229" spans="1:6" ht="14.25" customHeight="1">
      <c r="A229" s="269"/>
      <c r="C229" s="189"/>
      <c r="D229" s="999" t="s">
        <v>1276</v>
      </c>
      <c r="E229" s="983"/>
      <c r="F229" s="983"/>
    </row>
    <row r="230" spans="1:6" ht="14.25" customHeight="1">
      <c r="A230" s="269"/>
      <c r="B230" s="269"/>
      <c r="C230" s="189"/>
      <c r="D230" s="102" t="s">
        <v>1277</v>
      </c>
      <c r="E230" s="1011" t="s">
        <v>1278</v>
      </c>
      <c r="F230" s="983"/>
    </row>
    <row r="231" spans="1:6" ht="12.75" customHeight="1">
      <c r="D231" s="1009" t="s">
        <v>1279</v>
      </c>
      <c r="E231" s="983"/>
      <c r="F231" s="983"/>
    </row>
    <row r="232" spans="1:6" ht="12.75" customHeight="1"/>
    <row r="233" spans="1:6" ht="12.75" customHeight="1">
      <c r="B233" s="604" t="s">
        <v>155</v>
      </c>
      <c r="D233" s="989" t="s">
        <v>1280</v>
      </c>
      <c r="E233" s="983"/>
      <c r="F233" s="983"/>
    </row>
    <row r="234" spans="1:6" ht="12.75" customHeight="1">
      <c r="D234" s="983"/>
      <c r="E234" s="983"/>
      <c r="F234" s="983"/>
    </row>
    <row r="235" spans="1:6" ht="12.75" customHeight="1">
      <c r="D235" s="983"/>
      <c r="E235" s="983"/>
      <c r="F235" s="983"/>
    </row>
    <row r="236" spans="1:6" ht="12.75" customHeight="1">
      <c r="D236" s="983"/>
      <c r="E236" s="983"/>
      <c r="F236" s="983"/>
    </row>
    <row r="237" spans="1:6" ht="12.75" customHeight="1"/>
    <row r="238" spans="1:6" ht="14.25" customHeight="1">
      <c r="A238" s="269"/>
      <c r="B238" s="604" t="s">
        <v>48</v>
      </c>
      <c r="D238" s="999" t="s">
        <v>1281</v>
      </c>
      <c r="E238" s="983"/>
      <c r="F238" s="983"/>
    </row>
    <row r="239" spans="1:6" ht="14.25" customHeight="1">
      <c r="A239" s="269"/>
      <c r="D239" s="1002" t="s">
        <v>1276</v>
      </c>
      <c r="E239" s="983"/>
      <c r="F239" s="983"/>
    </row>
    <row r="240" spans="1:6" ht="14.25" customHeight="1">
      <c r="A240" s="269"/>
      <c r="B240" s="269"/>
      <c r="D240" s="63" t="s">
        <v>1282</v>
      </c>
      <c r="E240" s="1011" t="s">
        <v>1283</v>
      </c>
      <c r="F240" s="983"/>
    </row>
    <row r="241" spans="1:6" ht="12.75" customHeight="1">
      <c r="D241" s="999" t="s">
        <v>1284</v>
      </c>
      <c r="E241" s="983"/>
      <c r="F241" s="983"/>
    </row>
    <row r="242" spans="1:6" ht="12.75" customHeight="1"/>
    <row r="243" spans="1:6" ht="14.25" customHeight="1">
      <c r="A243" s="269"/>
      <c r="B243" s="604" t="s">
        <v>155</v>
      </c>
      <c r="D243" s="999" t="s">
        <v>1285</v>
      </c>
      <c r="E243" s="983"/>
      <c r="F243" s="983"/>
    </row>
    <row r="244" spans="1:6" ht="14.25" customHeight="1">
      <c r="A244" s="269"/>
      <c r="D244" s="44" t="s">
        <v>1276</v>
      </c>
    </row>
    <row r="245" spans="1:6" ht="14.25" customHeight="1">
      <c r="A245" s="269"/>
      <c r="B245" s="269"/>
      <c r="D245" s="63" t="s">
        <v>1277</v>
      </c>
      <c r="E245" s="1011" t="s">
        <v>1286</v>
      </c>
      <c r="F245" s="983"/>
    </row>
    <row r="246" spans="1:6" ht="14.25" customHeight="1">
      <c r="A246" s="269"/>
      <c r="B246" s="269"/>
      <c r="D246" s="1006" t="s">
        <v>1287</v>
      </c>
      <c r="E246" s="983"/>
      <c r="F246" s="983"/>
    </row>
    <row r="247" spans="1:6" ht="12.75" customHeight="1">
      <c r="D247" s="983"/>
      <c r="E247" s="983"/>
      <c r="F247" s="983"/>
    </row>
    <row r="248" spans="1:6" ht="12.75" customHeight="1">
      <c r="D248" s="983"/>
      <c r="E248" s="983"/>
      <c r="F248" s="983"/>
    </row>
    <row r="249" spans="1:6" ht="12.75" customHeight="1">
      <c r="D249" s="983"/>
      <c r="E249" s="983"/>
      <c r="F249" s="983"/>
    </row>
    <row r="250" spans="1:6" ht="12.75" customHeight="1">
      <c r="D250" s="983"/>
      <c r="E250" s="983"/>
      <c r="F250" s="983"/>
    </row>
    <row r="251" spans="1:6" ht="12.75" customHeight="1">
      <c r="D251" s="1006" t="s">
        <v>1288</v>
      </c>
      <c r="E251" s="983"/>
      <c r="F251" s="983"/>
    </row>
    <row r="252" spans="1:6" ht="12.75" customHeight="1">
      <c r="D252" s="44"/>
    </row>
    <row r="253" spans="1:6" ht="14.25" customHeight="1">
      <c r="A253" s="269"/>
      <c r="B253" s="604" t="s">
        <v>155</v>
      </c>
      <c r="D253" s="999" t="s">
        <v>1289</v>
      </c>
      <c r="E253" s="983"/>
      <c r="F253" s="983"/>
    </row>
    <row r="254" spans="1:6" ht="14.25" customHeight="1">
      <c r="A254" s="269"/>
      <c r="D254" s="999" t="s">
        <v>1276</v>
      </c>
      <c r="E254" s="983"/>
      <c r="F254" s="983"/>
    </row>
    <row r="255" spans="1:6" ht="14.25" customHeight="1">
      <c r="A255" s="269"/>
      <c r="B255" s="269"/>
      <c r="D255" s="63" t="s">
        <v>1277</v>
      </c>
      <c r="E255" s="1011" t="s">
        <v>1290</v>
      </c>
      <c r="F255" s="983"/>
    </row>
    <row r="256" spans="1:6" ht="12.75" customHeight="1">
      <c r="D256" s="1009" t="s">
        <v>1291</v>
      </c>
      <c r="E256" s="983"/>
      <c r="F256" s="983"/>
    </row>
    <row r="257" spans="1:7" ht="12.75" customHeight="1">
      <c r="D257" s="100"/>
      <c r="E257" s="100"/>
      <c r="F257" s="100"/>
    </row>
    <row r="258" spans="1:7" ht="14.25" customHeight="1">
      <c r="A258" s="269"/>
      <c r="B258" s="604" t="s">
        <v>155</v>
      </c>
      <c r="D258" s="1009" t="s">
        <v>1292</v>
      </c>
      <c r="E258" s="983"/>
      <c r="F258" s="983"/>
    </row>
    <row r="259" spans="1:7" ht="14.25" customHeight="1">
      <c r="A259" s="269"/>
      <c r="D259" s="999" t="s">
        <v>1276</v>
      </c>
      <c r="E259" s="983"/>
      <c r="F259" s="983"/>
    </row>
    <row r="260" spans="1:7" ht="14.25" customHeight="1">
      <c r="A260" s="269"/>
      <c r="B260" s="269"/>
      <c r="D260" s="63" t="s">
        <v>1277</v>
      </c>
      <c r="E260" s="1011" t="s">
        <v>1293</v>
      </c>
      <c r="F260" s="983"/>
    </row>
    <row r="261" spans="1:7" ht="12.75" customHeight="1">
      <c r="D261" s="1009" t="s">
        <v>1294</v>
      </c>
      <c r="E261" s="983"/>
      <c r="F261" s="983"/>
    </row>
    <row r="262" spans="1:7" ht="12.75" customHeight="1">
      <c r="D262" s="44"/>
    </row>
    <row r="263" spans="1:7" ht="14.25" customHeight="1">
      <c r="A263" s="269"/>
      <c r="B263" s="604" t="s">
        <v>155</v>
      </c>
      <c r="D263" s="100" t="s">
        <v>1295</v>
      </c>
      <c r="E263" s="100"/>
      <c r="F263" s="100"/>
    </row>
    <row r="264" spans="1:7" ht="14.25" customHeight="1">
      <c r="A264" s="269"/>
      <c r="D264" s="981" t="s">
        <v>1296</v>
      </c>
      <c r="E264" s="983"/>
      <c r="F264" s="983"/>
    </row>
    <row r="265" spans="1:7" ht="14.25" customHeight="1">
      <c r="A265" s="269"/>
      <c r="D265" s="983"/>
      <c r="E265" s="983"/>
      <c r="F265" s="983"/>
    </row>
    <row r="266" spans="1:7" ht="14.25" customHeight="1">
      <c r="A266" s="269"/>
      <c r="D266" s="983"/>
      <c r="E266" s="983"/>
      <c r="F266" s="983"/>
    </row>
    <row r="267" spans="1:7" ht="9.75" customHeight="1">
      <c r="A267" s="269"/>
      <c r="D267" s="983"/>
      <c r="E267" s="983"/>
      <c r="F267" s="983"/>
    </row>
    <row r="268" spans="1:7" ht="14.25" customHeight="1">
      <c r="A268" s="269"/>
      <c r="D268" s="24"/>
      <c r="E268" s="24"/>
      <c r="F268" s="24"/>
    </row>
    <row r="269" spans="1:7" ht="14.25" customHeight="1">
      <c r="A269" s="269"/>
      <c r="B269" s="604" t="s">
        <v>155</v>
      </c>
      <c r="D269" s="999" t="s">
        <v>1297</v>
      </c>
      <c r="E269" s="983"/>
      <c r="F269" s="983"/>
    </row>
    <row r="270" spans="1:7" ht="14.25" customHeight="1">
      <c r="A270" s="269"/>
      <c r="D270" s="100"/>
      <c r="E270" s="100"/>
      <c r="F270" s="100"/>
    </row>
    <row r="271" spans="1:7" ht="12.75" customHeight="1">
      <c r="A271" s="1001" t="s">
        <v>1298</v>
      </c>
      <c r="B271" s="973"/>
      <c r="C271" s="973"/>
      <c r="D271" s="973"/>
      <c r="E271" s="973"/>
      <c r="F271" s="973"/>
      <c r="G271" s="973"/>
    </row>
    <row r="272" spans="1:7" ht="12.75" customHeight="1">
      <c r="D272" s="44"/>
    </row>
    <row r="273" spans="1:6" ht="12.75" customHeight="1">
      <c r="C273" s="586"/>
      <c r="D273" s="1008" t="s">
        <v>1299</v>
      </c>
      <c r="E273" s="983"/>
      <c r="F273" s="983"/>
    </row>
    <row r="274" spans="1:6" ht="12.75" customHeight="1">
      <c r="A274" s="188"/>
      <c r="B274" s="188"/>
      <c r="C274" s="188"/>
      <c r="D274" s="1002" t="s">
        <v>1300</v>
      </c>
      <c r="E274" s="983"/>
      <c r="F274" s="983"/>
    </row>
    <row r="275" spans="1:6" ht="12.75" customHeight="1">
      <c r="A275" s="18"/>
      <c r="B275" s="18"/>
      <c r="C275" s="18"/>
      <c r="D275" s="3"/>
    </row>
    <row r="276" spans="1:6" ht="12.75" customHeight="1">
      <c r="A276" s="18"/>
      <c r="C276" s="18"/>
      <c r="D276" s="1008" t="s">
        <v>1301</v>
      </c>
      <c r="E276" s="983"/>
      <c r="F276" s="983"/>
    </row>
    <row r="277" spans="1:6" ht="14.45" customHeight="1">
      <c r="A277" s="269"/>
      <c r="B277" s="604" t="s">
        <v>48</v>
      </c>
      <c r="C277" s="874"/>
      <c r="D277" s="1015" t="s">
        <v>1302</v>
      </c>
      <c r="E277" s="983"/>
      <c r="F277" s="983"/>
    </row>
    <row r="278" spans="1:6" ht="14.25" customHeight="1">
      <c r="A278" s="269"/>
      <c r="B278" s="875"/>
      <c r="C278" s="874"/>
      <c r="D278" s="983"/>
      <c r="E278" s="983"/>
      <c r="F278" s="983"/>
    </row>
    <row r="279" spans="1:6" ht="14.25" customHeight="1">
      <c r="A279" s="269"/>
      <c r="B279" s="875"/>
      <c r="C279" s="874"/>
      <c r="D279" s="983"/>
      <c r="E279" s="983"/>
      <c r="F279" s="983"/>
    </row>
    <row r="280" spans="1:6" ht="14.45" customHeight="1">
      <c r="A280" s="269"/>
      <c r="B280" s="875"/>
      <c r="C280" s="874"/>
      <c r="D280" s="983"/>
      <c r="E280" s="983"/>
      <c r="F280" s="983"/>
    </row>
    <row r="281" spans="1:6" ht="14.25" customHeight="1">
      <c r="A281" s="269"/>
      <c r="B281" s="875"/>
      <c r="C281" s="874"/>
      <c r="D281" s="876"/>
      <c r="E281" s="876"/>
      <c r="F281" s="876"/>
    </row>
    <row r="282" spans="1:6" ht="14.25" customHeight="1">
      <c r="A282" s="269"/>
      <c r="B282" s="604" t="s">
        <v>48</v>
      </c>
      <c r="C282" s="874"/>
      <c r="D282" s="1015" t="s">
        <v>1303</v>
      </c>
      <c r="E282" s="983"/>
      <c r="F282" s="983"/>
    </row>
    <row r="283" spans="1:6" ht="14.25" customHeight="1">
      <c r="A283" s="269"/>
      <c r="B283" s="875"/>
      <c r="C283" s="874"/>
      <c r="D283" s="983"/>
      <c r="E283" s="983"/>
      <c r="F283" s="983"/>
    </row>
    <row r="284" spans="1:6" ht="14.25" customHeight="1">
      <c r="A284" s="269"/>
      <c r="B284" s="875"/>
      <c r="C284" s="874"/>
      <c r="D284" s="983"/>
      <c r="E284" s="983"/>
      <c r="F284" s="983"/>
    </row>
    <row r="285" spans="1:6" ht="14.25" customHeight="1">
      <c r="A285" s="269"/>
      <c r="B285" s="875"/>
      <c r="C285" s="874"/>
      <c r="D285" s="983"/>
      <c r="E285" s="983"/>
      <c r="F285" s="983"/>
    </row>
    <row r="286" spans="1:6" ht="14.25" customHeight="1">
      <c r="A286" s="269"/>
      <c r="B286" s="875"/>
      <c r="C286" s="874"/>
      <c r="D286" s="983"/>
      <c r="E286" s="983"/>
      <c r="F286" s="983"/>
    </row>
    <row r="287" spans="1:6" ht="14.25" customHeight="1">
      <c r="A287" s="269"/>
      <c r="B287" s="875"/>
      <c r="C287" s="874"/>
      <c r="D287" s="876"/>
      <c r="E287" s="876"/>
      <c r="F287" s="876"/>
    </row>
    <row r="288" spans="1:6" ht="14.25" customHeight="1">
      <c r="A288" s="269"/>
      <c r="B288" s="875"/>
      <c r="C288" s="874"/>
      <c r="D288" s="1015" t="s">
        <v>1304</v>
      </c>
      <c r="E288" s="983"/>
      <c r="F288" s="983"/>
    </row>
    <row r="289" spans="1:7" ht="14.25" customHeight="1">
      <c r="A289" s="269"/>
      <c r="B289" s="875"/>
      <c r="C289" s="874"/>
      <c r="D289" s="983"/>
      <c r="E289" s="983"/>
      <c r="F289" s="983"/>
    </row>
    <row r="290" spans="1:7" ht="14.25" customHeight="1">
      <c r="A290" s="269"/>
      <c r="B290" s="875"/>
      <c r="C290" s="874"/>
      <c r="D290" s="983"/>
      <c r="E290" s="983"/>
      <c r="F290" s="983"/>
    </row>
    <row r="291" spans="1:7" ht="14.25" customHeight="1">
      <c r="A291" s="269"/>
      <c r="B291" s="875"/>
      <c r="C291" s="874"/>
      <c r="D291" s="983"/>
      <c r="E291" s="983"/>
      <c r="F291" s="983"/>
    </row>
    <row r="292" spans="1:7" ht="14.25" customHeight="1">
      <c r="A292" s="269"/>
      <c r="B292" s="875"/>
      <c r="C292" s="874"/>
      <c r="D292" s="983"/>
      <c r="E292" s="983"/>
      <c r="F292" s="983"/>
    </row>
    <row r="293" spans="1:7" ht="14.25" customHeight="1">
      <c r="A293" s="269"/>
      <c r="B293" s="269"/>
      <c r="D293" s="207"/>
      <c r="E293" s="207"/>
      <c r="F293" s="207"/>
    </row>
    <row r="294" spans="1:7" s="445" customFormat="1" ht="14.45" customHeight="1">
      <c r="A294" s="287"/>
      <c r="B294" s="604" t="s">
        <v>48</v>
      </c>
      <c r="C294" s="792"/>
      <c r="D294" s="1005" t="s">
        <v>1305</v>
      </c>
      <c r="E294" s="1017"/>
      <c r="F294" s="1017"/>
      <c r="G294" s="793"/>
    </row>
    <row r="295" spans="1:7" s="445" customFormat="1" ht="14.25" customHeight="1">
      <c r="A295" s="287"/>
      <c r="B295" s="792"/>
      <c r="C295" s="792"/>
      <c r="D295" s="1017"/>
      <c r="E295" s="1017"/>
      <c r="F295" s="1017"/>
      <c r="G295" s="793"/>
    </row>
    <row r="296" spans="1:7" s="445" customFormat="1" ht="14.25" customHeight="1">
      <c r="A296" s="287"/>
      <c r="B296" s="792"/>
      <c r="C296" s="792"/>
      <c r="D296" s="1017"/>
      <c r="E296" s="1017"/>
      <c r="F296" s="1017"/>
      <c r="G296" s="793"/>
    </row>
    <row r="297" spans="1:7" s="445" customFormat="1" ht="12.75" customHeight="1">
      <c r="A297" s="792"/>
      <c r="B297" s="792"/>
      <c r="C297" s="792"/>
      <c r="D297" s="917"/>
      <c r="E297" s="918" t="s">
        <v>1306</v>
      </c>
      <c r="F297" s="917"/>
      <c r="G297" s="793"/>
    </row>
    <row r="298" spans="1:7" ht="14.25" customHeight="1">
      <c r="A298" s="269"/>
      <c r="B298" s="269"/>
      <c r="D298" s="44"/>
    </row>
    <row r="299" spans="1:7" ht="14.25" customHeight="1">
      <c r="A299" s="269"/>
      <c r="B299" s="604" t="s">
        <v>48</v>
      </c>
      <c r="D299" s="1002" t="s">
        <v>1307</v>
      </c>
      <c r="E299" s="983"/>
      <c r="F299" s="983"/>
    </row>
    <row r="300" spans="1:7" ht="14.25" customHeight="1">
      <c r="A300" s="269"/>
      <c r="B300" s="269"/>
      <c r="D300" s="1002" t="s">
        <v>1308</v>
      </c>
      <c r="E300" s="983"/>
      <c r="F300" s="983"/>
    </row>
    <row r="301" spans="1:7" ht="14.25" customHeight="1">
      <c r="A301" s="269"/>
      <c r="B301" s="269"/>
      <c r="D301" s="3" t="s">
        <v>1309</v>
      </c>
      <c r="E301" s="918" t="s">
        <v>1310</v>
      </c>
      <c r="F301" s="3"/>
    </row>
    <row r="302" spans="1:7" ht="12.75" customHeight="1">
      <c r="D302" s="28"/>
    </row>
    <row r="303" spans="1:7" ht="14.25" customHeight="1">
      <c r="A303" s="269"/>
      <c r="B303" s="604" t="s">
        <v>48</v>
      </c>
      <c r="D303" s="1006" t="s">
        <v>1311</v>
      </c>
      <c r="E303" s="983"/>
      <c r="F303" s="983"/>
    </row>
    <row r="304" spans="1:7" ht="14.25" customHeight="1">
      <c r="A304" s="269"/>
      <c r="B304" s="269"/>
      <c r="D304" s="983"/>
      <c r="E304" s="983"/>
      <c r="F304" s="983"/>
    </row>
    <row r="305" spans="1:7" ht="12.75" customHeight="1">
      <c r="D305" s="28"/>
    </row>
    <row r="306" spans="1:7" ht="12.75" customHeight="1">
      <c r="A306" s="1001" t="s">
        <v>1312</v>
      </c>
      <c r="B306" s="973"/>
      <c r="C306" s="973"/>
      <c r="D306" s="973"/>
      <c r="E306" s="973"/>
      <c r="F306" s="973"/>
      <c r="G306" s="973"/>
    </row>
    <row r="307" spans="1:7" ht="12.75" customHeight="1">
      <c r="D307" s="28"/>
    </row>
    <row r="308" spans="1:7" ht="12.75" customHeight="1">
      <c r="C308" s="586"/>
      <c r="D308" s="1008" t="s">
        <v>1313</v>
      </c>
      <c r="E308" s="983"/>
      <c r="F308" s="983"/>
    </row>
    <row r="309" spans="1:7" ht="12.75" customHeight="1">
      <c r="A309" s="188"/>
      <c r="B309" s="188"/>
      <c r="C309" s="188"/>
      <c r="D309" s="44"/>
    </row>
    <row r="310" spans="1:7" ht="12.75" customHeight="1">
      <c r="A310" s="189"/>
      <c r="B310" s="189"/>
      <c r="C310" s="189"/>
      <c r="D310" s="1008" t="s">
        <v>1314</v>
      </c>
      <c r="E310" s="983"/>
      <c r="F310" s="983"/>
    </row>
    <row r="311" spans="1:7" ht="14.45" customHeight="1">
      <c r="A311" s="269"/>
      <c r="B311" s="604" t="s">
        <v>155</v>
      </c>
      <c r="D311" s="981" t="s">
        <v>1315</v>
      </c>
      <c r="E311" s="983"/>
      <c r="F311" s="983"/>
    </row>
    <row r="312" spans="1:7" ht="12.75" customHeight="1">
      <c r="D312" s="983"/>
      <c r="E312" s="983"/>
      <c r="F312" s="983"/>
    </row>
    <row r="313" spans="1:7" ht="12.75" customHeight="1">
      <c r="D313" s="983"/>
      <c r="E313" s="983"/>
      <c r="F313" s="983"/>
    </row>
    <row r="314" spans="1:7" ht="12.75" customHeight="1">
      <c r="D314" s="24"/>
      <c r="E314" s="24"/>
      <c r="F314" s="24"/>
    </row>
    <row r="315" spans="1:7" s="445" customFormat="1" ht="14.45" customHeight="1">
      <c r="A315" s="287"/>
      <c r="B315" s="604" t="s">
        <v>48</v>
      </c>
      <c r="C315" s="792"/>
      <c r="D315" s="1005" t="s">
        <v>1316</v>
      </c>
      <c r="E315" s="1017"/>
      <c r="F315" s="1017"/>
      <c r="G315" s="793"/>
    </row>
    <row r="316" spans="1:7" s="445" customFormat="1" ht="12.75" customHeight="1">
      <c r="A316" s="792"/>
      <c r="B316" s="792"/>
      <c r="C316" s="792"/>
      <c r="D316" s="1017"/>
      <c r="E316" s="1017"/>
      <c r="F316" s="1017"/>
      <c r="G316" s="793"/>
    </row>
    <row r="317" spans="1:7" s="445" customFormat="1" ht="12.75" customHeight="1">
      <c r="A317" s="792"/>
      <c r="B317" s="792"/>
      <c r="C317" s="792"/>
      <c r="D317" s="1017"/>
      <c r="E317" s="1017"/>
      <c r="F317" s="1017"/>
      <c r="G317" s="793"/>
    </row>
    <row r="318" spans="1:7" s="445" customFormat="1" ht="12.75" customHeight="1">
      <c r="A318" s="792"/>
      <c r="B318" s="792"/>
      <c r="C318" s="792"/>
      <c r="E318" s="370" t="s">
        <v>1317</v>
      </c>
      <c r="F318" s="370"/>
      <c r="G318" s="793"/>
    </row>
    <row r="319" spans="1:7" ht="12.75" customHeight="1">
      <c r="D319" s="210"/>
    </row>
    <row r="320" spans="1:7" ht="12.75" customHeight="1">
      <c r="A320" s="1001" t="s">
        <v>1318</v>
      </c>
      <c r="B320" s="973"/>
      <c r="C320" s="973"/>
      <c r="D320" s="973"/>
      <c r="E320" s="973"/>
      <c r="F320" s="973"/>
      <c r="G320" s="973"/>
    </row>
    <row r="321" spans="1:6" ht="12.75" customHeight="1">
      <c r="D321" s="210"/>
    </row>
    <row r="322" spans="1:6" ht="12.75" customHeight="1">
      <c r="C322" s="188"/>
      <c r="D322" s="1019" t="s">
        <v>1319</v>
      </c>
      <c r="E322" s="983"/>
      <c r="F322" s="983"/>
    </row>
    <row r="323" spans="1:6" ht="12.75" customHeight="1">
      <c r="C323" s="188"/>
      <c r="D323" s="983"/>
      <c r="E323" s="983"/>
      <c r="F323" s="983"/>
    </row>
    <row r="324" spans="1:6" ht="12.75" customHeight="1">
      <c r="A324" s="189"/>
      <c r="B324" s="189"/>
      <c r="C324" s="189"/>
      <c r="D324" s="3"/>
    </row>
    <row r="325" spans="1:6" ht="12.75" customHeight="1">
      <c r="C325" s="189"/>
      <c r="D325" s="1008" t="s">
        <v>1320</v>
      </c>
      <c r="E325" s="983"/>
      <c r="F325" s="983"/>
    </row>
    <row r="326" spans="1:6" ht="14.25" customHeight="1">
      <c r="A326" s="269"/>
      <c r="B326" s="269"/>
      <c r="D326" s="1010" t="s">
        <v>1321</v>
      </c>
      <c r="E326" s="983"/>
      <c r="F326" s="983"/>
    </row>
    <row r="327" spans="1:6" ht="12" customHeight="1"/>
    <row r="328" spans="1:6" ht="14.45" customHeight="1">
      <c r="A328" s="269"/>
      <c r="B328" s="604" t="s">
        <v>155</v>
      </c>
      <c r="D328" s="1006" t="s">
        <v>1322</v>
      </c>
      <c r="E328" s="983"/>
      <c r="F328" s="983"/>
    </row>
    <row r="329" spans="1:6" ht="14.25" customHeight="1">
      <c r="A329" s="269"/>
      <c r="B329" s="269"/>
      <c r="D329" s="983"/>
      <c r="E329" s="983"/>
      <c r="F329" s="983"/>
    </row>
    <row r="330" spans="1:6" ht="12.75" customHeight="1"/>
    <row r="331" spans="1:6" ht="14.45" customHeight="1">
      <c r="A331" s="269"/>
      <c r="B331" s="604" t="s">
        <v>155</v>
      </c>
      <c r="D331" s="1006" t="s">
        <v>1323</v>
      </c>
      <c r="E331" s="983"/>
      <c r="F331" s="983"/>
    </row>
    <row r="332" spans="1:6" ht="14.25" customHeight="1">
      <c r="A332" s="269"/>
      <c r="B332" s="269"/>
      <c r="D332" s="983"/>
      <c r="E332" s="983"/>
      <c r="F332" s="983"/>
    </row>
    <row r="333" spans="1:6" ht="14.25" customHeight="1">
      <c r="A333" s="269"/>
      <c r="B333" s="269"/>
      <c r="D333" s="983"/>
      <c r="E333" s="983"/>
      <c r="F333" s="983"/>
    </row>
    <row r="334" spans="1:6" ht="12.75" customHeight="1">
      <c r="D334" s="44"/>
    </row>
    <row r="335" spans="1:6" ht="14.25" customHeight="1">
      <c r="A335" s="269"/>
      <c r="B335" s="604" t="s">
        <v>155</v>
      </c>
      <c r="D335" s="1006" t="s">
        <v>1324</v>
      </c>
      <c r="E335" s="983"/>
      <c r="F335" s="983"/>
    </row>
    <row r="336" spans="1:6" ht="14.25" customHeight="1">
      <c r="A336" s="269"/>
      <c r="B336" s="269"/>
      <c r="D336" s="983"/>
      <c r="E336" s="983"/>
      <c r="F336" s="983"/>
    </row>
    <row r="337" spans="1:7" ht="12.75" customHeight="1">
      <c r="A337" s="18"/>
      <c r="B337" s="18"/>
      <c r="D337" s="44"/>
    </row>
    <row r="338" spans="1:7" ht="12.75" customHeight="1">
      <c r="A338" s="1001" t="s">
        <v>1325</v>
      </c>
      <c r="B338" s="973"/>
      <c r="C338" s="973"/>
      <c r="D338" s="973"/>
      <c r="E338" s="973"/>
      <c r="F338" s="973"/>
      <c r="G338" s="973"/>
    </row>
    <row r="339" spans="1:7" ht="12.75" customHeight="1">
      <c r="A339" s="18"/>
      <c r="B339" s="18"/>
      <c r="D339" s="44"/>
    </row>
    <row r="340" spans="1:7" ht="12.75" customHeight="1">
      <c r="C340" s="18"/>
      <c r="D340" s="1008" t="s">
        <v>1326</v>
      </c>
      <c r="E340" s="983"/>
      <c r="F340" s="983"/>
    </row>
    <row r="341" spans="1:7" ht="12.75" customHeight="1">
      <c r="C341" s="18"/>
      <c r="D341" s="1002" t="s">
        <v>1327</v>
      </c>
      <c r="E341" s="983"/>
      <c r="F341" s="983"/>
    </row>
    <row r="342" spans="1:7" ht="12.75" customHeight="1">
      <c r="C342" s="18"/>
      <c r="D342" s="180"/>
    </row>
    <row r="343" spans="1:7" ht="12.75" customHeight="1">
      <c r="B343" s="604" t="s">
        <v>155</v>
      </c>
      <c r="D343" s="1002" t="s">
        <v>1328</v>
      </c>
      <c r="E343" s="983"/>
      <c r="F343" s="983"/>
    </row>
    <row r="344" spans="1:7" ht="14.25" customHeight="1">
      <c r="A344" s="269"/>
      <c r="B344" s="269"/>
      <c r="D344" s="417"/>
    </row>
    <row r="345" spans="1:7" ht="14.25" customHeight="1">
      <c r="A345" s="269"/>
      <c r="B345" s="604" t="s">
        <v>155</v>
      </c>
      <c r="D345" s="1002" t="s">
        <v>1329</v>
      </c>
      <c r="E345" s="983"/>
      <c r="F345" s="983"/>
    </row>
    <row r="346" spans="1:7" ht="12.75" customHeight="1"/>
    <row r="347" spans="1:7" ht="14.45" customHeight="1">
      <c r="A347" s="269"/>
      <c r="B347" s="604" t="s">
        <v>155</v>
      </c>
      <c r="D347" s="1006" t="s">
        <v>1330</v>
      </c>
      <c r="E347" s="983"/>
      <c r="F347" s="983"/>
    </row>
    <row r="348" spans="1:7" ht="14.25" customHeight="1">
      <c r="A348" s="269"/>
      <c r="B348" s="269"/>
      <c r="D348" s="983"/>
      <c r="E348" s="983"/>
      <c r="F348" s="983"/>
    </row>
    <row r="349" spans="1:7" ht="14.25" customHeight="1">
      <c r="A349" s="269"/>
      <c r="B349" s="269"/>
      <c r="D349" s="983"/>
      <c r="E349" s="983"/>
      <c r="F349" s="983"/>
    </row>
    <row r="350" spans="1:7" ht="14.25" customHeight="1">
      <c r="A350" s="269"/>
      <c r="B350" s="269"/>
      <c r="D350" s="983"/>
      <c r="E350" s="983"/>
      <c r="F350" s="983"/>
    </row>
    <row r="351" spans="1:7" ht="14.25" customHeight="1">
      <c r="A351" s="269"/>
      <c r="B351" s="269"/>
      <c r="D351" s="983"/>
      <c r="E351" s="983"/>
      <c r="F351" s="983"/>
    </row>
    <row r="352" spans="1:7" ht="14.25" customHeight="1">
      <c r="A352" s="269"/>
      <c r="B352" s="269"/>
      <c r="D352" s="983"/>
      <c r="E352" s="983"/>
      <c r="F352" s="983"/>
    </row>
    <row r="353" spans="1:6" ht="14.25" customHeight="1">
      <c r="A353" s="269"/>
      <c r="B353" s="269"/>
      <c r="D353" s="983"/>
      <c r="E353" s="983"/>
      <c r="F353" s="983"/>
    </row>
    <row r="354" spans="1:6" ht="14.25" customHeight="1">
      <c r="A354" s="269"/>
      <c r="B354" s="269"/>
      <c r="D354" s="983"/>
      <c r="E354" s="983"/>
      <c r="F354" s="983"/>
    </row>
    <row r="355" spans="1:6" ht="14.25" customHeight="1">
      <c r="A355" s="269"/>
      <c r="B355" s="269"/>
      <c r="D355" s="983"/>
      <c r="E355" s="983"/>
      <c r="F355" s="983"/>
    </row>
    <row r="356" spans="1:6" ht="14.25" customHeight="1">
      <c r="A356" s="269"/>
      <c r="B356" s="269"/>
      <c r="D356" s="983"/>
      <c r="E356" s="983"/>
      <c r="F356" s="983"/>
    </row>
    <row r="357" spans="1:6" ht="14.25" customHeight="1">
      <c r="A357" s="269"/>
      <c r="B357" s="269"/>
      <c r="D357" s="983"/>
      <c r="E357" s="983"/>
      <c r="F357" s="983"/>
    </row>
    <row r="358" spans="1:6" ht="14.25" customHeight="1">
      <c r="A358" s="269"/>
      <c r="B358" s="269"/>
      <c r="D358" s="983"/>
      <c r="E358" s="983"/>
      <c r="F358" s="983"/>
    </row>
    <row r="359" spans="1:6" ht="14.25" customHeight="1">
      <c r="A359" s="269"/>
      <c r="B359" s="269"/>
      <c r="D359" s="983"/>
      <c r="E359" s="983"/>
      <c r="F359" s="983"/>
    </row>
    <row r="360" spans="1:6" ht="14.25" customHeight="1">
      <c r="A360" s="269"/>
      <c r="B360" s="269"/>
      <c r="D360" s="983"/>
      <c r="E360" s="983"/>
      <c r="F360" s="983"/>
    </row>
    <row r="361" spans="1:6" ht="14.25" customHeight="1">
      <c r="A361" s="269"/>
      <c r="B361" s="269"/>
      <c r="D361" s="983"/>
      <c r="E361" s="983"/>
      <c r="F361" s="983"/>
    </row>
    <row r="362" spans="1:6" ht="12.75" customHeight="1"/>
    <row r="363" spans="1:6" ht="14.45" customHeight="1">
      <c r="A363" s="269"/>
      <c r="B363" s="604" t="s">
        <v>155</v>
      </c>
      <c r="D363" s="1006" t="s">
        <v>1331</v>
      </c>
      <c r="E363" s="983"/>
      <c r="F363" s="983"/>
    </row>
    <row r="364" spans="1:6" ht="12.75" customHeight="1">
      <c r="D364" s="983"/>
      <c r="E364" s="983"/>
      <c r="F364" s="983"/>
    </row>
    <row r="365" spans="1:6" ht="12.75" customHeight="1">
      <c r="D365" s="983"/>
      <c r="E365" s="983"/>
      <c r="F365" s="983"/>
    </row>
    <row r="366" spans="1:6" ht="12.75" customHeight="1">
      <c r="D366" s="983"/>
      <c r="E366" s="983"/>
      <c r="F366" s="983"/>
    </row>
    <row r="367" spans="1:6" ht="12.75" customHeight="1">
      <c r="D367" s="983"/>
      <c r="E367" s="983"/>
      <c r="F367" s="983"/>
    </row>
    <row r="368" spans="1:6" ht="12.75" customHeight="1">
      <c r="D368" s="983"/>
      <c r="E368" s="983"/>
      <c r="F368" s="983"/>
    </row>
    <row r="369" spans="1:6" ht="12.75" customHeight="1">
      <c r="D369" s="983"/>
      <c r="E369" s="983"/>
      <c r="F369" s="983"/>
    </row>
    <row r="370" spans="1:6" ht="12.75" customHeight="1">
      <c r="D370" s="983"/>
      <c r="E370" s="983"/>
      <c r="F370" s="983"/>
    </row>
    <row r="371" spans="1:6" ht="12.75" customHeight="1">
      <c r="D371" s="983"/>
      <c r="E371" s="983"/>
      <c r="F371" s="983"/>
    </row>
    <row r="372" spans="1:6" ht="12.75" customHeight="1">
      <c r="E372" s="44"/>
      <c r="F372" s="44"/>
    </row>
    <row r="373" spans="1:6" ht="14.25" customHeight="1">
      <c r="A373" s="269"/>
      <c r="B373" s="604" t="s">
        <v>155</v>
      </c>
      <c r="D373" s="984" t="s">
        <v>1332</v>
      </c>
      <c r="E373" s="983"/>
      <c r="F373" s="983"/>
    </row>
    <row r="374" spans="1:6" ht="12.75" customHeight="1">
      <c r="D374" s="983"/>
      <c r="E374" s="983"/>
      <c r="F374" s="983"/>
    </row>
    <row r="375" spans="1:6" ht="12.75" customHeight="1">
      <c r="D375" s="983"/>
      <c r="E375" s="983"/>
      <c r="F375" s="983"/>
    </row>
    <row r="376" spans="1:6" ht="12.75" customHeight="1">
      <c r="D376" s="983"/>
      <c r="E376" s="983"/>
      <c r="F376" s="983"/>
    </row>
    <row r="377" spans="1:6" ht="12.75" customHeight="1">
      <c r="D377" s="983"/>
      <c r="E377" s="983"/>
      <c r="F377" s="983"/>
    </row>
    <row r="378" spans="1:6" ht="12.75" customHeight="1">
      <c r="D378" s="207"/>
      <c r="E378" s="102" t="s">
        <v>1333</v>
      </c>
      <c r="F378" s="207"/>
    </row>
    <row r="379" spans="1:6" ht="13.5" customHeight="1" thickBot="1">
      <c r="D379" s="771"/>
      <c r="E379" s="97"/>
      <c r="F379" s="97"/>
    </row>
    <row r="380" spans="1:6" ht="14.25" customHeight="1" thickTop="1" thickBot="1">
      <c r="D380" s="1016" t="s">
        <v>1334</v>
      </c>
      <c r="E380" s="978"/>
      <c r="F380" s="978"/>
    </row>
    <row r="381" spans="1:6" ht="13.5" customHeight="1" thickTop="1">
      <c r="D381" s="1045" t="s">
        <v>1335</v>
      </c>
      <c r="E381" s="1046"/>
      <c r="F381" s="1046"/>
    </row>
    <row r="382" spans="1:6" ht="12.75" customHeight="1">
      <c r="D382" s="44"/>
    </row>
    <row r="383" spans="1:6" ht="14.25" customHeight="1">
      <c r="A383" s="269"/>
      <c r="B383" s="604" t="s">
        <v>155</v>
      </c>
      <c r="C383" s="358"/>
      <c r="D383" s="1025" t="s">
        <v>1336</v>
      </c>
      <c r="E383" s="983"/>
      <c r="F383" s="983"/>
    </row>
    <row r="384" spans="1:6" ht="14.25" customHeight="1">
      <c r="A384" s="269"/>
      <c r="B384" s="269"/>
      <c r="C384" s="358"/>
      <c r="D384" s="417"/>
    </row>
    <row r="385" spans="1:6" ht="14.25" customHeight="1">
      <c r="A385" s="269"/>
      <c r="B385" s="604" t="s">
        <v>155</v>
      </c>
      <c r="C385" s="358"/>
      <c r="D385" s="988" t="s">
        <v>1337</v>
      </c>
      <c r="E385" s="983"/>
      <c r="F385" s="983"/>
    </row>
    <row r="386" spans="1:6" ht="14.25" customHeight="1">
      <c r="A386" s="269"/>
      <c r="B386" s="269"/>
      <c r="C386" s="358"/>
      <c r="D386" s="983"/>
      <c r="E386" s="983"/>
      <c r="F386" s="983"/>
    </row>
    <row r="387" spans="1:6" ht="14.25" customHeight="1">
      <c r="A387" s="269"/>
      <c r="B387" s="269"/>
      <c r="C387" s="358"/>
      <c r="D387" s="983"/>
      <c r="E387" s="983"/>
      <c r="F387" s="983"/>
    </row>
    <row r="388" spans="1:6" ht="14.25" customHeight="1">
      <c r="A388" s="269"/>
      <c r="B388" s="269"/>
      <c r="C388" s="358"/>
      <c r="D388" s="983"/>
      <c r="E388" s="983"/>
      <c r="F388" s="983"/>
    </row>
    <row r="389" spans="1:6" ht="14.25" customHeight="1">
      <c r="A389" s="269"/>
      <c r="B389" s="269"/>
      <c r="C389" s="358"/>
      <c r="D389" s="983"/>
      <c r="E389" s="983"/>
      <c r="F389" s="983"/>
    </row>
    <row r="390" spans="1:6" ht="14.25" customHeight="1">
      <c r="A390" s="269"/>
      <c r="B390" s="269"/>
      <c r="C390" s="358"/>
      <c r="D390" s="983"/>
      <c r="E390" s="983"/>
      <c r="F390" s="983"/>
    </row>
    <row r="391" spans="1:6" ht="14.25" customHeight="1">
      <c r="A391" s="269"/>
      <c r="B391" s="269"/>
      <c r="C391" s="358"/>
      <c r="D391" s="983"/>
      <c r="E391" s="983"/>
      <c r="F391" s="983"/>
    </row>
    <row r="392" spans="1:6" ht="14.25" customHeight="1">
      <c r="A392" s="269"/>
      <c r="B392" s="269"/>
      <c r="C392" s="358"/>
      <c r="D392" s="983"/>
      <c r="E392" s="983"/>
      <c r="F392" s="983"/>
    </row>
    <row r="393" spans="1:6" ht="14.25" customHeight="1">
      <c r="A393" s="269"/>
      <c r="B393" s="269"/>
      <c r="C393" s="358"/>
      <c r="D393" s="983"/>
      <c r="E393" s="983"/>
      <c r="F393" s="983"/>
    </row>
    <row r="394" spans="1:6" ht="14.25" customHeight="1">
      <c r="A394" s="269"/>
      <c r="B394" s="269"/>
      <c r="C394" s="358"/>
      <c r="D394" s="983"/>
      <c r="E394" s="983"/>
      <c r="F394" s="983"/>
    </row>
    <row r="395" spans="1:6" ht="14.25" customHeight="1">
      <c r="A395" s="269"/>
      <c r="B395" s="269"/>
      <c r="C395" s="358"/>
      <c r="D395" s="622"/>
      <c r="E395" s="622"/>
      <c r="F395" s="622"/>
    </row>
    <row r="396" spans="1:6" ht="14.25" customHeight="1">
      <c r="A396" s="269"/>
      <c r="B396" s="604" t="s">
        <v>155</v>
      </c>
      <c r="C396" s="358"/>
      <c r="D396" s="1014" t="s">
        <v>1338</v>
      </c>
      <c r="E396" s="983"/>
      <c r="F396" s="983"/>
    </row>
    <row r="397" spans="1:6" ht="12.75" customHeight="1">
      <c r="A397" s="358"/>
      <c r="B397" s="358"/>
      <c r="C397" s="358"/>
      <c r="D397" s="983"/>
      <c r="E397" s="983"/>
      <c r="F397" s="983"/>
    </row>
    <row r="398" spans="1:6" ht="12.75" customHeight="1">
      <c r="A398" s="358"/>
      <c r="B398" s="358"/>
      <c r="C398" s="358"/>
      <c r="D398" s="983"/>
      <c r="E398" s="983"/>
      <c r="F398" s="983"/>
    </row>
    <row r="399" spans="1:6" ht="12.75" customHeight="1">
      <c r="A399" s="358"/>
      <c r="B399" s="358"/>
      <c r="C399" s="358"/>
      <c r="D399" s="983"/>
      <c r="E399" s="983"/>
      <c r="F399" s="983"/>
    </row>
    <row r="400" spans="1:6" ht="12.75" customHeight="1">
      <c r="A400" s="358"/>
      <c r="B400" s="358"/>
      <c r="C400" s="358"/>
      <c r="D400" s="622"/>
      <c r="E400" s="622"/>
      <c r="F400" s="622"/>
    </row>
    <row r="401" spans="1:6" ht="12.75" customHeight="1">
      <c r="A401" s="358"/>
      <c r="B401" s="358"/>
      <c r="C401" s="358"/>
      <c r="D401" s="1014" t="s">
        <v>1339</v>
      </c>
      <c r="E401" s="983"/>
      <c r="F401" s="983"/>
    </row>
    <row r="402" spans="1:6" ht="12.75" customHeight="1">
      <c r="A402" s="358"/>
      <c r="B402" s="358"/>
      <c r="C402" s="358"/>
      <c r="D402" s="983"/>
      <c r="E402" s="983"/>
      <c r="F402" s="983"/>
    </row>
    <row r="403" spans="1:6" ht="12.75" customHeight="1">
      <c r="A403" s="358"/>
      <c r="B403" s="358"/>
      <c r="C403" s="358"/>
      <c r="D403" s="983"/>
      <c r="E403" s="983"/>
      <c r="F403" s="983"/>
    </row>
    <row r="404" spans="1:6" ht="12.75" customHeight="1">
      <c r="A404" s="358"/>
      <c r="B404" s="358"/>
      <c r="C404" s="358"/>
      <c r="D404" s="983"/>
      <c r="E404" s="983"/>
      <c r="F404" s="983"/>
    </row>
    <row r="405" spans="1:6" ht="12.75" customHeight="1">
      <c r="A405" s="358"/>
      <c r="B405" s="358"/>
      <c r="C405" s="358"/>
      <c r="D405" s="983"/>
      <c r="E405" s="983"/>
      <c r="F405" s="983"/>
    </row>
    <row r="406" spans="1:6" ht="12.75" customHeight="1">
      <c r="A406" s="358"/>
      <c r="B406" s="358"/>
      <c r="C406" s="358"/>
      <c r="D406" s="983"/>
      <c r="E406" s="983"/>
      <c r="F406" s="983"/>
    </row>
    <row r="407" spans="1:6" ht="12.75" customHeight="1">
      <c r="A407" s="358"/>
      <c r="B407" s="358"/>
      <c r="C407" s="358"/>
      <c r="D407" s="983"/>
      <c r="E407" s="983"/>
      <c r="F407" s="983"/>
    </row>
    <row r="408" spans="1:6" ht="12.75" customHeight="1">
      <c r="A408" s="358"/>
      <c r="B408" s="358"/>
      <c r="C408" s="358"/>
      <c r="D408" s="983"/>
      <c r="E408" s="983"/>
      <c r="F408" s="983"/>
    </row>
    <row r="409" spans="1:6" ht="12.75" customHeight="1">
      <c r="A409" s="358"/>
      <c r="B409" s="358"/>
      <c r="C409" s="358"/>
      <c r="D409" s="983"/>
      <c r="E409" s="983"/>
      <c r="F409" s="983"/>
    </row>
    <row r="410" spans="1:6" ht="13.7" customHeight="1">
      <c r="A410" s="358"/>
      <c r="B410" s="358"/>
      <c r="C410" s="358"/>
      <c r="D410" s="1014" t="s">
        <v>1340</v>
      </c>
      <c r="E410" s="983"/>
      <c r="F410" s="983"/>
    </row>
    <row r="411" spans="1:6" ht="13.7" customHeight="1">
      <c r="A411" s="358"/>
      <c r="B411" s="358"/>
      <c r="C411" s="358"/>
      <c r="D411" s="983"/>
      <c r="E411" s="983"/>
      <c r="F411" s="983"/>
    </row>
    <row r="412" spans="1:6" ht="13.7" customHeight="1">
      <c r="A412" s="358"/>
      <c r="B412" s="358"/>
      <c r="C412" s="358"/>
      <c r="D412" s="983"/>
      <c r="E412" s="983"/>
      <c r="F412" s="983"/>
    </row>
    <row r="413" spans="1:6" ht="13.7" customHeight="1">
      <c r="A413" s="358"/>
      <c r="B413" s="358"/>
      <c r="C413" s="358"/>
      <c r="D413" s="983"/>
      <c r="E413" s="983"/>
      <c r="F413" s="983"/>
    </row>
    <row r="414" spans="1:6" ht="13.7" customHeight="1">
      <c r="A414" s="358"/>
      <c r="B414" s="358"/>
      <c r="C414" s="358"/>
      <c r="D414" s="983"/>
      <c r="E414" s="983"/>
      <c r="F414" s="983"/>
    </row>
    <row r="415" spans="1:6" ht="13.7" customHeight="1">
      <c r="A415" s="358"/>
      <c r="B415" s="358"/>
      <c r="C415" s="358"/>
      <c r="D415" s="983"/>
      <c r="E415" s="983"/>
      <c r="F415" s="983"/>
    </row>
    <row r="416" spans="1:6" ht="13.7" customHeight="1">
      <c r="A416" s="358"/>
      <c r="B416" s="358"/>
      <c r="C416" s="358"/>
      <c r="D416" s="983"/>
      <c r="E416" s="983"/>
      <c r="F416" s="983"/>
    </row>
    <row r="417" spans="1:6" ht="13.7" customHeight="1">
      <c r="A417" s="358"/>
      <c r="B417" s="358"/>
      <c r="C417" s="358"/>
      <c r="D417" s="983"/>
      <c r="E417" s="983"/>
      <c r="F417" s="983"/>
    </row>
    <row r="418" spans="1:6" ht="13.7" customHeight="1">
      <c r="A418" s="358"/>
      <c r="B418" s="358"/>
      <c r="C418" s="358"/>
      <c r="D418" s="983"/>
      <c r="E418" s="983"/>
      <c r="F418" s="983"/>
    </row>
    <row r="419" spans="1:6" ht="13.7" customHeight="1">
      <c r="A419" s="358"/>
      <c r="B419" s="358"/>
      <c r="C419" s="358"/>
      <c r="D419" s="983"/>
      <c r="E419" s="983"/>
      <c r="F419" s="983"/>
    </row>
    <row r="420" spans="1:6" ht="13.7" customHeight="1">
      <c r="A420" s="358"/>
      <c r="B420" s="358"/>
      <c r="C420" s="358"/>
      <c r="D420" s="983"/>
      <c r="E420" s="983"/>
      <c r="F420" s="983"/>
    </row>
    <row r="421" spans="1:6" ht="13.7" customHeight="1">
      <c r="A421" s="358"/>
      <c r="B421" s="358"/>
      <c r="C421" s="358"/>
      <c r="D421" s="983"/>
      <c r="E421" s="983"/>
      <c r="F421" s="983"/>
    </row>
    <row r="422" spans="1:6" ht="13.7" customHeight="1">
      <c r="A422" s="358"/>
      <c r="B422" s="358"/>
      <c r="C422" s="358"/>
      <c r="D422" s="983"/>
      <c r="E422" s="983"/>
      <c r="F422" s="983"/>
    </row>
    <row r="423" spans="1:6" ht="13.7" customHeight="1">
      <c r="A423" s="358"/>
      <c r="B423" s="358"/>
      <c r="C423" s="358"/>
      <c r="D423" s="983"/>
      <c r="E423" s="983"/>
      <c r="F423" s="983"/>
    </row>
    <row r="424" spans="1:6" ht="13.7" customHeight="1">
      <c r="A424" s="358"/>
      <c r="B424" s="358"/>
      <c r="C424" s="358"/>
      <c r="D424" s="983"/>
      <c r="E424" s="983"/>
      <c r="F424" s="983"/>
    </row>
    <row r="425" spans="1:6" ht="13.7" customHeight="1">
      <c r="A425" s="358"/>
      <c r="B425" s="358"/>
      <c r="C425" s="358"/>
      <c r="D425" s="983"/>
      <c r="E425" s="983"/>
      <c r="F425" s="983"/>
    </row>
    <row r="426" spans="1:6" ht="13.7" customHeight="1">
      <c r="A426" s="358"/>
      <c r="B426" s="358"/>
      <c r="C426" s="358"/>
      <c r="D426" s="983"/>
      <c r="E426" s="983"/>
      <c r="F426" s="983"/>
    </row>
    <row r="427" spans="1:6" ht="13.7" customHeight="1">
      <c r="A427" s="358"/>
      <c r="B427" s="358"/>
      <c r="C427" s="358"/>
      <c r="D427" s="983"/>
      <c r="E427" s="983"/>
      <c r="F427" s="983"/>
    </row>
    <row r="428" spans="1:6" ht="12.75" customHeight="1">
      <c r="A428" s="358"/>
      <c r="B428" s="358"/>
      <c r="C428" s="358"/>
      <c r="D428" s="417"/>
    </row>
    <row r="429" spans="1:6" ht="13.7" customHeight="1">
      <c r="A429" s="358"/>
      <c r="B429" s="604" t="s">
        <v>155</v>
      </c>
      <c r="C429" s="358"/>
      <c r="D429" s="1014" t="s">
        <v>1341</v>
      </c>
      <c r="E429" s="983"/>
      <c r="F429" s="983"/>
    </row>
    <row r="430" spans="1:6" ht="12.75" customHeight="1">
      <c r="A430" s="358"/>
      <c r="B430" s="358"/>
      <c r="C430" s="358"/>
      <c r="D430" s="983"/>
      <c r="E430" s="983"/>
      <c r="F430" s="983"/>
    </row>
    <row r="431" spans="1:6" ht="12.75" customHeight="1">
      <c r="A431" s="358"/>
      <c r="B431" s="358"/>
      <c r="C431" s="358"/>
      <c r="D431" s="622"/>
      <c r="E431" s="622"/>
      <c r="F431" s="622"/>
    </row>
    <row r="432" spans="1:6" ht="12.75" customHeight="1">
      <c r="A432" s="358"/>
      <c r="B432" s="604" t="s">
        <v>155</v>
      </c>
      <c r="C432" s="358"/>
      <c r="D432" s="1000" t="s">
        <v>1342</v>
      </c>
      <c r="E432" s="983"/>
      <c r="F432" s="983"/>
    </row>
    <row r="433" spans="1:6" ht="12.75" customHeight="1">
      <c r="A433" s="358"/>
      <c r="B433" s="358"/>
      <c r="C433" s="358"/>
      <c r="D433" s="983"/>
      <c r="E433" s="983"/>
      <c r="F433" s="983"/>
    </row>
    <row r="434" spans="1:6" ht="12.75" customHeight="1">
      <c r="A434" s="358"/>
      <c r="B434" s="358"/>
      <c r="C434" s="358"/>
      <c r="D434" s="983"/>
      <c r="E434" s="983"/>
      <c r="F434" s="983"/>
    </row>
    <row r="435" spans="1:6" ht="12.75" customHeight="1">
      <c r="A435" s="358"/>
      <c r="B435" s="358"/>
      <c r="C435" s="358"/>
      <c r="D435" s="983"/>
      <c r="E435" s="983"/>
      <c r="F435" s="983"/>
    </row>
    <row r="436" spans="1:6" ht="12.75" customHeight="1">
      <c r="A436" s="358"/>
      <c r="B436" s="358"/>
      <c r="C436" s="358"/>
      <c r="D436" s="983"/>
      <c r="E436" s="983"/>
      <c r="F436" s="983"/>
    </row>
    <row r="437" spans="1:6" ht="12.75" customHeight="1">
      <c r="A437" s="358"/>
      <c r="B437" s="358"/>
      <c r="C437" s="358"/>
      <c r="D437" s="983"/>
      <c r="E437" s="983"/>
      <c r="F437" s="983"/>
    </row>
    <row r="438" spans="1:6" ht="14.45" customHeight="1">
      <c r="A438" s="269"/>
      <c r="B438" s="604" t="s">
        <v>155</v>
      </c>
      <c r="C438" s="358"/>
      <c r="D438" s="1000" t="s">
        <v>1343</v>
      </c>
      <c r="E438" s="983"/>
      <c r="F438" s="983"/>
    </row>
    <row r="439" spans="1:6" ht="14.25" customHeight="1">
      <c r="A439" s="497"/>
      <c r="B439" s="497"/>
      <c r="C439" s="358"/>
      <c r="D439" s="983"/>
      <c r="E439" s="983"/>
      <c r="F439" s="983"/>
    </row>
    <row r="440" spans="1:6" ht="14.25" customHeight="1">
      <c r="A440" s="497"/>
      <c r="B440" s="497"/>
      <c r="C440" s="358"/>
      <c r="D440" s="983"/>
      <c r="E440" s="983"/>
      <c r="F440" s="983"/>
    </row>
    <row r="441" spans="1:6" ht="14.25" customHeight="1">
      <c r="A441" s="497"/>
      <c r="B441" s="497"/>
      <c r="C441" s="358"/>
      <c r="D441" s="983"/>
      <c r="E441" s="983"/>
      <c r="F441" s="983"/>
    </row>
    <row r="442" spans="1:6" ht="14.25" customHeight="1">
      <c r="A442" s="497"/>
      <c r="B442" s="497"/>
      <c r="C442" s="358"/>
      <c r="D442" s="1052" t="s">
        <v>1344</v>
      </c>
      <c r="E442" s="983"/>
      <c r="F442" s="983"/>
    </row>
    <row r="443" spans="1:6" ht="12.75" customHeight="1">
      <c r="D443" s="44"/>
    </row>
    <row r="444" spans="1:6" ht="14.45" customHeight="1">
      <c r="A444" s="269"/>
      <c r="B444" s="604" t="s">
        <v>155</v>
      </c>
      <c r="C444" s="205"/>
      <c r="D444" s="981" t="s">
        <v>1345</v>
      </c>
      <c r="E444" s="983"/>
      <c r="F444" s="983"/>
    </row>
    <row r="445" spans="1:6" ht="14.25" customHeight="1">
      <c r="A445" s="269"/>
      <c r="B445" s="269"/>
      <c r="D445" s="983"/>
      <c r="E445" s="983"/>
      <c r="F445" s="983"/>
    </row>
    <row r="446" spans="1:6" ht="14.25" customHeight="1">
      <c r="A446" s="269"/>
      <c r="B446" s="269"/>
      <c r="D446" s="983"/>
      <c r="E446" s="983"/>
      <c r="F446" s="983"/>
    </row>
    <row r="447" spans="1:6" ht="14.25" customHeight="1">
      <c r="A447" s="269"/>
      <c r="B447" s="269"/>
      <c r="D447" s="983"/>
      <c r="E447" s="983"/>
      <c r="F447" s="983"/>
    </row>
    <row r="448" spans="1:6" ht="14.25" customHeight="1">
      <c r="A448" s="269"/>
      <c r="B448" s="269"/>
      <c r="D448" s="983"/>
      <c r="E448" s="983"/>
      <c r="F448" s="983"/>
    </row>
    <row r="449" spans="1:6" ht="14.25" customHeight="1">
      <c r="A449" s="269"/>
      <c r="B449" s="269"/>
      <c r="D449" s="983"/>
      <c r="E449" s="983"/>
      <c r="F449" s="983"/>
    </row>
    <row r="450" spans="1:6" ht="14.25" customHeight="1">
      <c r="A450" s="269"/>
      <c r="B450" s="269"/>
      <c r="D450" s="983"/>
      <c r="E450" s="983"/>
      <c r="F450" s="983"/>
    </row>
    <row r="451" spans="1:6" ht="14.25" customHeight="1">
      <c r="A451" s="269"/>
      <c r="B451" s="269"/>
      <c r="D451" s="983"/>
      <c r="E451" s="983"/>
      <c r="F451" s="983"/>
    </row>
    <row r="452" spans="1:6" ht="14.25" customHeight="1">
      <c r="A452" s="269"/>
      <c r="B452" s="269"/>
      <c r="D452" s="983"/>
      <c r="E452" s="983"/>
      <c r="F452" s="983"/>
    </row>
    <row r="453" spans="1:6" ht="14.25" customHeight="1">
      <c r="A453" s="269"/>
      <c r="B453" s="269"/>
      <c r="D453" s="983"/>
      <c r="E453" s="983"/>
      <c r="F453" s="983"/>
    </row>
    <row r="454" spans="1:6" ht="14.25" customHeight="1">
      <c r="A454" s="269"/>
      <c r="B454" s="269"/>
      <c r="D454" s="983"/>
      <c r="E454" s="983"/>
      <c r="F454" s="983"/>
    </row>
    <row r="455" spans="1:6" ht="14.25" customHeight="1">
      <c r="A455" s="269"/>
      <c r="B455" s="269"/>
      <c r="D455" s="983"/>
      <c r="E455" s="983"/>
      <c r="F455" s="983"/>
    </row>
    <row r="456" spans="1:6" ht="14.25" customHeight="1">
      <c r="A456" s="269"/>
      <c r="B456" s="269"/>
      <c r="D456" s="983"/>
      <c r="E456" s="983"/>
      <c r="F456" s="983"/>
    </row>
    <row r="457" spans="1:6" ht="14.25" customHeight="1">
      <c r="A457" s="269"/>
      <c r="B457" s="269"/>
      <c r="D457" s="983"/>
      <c r="E457" s="983"/>
      <c r="F457" s="983"/>
    </row>
    <row r="458" spans="1:6" ht="14.25" customHeight="1">
      <c r="A458" s="269"/>
      <c r="B458" s="269"/>
      <c r="D458" s="983"/>
      <c r="E458" s="983"/>
      <c r="F458" s="983"/>
    </row>
    <row r="459" spans="1:6" ht="14.25" customHeight="1">
      <c r="A459" s="269"/>
      <c r="B459" s="269"/>
      <c r="D459" s="983"/>
      <c r="E459" s="983"/>
      <c r="F459" s="983"/>
    </row>
    <row r="460" spans="1:6" ht="14.25" customHeight="1">
      <c r="A460" s="269"/>
      <c r="B460" s="269"/>
      <c r="D460" s="983"/>
      <c r="E460" s="983"/>
      <c r="F460" s="983"/>
    </row>
    <row r="461" spans="1:6" ht="14.25" customHeight="1">
      <c r="A461" s="269"/>
      <c r="B461" s="269"/>
      <c r="D461" s="983"/>
      <c r="E461" s="983"/>
      <c r="F461" s="983"/>
    </row>
    <row r="462" spans="1:6" ht="14.25" customHeight="1">
      <c r="A462" s="269"/>
      <c r="B462" s="269"/>
      <c r="D462" s="983"/>
      <c r="E462" s="983"/>
      <c r="F462" s="983"/>
    </row>
    <row r="463" spans="1:6" ht="14.25" customHeight="1">
      <c r="A463" s="269"/>
      <c r="B463" s="269"/>
      <c r="D463" s="983"/>
      <c r="E463" s="983"/>
      <c r="F463" s="983"/>
    </row>
    <row r="464" spans="1:6" ht="14.25" customHeight="1">
      <c r="A464" s="269"/>
      <c r="B464" s="269"/>
      <c r="D464" s="983"/>
      <c r="E464" s="983"/>
      <c r="F464" s="983"/>
    </row>
    <row r="465" spans="1:6" ht="14.25" customHeight="1">
      <c r="A465" s="269"/>
      <c r="B465" s="269"/>
      <c r="D465" s="983"/>
      <c r="E465" s="983"/>
      <c r="F465" s="983"/>
    </row>
    <row r="466" spans="1:6" ht="14.25" customHeight="1">
      <c r="A466" s="269"/>
      <c r="B466" s="269"/>
      <c r="D466" s="983"/>
      <c r="E466" s="983"/>
      <c r="F466" s="983"/>
    </row>
    <row r="467" spans="1:6" ht="14.25" customHeight="1">
      <c r="A467" s="269"/>
      <c r="B467" s="269"/>
      <c r="D467" s="983"/>
      <c r="E467" s="983"/>
      <c r="F467" s="983"/>
    </row>
    <row r="468" spans="1:6" ht="14.25" customHeight="1">
      <c r="A468" s="269"/>
      <c r="B468" s="269"/>
      <c r="D468" s="983"/>
      <c r="E468" s="983"/>
      <c r="F468" s="983"/>
    </row>
    <row r="469" spans="1:6" ht="14.25" customHeight="1">
      <c r="A469" s="269"/>
      <c r="B469" s="269"/>
      <c r="D469" s="983"/>
      <c r="E469" s="983"/>
      <c r="F469" s="983"/>
    </row>
    <row r="470" spans="1:6" ht="14.25" customHeight="1">
      <c r="A470" s="269"/>
      <c r="B470" s="269"/>
      <c r="D470" s="983"/>
      <c r="E470" s="983"/>
      <c r="F470" s="983"/>
    </row>
    <row r="471" spans="1:6" ht="14.25" customHeight="1">
      <c r="A471" s="269"/>
      <c r="B471" s="269"/>
      <c r="D471" s="983"/>
      <c r="E471" s="983"/>
      <c r="F471" s="983"/>
    </row>
    <row r="472" spans="1:6" ht="14.25" customHeight="1">
      <c r="A472" s="269"/>
      <c r="B472" s="269"/>
      <c r="D472" s="983"/>
      <c r="E472" s="983"/>
      <c r="F472" s="983"/>
    </row>
    <row r="473" spans="1:6" ht="14.25" customHeight="1">
      <c r="A473" s="269"/>
      <c r="B473" s="269"/>
      <c r="D473" s="983"/>
      <c r="E473" s="983"/>
      <c r="F473" s="983"/>
    </row>
    <row r="474" spans="1:6" ht="12.75" hidden="1" customHeight="1">
      <c r="D474" s="983"/>
      <c r="E474" s="983"/>
      <c r="F474" s="983"/>
    </row>
    <row r="475" spans="1:6" ht="12.75" hidden="1" customHeight="1">
      <c r="D475" s="44"/>
    </row>
    <row r="476" spans="1:6" ht="14.25" customHeight="1">
      <c r="A476" s="269"/>
      <c r="B476" s="604" t="s">
        <v>155</v>
      </c>
      <c r="C476" s="205"/>
      <c r="D476" s="1043" t="s">
        <v>1346</v>
      </c>
      <c r="E476" s="983"/>
      <c r="F476" s="983"/>
    </row>
    <row r="477" spans="1:6" ht="12.75" customHeight="1">
      <c r="E477" s="919" t="s">
        <v>1347</v>
      </c>
      <c r="F477" s="919"/>
    </row>
    <row r="478" spans="1:6" ht="13.7" customHeight="1">
      <c r="D478" s="981" t="s">
        <v>1348</v>
      </c>
      <c r="E478" s="983"/>
      <c r="F478" s="983"/>
    </row>
    <row r="479" spans="1:6" ht="13.7" customHeight="1">
      <c r="D479" s="983"/>
      <c r="E479" s="983"/>
      <c r="F479" s="983"/>
    </row>
    <row r="480" spans="1:6" ht="12.75" customHeight="1">
      <c r="D480" s="44"/>
    </row>
    <row r="481" spans="1:6" ht="14.45" customHeight="1">
      <c r="A481" s="269"/>
      <c r="B481" s="604" t="s">
        <v>155</v>
      </c>
      <c r="C481" s="205"/>
      <c r="D481" s="981" t="s">
        <v>1349</v>
      </c>
      <c r="E481" s="983"/>
      <c r="F481" s="983"/>
    </row>
    <row r="482" spans="1:6" ht="12.75" customHeight="1">
      <c r="D482" s="983"/>
      <c r="E482" s="983"/>
      <c r="F482" s="983"/>
    </row>
    <row r="483" spans="1:6" ht="12.75" customHeight="1">
      <c r="D483" s="983"/>
      <c r="E483" s="983"/>
      <c r="F483" s="983"/>
    </row>
    <row r="484" spans="1:6" ht="12.75" customHeight="1">
      <c r="D484" s="24"/>
      <c r="E484" s="24"/>
      <c r="F484" s="24"/>
    </row>
    <row r="485" spans="1:6" ht="14.25" customHeight="1">
      <c r="B485" s="604" t="s">
        <v>155</v>
      </c>
      <c r="C485" s="269"/>
      <c r="D485" s="981" t="s">
        <v>1350</v>
      </c>
      <c r="E485" s="983"/>
      <c r="F485" s="983"/>
    </row>
    <row r="486" spans="1:6" ht="12.75" customHeight="1">
      <c r="D486" s="983"/>
      <c r="E486" s="983"/>
      <c r="F486" s="983"/>
    </row>
    <row r="487" spans="1:6" ht="12.75" customHeight="1">
      <c r="D487" s="44"/>
      <c r="E487" s="44"/>
    </row>
    <row r="488" spans="1:6" ht="14.25" customHeight="1">
      <c r="B488" s="604" t="s">
        <v>155</v>
      </c>
      <c r="C488" s="269"/>
      <c r="D488" s="1006" t="s">
        <v>1351</v>
      </c>
      <c r="E488" s="983"/>
      <c r="F488" s="983"/>
    </row>
    <row r="489" spans="1:6" ht="12.75" customHeight="1">
      <c r="D489" s="983"/>
      <c r="E489" s="983"/>
      <c r="F489" s="983"/>
    </row>
    <row r="490" spans="1:6" ht="12.75" customHeight="1">
      <c r="D490" s="983"/>
      <c r="E490" s="983"/>
      <c r="F490" s="983"/>
    </row>
    <row r="491" spans="1:6" ht="12.75" customHeight="1">
      <c r="D491" s="983"/>
      <c r="E491" s="983"/>
      <c r="F491" s="983"/>
    </row>
    <row r="492" spans="1:6" ht="12.75" customHeight="1">
      <c r="B492" s="604" t="s">
        <v>155</v>
      </c>
      <c r="D492" s="983"/>
      <c r="E492" s="983"/>
      <c r="F492" s="983"/>
    </row>
    <row r="493" spans="1:6" ht="12.75" customHeight="1">
      <c r="D493" s="983"/>
      <c r="E493" s="983"/>
      <c r="F493" s="983"/>
    </row>
    <row r="494" spans="1:6" ht="12.75" customHeight="1">
      <c r="D494" s="983"/>
      <c r="E494" s="983"/>
      <c r="F494" s="983"/>
    </row>
    <row r="495" spans="1:6" ht="12.75" customHeight="1">
      <c r="B495" s="604" t="s">
        <v>155</v>
      </c>
      <c r="D495" s="983"/>
      <c r="E495" s="983"/>
      <c r="F495" s="983"/>
    </row>
    <row r="496" spans="1:6" ht="12.75" customHeight="1">
      <c r="D496" s="983"/>
      <c r="E496" s="983"/>
      <c r="F496" s="983"/>
    </row>
    <row r="497" spans="1:7" ht="12.75" customHeight="1">
      <c r="D497" s="983"/>
      <c r="E497" s="983"/>
      <c r="F497" s="983"/>
    </row>
    <row r="498" spans="1:7" ht="12.75" customHeight="1">
      <c r="D498" s="983"/>
      <c r="E498" s="983"/>
      <c r="F498" s="983"/>
    </row>
    <row r="499" spans="1:7" ht="12.75" customHeight="1">
      <c r="B499" s="604" t="s">
        <v>155</v>
      </c>
      <c r="D499" s="983"/>
      <c r="E499" s="983"/>
      <c r="F499" s="983"/>
    </row>
    <row r="500" spans="1:7" ht="12.75" customHeight="1">
      <c r="D500" s="983"/>
      <c r="E500" s="983"/>
      <c r="F500" s="983"/>
    </row>
    <row r="501" spans="1:7" ht="12.75" customHeight="1">
      <c r="B501" s="604" t="s">
        <v>155</v>
      </c>
      <c r="D501" s="983"/>
      <c r="E501" s="983"/>
      <c r="F501" s="983"/>
    </row>
    <row r="502" spans="1:7" ht="12.75" customHeight="1">
      <c r="D502" s="983"/>
      <c r="E502" s="983"/>
      <c r="F502" s="983"/>
    </row>
    <row r="503" spans="1:7" ht="13.7" customHeight="1">
      <c r="B503" s="604" t="s">
        <v>155</v>
      </c>
      <c r="D503" s="1006" t="s">
        <v>1352</v>
      </c>
      <c r="E503" s="983"/>
      <c r="F503" s="983"/>
    </row>
    <row r="504" spans="1:7" ht="12.75" customHeight="1">
      <c r="D504" s="983"/>
      <c r="E504" s="983"/>
      <c r="F504" s="983"/>
    </row>
    <row r="505" spans="1:7" ht="12.75" customHeight="1">
      <c r="D505" s="983"/>
      <c r="E505" s="983"/>
      <c r="F505" s="983"/>
    </row>
    <row r="506" spans="1:7" ht="12.75" customHeight="1">
      <c r="D506" s="983"/>
      <c r="E506" s="983"/>
      <c r="F506" s="983"/>
    </row>
    <row r="507" spans="1:7" ht="12.75" customHeight="1">
      <c r="D507" s="983"/>
      <c r="E507" s="983"/>
      <c r="F507" s="983"/>
    </row>
    <row r="508" spans="1:7" ht="12.75" customHeight="1">
      <c r="D508" s="44"/>
    </row>
    <row r="509" spans="1:7" ht="12.75" customHeight="1">
      <c r="B509" s="604" t="s">
        <v>155</v>
      </c>
      <c r="D509" s="1002" t="s">
        <v>1353</v>
      </c>
      <c r="E509" s="983"/>
      <c r="F509" s="983"/>
    </row>
    <row r="510" spans="1:7" ht="12.75" customHeight="1">
      <c r="A510" s="44"/>
      <c r="B510" s="44"/>
    </row>
    <row r="511" spans="1:7" ht="12.75" customHeight="1">
      <c r="A511" s="1001" t="s">
        <v>1354</v>
      </c>
      <c r="B511" s="973"/>
      <c r="C511" s="973"/>
      <c r="D511" s="973"/>
      <c r="E511" s="973"/>
      <c r="F511" s="973"/>
      <c r="G511" s="973"/>
    </row>
    <row r="512" spans="1:7" ht="12.75" customHeight="1">
      <c r="A512" s="44"/>
      <c r="B512" s="44"/>
    </row>
    <row r="513" spans="1:6" ht="12.75" customHeight="1">
      <c r="D513" s="1058" t="s">
        <v>1355</v>
      </c>
      <c r="E513" s="983"/>
      <c r="F513" s="983"/>
    </row>
    <row r="514" spans="1:6" ht="12.75" customHeight="1">
      <c r="D514" s="1025" t="s">
        <v>1356</v>
      </c>
      <c r="E514" s="983"/>
      <c r="F514" s="983"/>
    </row>
    <row r="515" spans="1:6" ht="14.25" customHeight="1">
      <c r="A515" s="269"/>
      <c r="B515" s="269"/>
      <c r="D515" s="417"/>
    </row>
    <row r="516" spans="1:6" ht="14.25" customHeight="1">
      <c r="A516" s="269"/>
      <c r="B516" s="604" t="s">
        <v>155</v>
      </c>
      <c r="D516" s="1014" t="s">
        <v>1357</v>
      </c>
      <c r="E516" s="983"/>
      <c r="F516" s="983"/>
    </row>
    <row r="517" spans="1:6" ht="14.25" customHeight="1">
      <c r="A517" s="269"/>
      <c r="B517" s="269"/>
      <c r="D517" s="983"/>
      <c r="E517" s="983"/>
      <c r="F517" s="983"/>
    </row>
    <row r="518" spans="1:6" ht="14.25" customHeight="1">
      <c r="A518" s="269"/>
      <c r="B518" s="269"/>
      <c r="D518" s="44"/>
    </row>
    <row r="519" spans="1:6" ht="14.25" customHeight="1">
      <c r="A519" s="269"/>
      <c r="B519" s="604" t="s">
        <v>155</v>
      </c>
      <c r="D519" s="1044" t="s">
        <v>1358</v>
      </c>
      <c r="E519" s="983"/>
      <c r="F519" s="983"/>
    </row>
    <row r="520" spans="1:6" ht="14.25" customHeight="1">
      <c r="A520" s="269"/>
      <c r="B520" s="269"/>
      <c r="D520" s="983"/>
      <c r="E520" s="983"/>
      <c r="F520" s="983"/>
    </row>
    <row r="521" spans="1:6" ht="14.25" customHeight="1">
      <c r="A521" s="269"/>
      <c r="B521" s="269"/>
      <c r="D521" s="983"/>
      <c r="E521" s="983"/>
      <c r="F521" s="983"/>
    </row>
    <row r="522" spans="1:6" ht="14.25" customHeight="1">
      <c r="A522" s="269"/>
      <c r="B522" s="269"/>
      <c r="D522" s="983"/>
      <c r="E522" s="983"/>
      <c r="F522" s="983"/>
    </row>
    <row r="523" spans="1:6" ht="12.75" customHeight="1"/>
    <row r="524" spans="1:6" ht="14.25" customHeight="1">
      <c r="A524" s="269"/>
      <c r="B524" s="604" t="s">
        <v>155</v>
      </c>
      <c r="D524" s="1002" t="s">
        <v>1359</v>
      </c>
      <c r="E524" s="983"/>
      <c r="F524" s="983"/>
    </row>
    <row r="525" spans="1:6" ht="12.75" customHeight="1">
      <c r="D525" s="44"/>
    </row>
    <row r="526" spans="1:6" ht="14.25" customHeight="1">
      <c r="A526" s="269"/>
      <c r="B526" s="604" t="s">
        <v>155</v>
      </c>
      <c r="D526" s="1006" t="s">
        <v>1360</v>
      </c>
      <c r="E526" s="983"/>
      <c r="F526" s="983"/>
    </row>
    <row r="527" spans="1:6" ht="12.75" customHeight="1">
      <c r="D527" s="983"/>
      <c r="E527" s="983"/>
      <c r="F527" s="983"/>
    </row>
    <row r="528" spans="1:6" ht="12.75" customHeight="1">
      <c r="D528" s="417"/>
    </row>
    <row r="529" spans="1:7" ht="14.25" customHeight="1">
      <c r="A529" s="269"/>
      <c r="B529" s="604" t="s">
        <v>155</v>
      </c>
      <c r="D529" s="1002" t="s">
        <v>1361</v>
      </c>
      <c r="E529" s="983"/>
      <c r="F529" s="983"/>
    </row>
    <row r="530" spans="1:7" ht="14.25" customHeight="1">
      <c r="A530" s="269"/>
      <c r="B530" s="269"/>
      <c r="D530" s="44"/>
    </row>
    <row r="531" spans="1:7" ht="12.75" customHeight="1">
      <c r="A531" s="1001" t="s">
        <v>1362</v>
      </c>
      <c r="B531" s="973"/>
      <c r="C531" s="973"/>
      <c r="D531" s="973"/>
      <c r="E531" s="973"/>
      <c r="F531" s="973"/>
      <c r="G531" s="973"/>
    </row>
    <row r="532" spans="1:7" ht="12" customHeight="1">
      <c r="A532" s="269"/>
      <c r="B532" s="269"/>
      <c r="D532" s="44"/>
    </row>
    <row r="533" spans="1:7" ht="12.75" customHeight="1">
      <c r="B533" s="604" t="s">
        <v>48</v>
      </c>
      <c r="C533" s="188"/>
      <c r="D533" s="1051" t="s">
        <v>1363</v>
      </c>
      <c r="E533" s="983"/>
      <c r="F533" s="983"/>
    </row>
    <row r="534" spans="1:7" ht="12.75" customHeight="1">
      <c r="C534" s="188"/>
      <c r="D534" s="983"/>
      <c r="E534" s="983"/>
      <c r="F534" s="983"/>
    </row>
    <row r="535" spans="1:7" ht="12.75" customHeight="1">
      <c r="A535" s="189"/>
      <c r="B535" s="189"/>
      <c r="C535" s="189"/>
      <c r="D535" s="983"/>
      <c r="E535" s="983"/>
      <c r="F535" s="983"/>
    </row>
    <row r="536" spans="1:7" ht="12.75" customHeight="1">
      <c r="A536" s="189"/>
      <c r="B536" s="189"/>
      <c r="C536" s="189"/>
      <c r="D536" s="983"/>
      <c r="E536" s="983"/>
      <c r="F536" s="983"/>
    </row>
    <row r="537" spans="1:7" ht="12.75" customHeight="1">
      <c r="A537" s="189"/>
      <c r="B537" s="189"/>
      <c r="C537" s="189"/>
    </row>
    <row r="538" spans="1:7" ht="14.25" customHeight="1">
      <c r="A538" s="269"/>
      <c r="B538" s="604" t="s">
        <v>155</v>
      </c>
      <c r="C538" s="205"/>
      <c r="D538" s="1028" t="s">
        <v>1364</v>
      </c>
      <c r="E538" s="983"/>
      <c r="F538" s="983"/>
    </row>
    <row r="539" spans="1:7" ht="12.75" customHeight="1">
      <c r="A539" s="205"/>
      <c r="B539" s="205"/>
      <c r="C539" s="205"/>
      <c r="D539" s="983"/>
      <c r="E539" s="983"/>
      <c r="F539" s="983"/>
    </row>
    <row r="540" spans="1:7" ht="12.75" customHeight="1">
      <c r="A540" s="189"/>
      <c r="B540" s="189"/>
      <c r="C540" s="189"/>
      <c r="D540" s="44"/>
    </row>
    <row r="541" spans="1:7" ht="12.75" customHeight="1">
      <c r="A541" s="189"/>
      <c r="B541" s="604" t="s">
        <v>48</v>
      </c>
      <c r="C541" s="189"/>
      <c r="D541" s="920" t="s">
        <v>1365</v>
      </c>
      <c r="E541" s="921"/>
    </row>
    <row r="542" spans="1:7" ht="12.75" customHeight="1">
      <c r="A542" s="189"/>
      <c r="B542" s="189"/>
      <c r="C542" s="189"/>
      <c r="D542" s="921"/>
      <c r="E542" s="102" t="s">
        <v>1366</v>
      </c>
    </row>
    <row r="543" spans="1:7" ht="14.25" customHeight="1">
      <c r="A543" s="269"/>
      <c r="D543" s="1014" t="s">
        <v>1367</v>
      </c>
      <c r="E543" s="983"/>
      <c r="F543" s="983"/>
    </row>
    <row r="544" spans="1:7" ht="14.25" customHeight="1">
      <c r="A544" s="269"/>
      <c r="B544" s="269"/>
      <c r="D544" s="983"/>
      <c r="E544" s="983"/>
      <c r="F544" s="983"/>
    </row>
    <row r="545" spans="1:7" ht="12.75" customHeight="1">
      <c r="D545" s="983"/>
      <c r="E545" s="983"/>
      <c r="F545" s="983"/>
    </row>
    <row r="546" spans="1:7" ht="12" customHeight="1">
      <c r="A546" s="44"/>
      <c r="B546" s="44"/>
      <c r="C546" s="205"/>
      <c r="E546" s="44"/>
    </row>
    <row r="547" spans="1:7" ht="12.75" customHeight="1">
      <c r="A547" s="1001" t="s">
        <v>1368</v>
      </c>
      <c r="B547" s="973"/>
      <c r="C547" s="973"/>
      <c r="D547" s="973"/>
      <c r="E547" s="973"/>
      <c r="F547" s="973"/>
      <c r="G547" s="973"/>
    </row>
    <row r="548" spans="1:7" ht="12" customHeight="1">
      <c r="A548" s="44"/>
      <c r="B548" s="44"/>
      <c r="C548" s="205"/>
      <c r="E548" s="44"/>
    </row>
    <row r="549" spans="1:7" ht="12.75" customHeight="1">
      <c r="C549" s="205"/>
      <c r="D549" s="1008" t="s">
        <v>1369</v>
      </c>
      <c r="E549" s="983"/>
      <c r="F549" s="983"/>
    </row>
    <row r="550" spans="1:7" ht="12.75" customHeight="1"/>
    <row r="551" spans="1:7" ht="12.75" customHeight="1">
      <c r="B551" s="604" t="s">
        <v>155</v>
      </c>
      <c r="D551" s="1006" t="s">
        <v>1370</v>
      </c>
      <c r="E551" s="983"/>
      <c r="F551" s="983"/>
    </row>
    <row r="552" spans="1:7" ht="12.75" customHeight="1">
      <c r="D552" s="983"/>
      <c r="E552" s="983"/>
      <c r="F552" s="983"/>
    </row>
    <row r="553" spans="1:7" ht="12" customHeight="1">
      <c r="A553" s="205"/>
      <c r="B553" s="205"/>
      <c r="C553" s="205"/>
      <c r="D553" s="44"/>
    </row>
    <row r="554" spans="1:7" ht="14.25" customHeight="1">
      <c r="A554" s="269"/>
      <c r="B554" s="604" t="s">
        <v>155</v>
      </c>
      <c r="C554" s="205"/>
      <c r="D554" s="1006" t="s">
        <v>1371</v>
      </c>
      <c r="E554" s="983"/>
      <c r="F554" s="983"/>
    </row>
    <row r="555" spans="1:7" ht="12.75" customHeight="1">
      <c r="A555" s="205"/>
      <c r="B555" s="205"/>
      <c r="C555" s="205"/>
      <c r="D555" s="983"/>
      <c r="E555" s="983"/>
      <c r="F555" s="983"/>
    </row>
    <row r="556" spans="1:7" ht="12" customHeight="1">
      <c r="A556" s="205"/>
      <c r="B556" s="205"/>
      <c r="C556" s="205"/>
      <c r="D556" s="44"/>
    </row>
    <row r="557" spans="1:7" ht="12.75" customHeight="1">
      <c r="A557" s="1040" t="s">
        <v>1372</v>
      </c>
      <c r="B557" s="973"/>
      <c r="C557" s="973"/>
      <c r="D557" s="973"/>
      <c r="E557" s="973"/>
      <c r="F557" s="973"/>
      <c r="G557" s="973"/>
    </row>
    <row r="558" spans="1:7" ht="12" customHeight="1">
      <c r="A558" s="44"/>
      <c r="B558" s="44"/>
      <c r="C558" s="205"/>
      <c r="D558" s="44"/>
    </row>
    <row r="559" spans="1:7" ht="12.75" customHeight="1">
      <c r="C559" s="205"/>
      <c r="D559" s="1008" t="s">
        <v>1373</v>
      </c>
      <c r="E559" s="983"/>
      <c r="F559" s="983"/>
    </row>
    <row r="560" spans="1:7" ht="12.75" customHeight="1">
      <c r="C560" s="205"/>
      <c r="D560" s="1002" t="s">
        <v>1374</v>
      </c>
      <c r="E560" s="983"/>
      <c r="F560" s="983"/>
    </row>
    <row r="561" spans="1:6" ht="12.75" customHeight="1">
      <c r="C561" s="205"/>
      <c r="D561" s="44"/>
      <c r="E561" s="44"/>
      <c r="F561" s="44"/>
    </row>
    <row r="562" spans="1:6" ht="14.25" customHeight="1">
      <c r="A562" s="269"/>
      <c r="B562" s="604" t="s">
        <v>48</v>
      </c>
      <c r="C562" s="205"/>
      <c r="D562" s="1002" t="s">
        <v>1375</v>
      </c>
      <c r="E562" s="983"/>
      <c r="F562" s="983"/>
    </row>
    <row r="563" spans="1:6" ht="12" customHeight="1">
      <c r="A563" s="205"/>
      <c r="B563" s="205"/>
      <c r="C563" s="205"/>
      <c r="D563" s="44"/>
    </row>
    <row r="564" spans="1:6" ht="14.45" customHeight="1">
      <c r="A564" s="269"/>
      <c r="B564" s="604" t="s">
        <v>48</v>
      </c>
      <c r="C564" s="205"/>
      <c r="D564" s="1006" t="s">
        <v>1376</v>
      </c>
      <c r="E564" s="983"/>
      <c r="F564" s="983"/>
    </row>
    <row r="565" spans="1:6" ht="12.75" customHeight="1">
      <c r="A565" s="205"/>
      <c r="B565" s="205"/>
      <c r="C565" s="205"/>
      <c r="D565" s="983"/>
      <c r="E565" s="983"/>
      <c r="F565" s="983"/>
    </row>
    <row r="566" spans="1:6" ht="12" customHeight="1">
      <c r="A566" s="205"/>
      <c r="B566" s="205"/>
      <c r="C566" s="205"/>
      <c r="D566" s="44"/>
    </row>
    <row r="567" spans="1:6" ht="14.25" customHeight="1">
      <c r="A567" s="269"/>
      <c r="B567" s="604" t="s">
        <v>48</v>
      </c>
      <c r="C567" s="205"/>
      <c r="D567" s="1006" t="s">
        <v>1377</v>
      </c>
      <c r="E567" s="983"/>
      <c r="F567" s="983"/>
    </row>
    <row r="568" spans="1:6" ht="12.75" customHeight="1">
      <c r="A568" s="205"/>
      <c r="B568" s="205"/>
      <c r="C568" s="205"/>
      <c r="D568" s="983"/>
      <c r="E568" s="983"/>
      <c r="F568" s="983"/>
    </row>
    <row r="569" spans="1:6" ht="12" customHeight="1">
      <c r="A569" s="205"/>
      <c r="B569" s="205"/>
      <c r="C569" s="205"/>
      <c r="D569" s="44"/>
    </row>
    <row r="570" spans="1:6" ht="14.25" customHeight="1">
      <c r="A570" s="269"/>
      <c r="B570" s="604" t="s">
        <v>48</v>
      </c>
      <c r="C570" s="205"/>
      <c r="D570" s="1006" t="s">
        <v>1378</v>
      </c>
      <c r="E570" s="983"/>
      <c r="F570" s="983"/>
    </row>
    <row r="571" spans="1:6" ht="12.75" customHeight="1">
      <c r="A571" s="205"/>
      <c r="B571" s="205"/>
      <c r="C571" s="205"/>
      <c r="D571" s="983"/>
      <c r="E571" s="983"/>
      <c r="F571" s="983"/>
    </row>
    <row r="572" spans="1:6" ht="12" customHeight="1">
      <c r="A572" s="205"/>
      <c r="B572" s="205"/>
      <c r="C572" s="205"/>
      <c r="D572" s="44"/>
    </row>
    <row r="573" spans="1:6" ht="14.45" customHeight="1">
      <c r="A573" s="269"/>
      <c r="B573" s="604" t="s">
        <v>48</v>
      </c>
      <c r="C573" s="205"/>
      <c r="D573" s="1006" t="s">
        <v>1379</v>
      </c>
      <c r="E573" s="983"/>
      <c r="F573" s="983"/>
    </row>
    <row r="574" spans="1:6" ht="12.75" hidden="1" customHeight="1">
      <c r="A574" s="205"/>
      <c r="B574" s="205"/>
      <c r="C574" s="205"/>
      <c r="D574" s="983"/>
      <c r="E574" s="983"/>
      <c r="F574" s="983"/>
    </row>
    <row r="575" spans="1:6" ht="12.75" customHeight="1">
      <c r="A575" s="205"/>
      <c r="B575" s="205"/>
      <c r="C575" s="205"/>
      <c r="D575" s="983"/>
      <c r="E575" s="983"/>
      <c r="F575" s="983"/>
    </row>
    <row r="576" spans="1:6" ht="12.75" customHeight="1">
      <c r="A576" s="205"/>
      <c r="B576" s="205"/>
      <c r="C576" s="205"/>
      <c r="D576" s="44"/>
    </row>
    <row r="577" spans="1:6" ht="14.25" customHeight="1">
      <c r="A577" s="269"/>
      <c r="B577" s="604" t="s">
        <v>48</v>
      </c>
      <c r="C577" s="205"/>
      <c r="D577" s="981" t="s">
        <v>1380</v>
      </c>
      <c r="E577" s="983"/>
      <c r="F577" s="983"/>
    </row>
    <row r="578" spans="1:6" ht="12.75" customHeight="1">
      <c r="A578" s="205"/>
      <c r="B578" s="205"/>
      <c r="C578" s="205"/>
      <c r="D578" s="983"/>
      <c r="E578" s="983"/>
      <c r="F578" s="983"/>
    </row>
    <row r="579" spans="1:6" ht="12.75" customHeight="1">
      <c r="A579" s="205"/>
      <c r="B579" s="205"/>
      <c r="C579" s="205"/>
      <c r="D579" s="44"/>
    </row>
    <row r="580" spans="1:6" ht="14.25" customHeight="1">
      <c r="A580" s="269"/>
      <c r="B580" s="604" t="s">
        <v>48</v>
      </c>
      <c r="C580" s="205"/>
      <c r="D580" s="1006" t="s">
        <v>1381</v>
      </c>
      <c r="E580" s="983"/>
      <c r="F580" s="983"/>
    </row>
    <row r="581" spans="1:6" ht="12.75" customHeight="1">
      <c r="A581" s="205"/>
      <c r="B581" s="205"/>
      <c r="C581" s="205"/>
      <c r="D581" s="983"/>
      <c r="E581" s="983"/>
      <c r="F581" s="983"/>
    </row>
    <row r="582" spans="1:6" ht="12" customHeight="1">
      <c r="A582" s="205"/>
      <c r="B582" s="205"/>
      <c r="C582" s="205"/>
      <c r="D582" s="44"/>
    </row>
    <row r="583" spans="1:6" ht="14.25" customHeight="1">
      <c r="A583" s="269"/>
      <c r="B583" s="604" t="s">
        <v>48</v>
      </c>
      <c r="C583" s="205"/>
      <c r="D583" s="1002" t="s">
        <v>1382</v>
      </c>
      <c r="E583" s="983"/>
      <c r="F583" s="983"/>
    </row>
    <row r="584" spans="1:6" ht="14.25" customHeight="1">
      <c r="A584" s="269"/>
      <c r="B584" s="269"/>
      <c r="C584" s="205"/>
      <c r="D584" s="1021" t="s">
        <v>1383</v>
      </c>
      <c r="E584" s="983"/>
      <c r="F584" s="983"/>
    </row>
    <row r="585" spans="1:6" ht="12.75" customHeight="1">
      <c r="A585" s="18"/>
      <c r="B585" s="18"/>
      <c r="C585" s="205"/>
      <c r="D585" s="922"/>
      <c r="E585" s="102" t="s">
        <v>1384</v>
      </c>
      <c r="F585" s="923"/>
    </row>
    <row r="586" spans="1:6" ht="15" customHeight="1">
      <c r="A586" s="18"/>
      <c r="B586" s="18"/>
      <c r="C586" s="205"/>
      <c r="D586" s="981" t="s">
        <v>1385</v>
      </c>
      <c r="E586" s="983"/>
      <c r="F586" s="983"/>
    </row>
    <row r="587" spans="1:6" ht="12.75" customHeight="1">
      <c r="A587" s="18"/>
      <c r="B587" s="18"/>
      <c r="C587" s="205"/>
      <c r="D587" s="983"/>
      <c r="E587" s="983"/>
      <c r="F587" s="983"/>
    </row>
    <row r="588" spans="1:6" ht="12.75" customHeight="1">
      <c r="A588" s="18"/>
      <c r="B588" s="18"/>
      <c r="C588" s="205"/>
      <c r="D588" s="983"/>
      <c r="E588" s="983"/>
      <c r="F588" s="983"/>
    </row>
    <row r="589" spans="1:6" ht="12.75" customHeight="1">
      <c r="A589" s="18"/>
      <c r="B589" s="18"/>
      <c r="C589" s="205"/>
      <c r="D589" s="983"/>
      <c r="E589" s="983"/>
      <c r="F589" s="983"/>
    </row>
    <row r="590" spans="1:6" ht="12.75" customHeight="1">
      <c r="A590" s="18"/>
      <c r="B590" s="18"/>
      <c r="C590" s="205"/>
      <c r="D590" s="983"/>
      <c r="E590" s="983"/>
      <c r="F590" s="983"/>
    </row>
    <row r="591" spans="1:6" ht="12.75" customHeight="1">
      <c r="A591" s="18"/>
      <c r="B591" s="18"/>
      <c r="C591" s="205"/>
      <c r="D591" s="983"/>
      <c r="E591" s="983"/>
      <c r="F591" s="983"/>
    </row>
    <row r="592" spans="1:6" ht="12.75" customHeight="1">
      <c r="A592" s="18"/>
      <c r="B592" s="18"/>
      <c r="C592" s="205"/>
      <c r="D592" s="983"/>
      <c r="E592" s="983"/>
      <c r="F592" s="983"/>
    </row>
    <row r="593" spans="1:6" ht="12.75" customHeight="1">
      <c r="A593" s="18"/>
      <c r="B593" s="18"/>
      <c r="C593" s="205"/>
      <c r="D593" s="983"/>
      <c r="E593" s="983"/>
      <c r="F593" s="983"/>
    </row>
    <row r="594" spans="1:6" ht="12.75" customHeight="1">
      <c r="A594" s="18"/>
      <c r="B594" s="18"/>
      <c r="C594" s="205"/>
      <c r="D594" s="983"/>
      <c r="E594" s="983"/>
      <c r="F594" s="983"/>
    </row>
    <row r="595" spans="1:6" ht="12.75" customHeight="1">
      <c r="A595" s="18"/>
      <c r="B595" s="18"/>
      <c r="C595" s="205"/>
      <c r="D595" s="207"/>
      <c r="E595" s="207"/>
      <c r="F595" s="207"/>
    </row>
    <row r="596" spans="1:6" ht="14.25" customHeight="1">
      <c r="A596" s="269"/>
      <c r="B596" s="604" t="s">
        <v>48</v>
      </c>
      <c r="C596" s="205"/>
      <c r="D596" s="1002" t="s">
        <v>1386</v>
      </c>
      <c r="E596" s="983"/>
      <c r="F596" s="983"/>
    </row>
    <row r="597" spans="1:6" ht="13.7" customHeight="1">
      <c r="C597" s="205"/>
      <c r="D597" s="1006" t="s">
        <v>1387</v>
      </c>
      <c r="E597" s="983"/>
      <c r="F597" s="983"/>
    </row>
    <row r="598" spans="1:6" ht="12.75" customHeight="1">
      <c r="A598" s="205"/>
      <c r="B598" s="205"/>
      <c r="C598" s="205"/>
      <c r="D598" s="983"/>
      <c r="E598" s="983"/>
      <c r="F598" s="983"/>
    </row>
    <row r="599" spans="1:6" ht="12.75" customHeight="1">
      <c r="A599" s="205"/>
      <c r="B599" s="205"/>
      <c r="C599" s="205"/>
      <c r="D599" s="983"/>
      <c r="E599" s="983"/>
      <c r="F599" s="983"/>
    </row>
    <row r="600" spans="1:6" ht="12.75" customHeight="1">
      <c r="A600" s="205"/>
      <c r="B600" s="205"/>
      <c r="C600" s="205"/>
      <c r="D600" s="207"/>
      <c r="E600" s="207"/>
      <c r="F600" s="207"/>
    </row>
    <row r="601" spans="1:6" ht="14.45" customHeight="1">
      <c r="A601" s="269"/>
      <c r="B601" s="604" t="s">
        <v>48</v>
      </c>
      <c r="C601" s="205"/>
      <c r="D601" s="1006" t="s">
        <v>1388</v>
      </c>
      <c r="E601" s="983"/>
      <c r="F601" s="983"/>
    </row>
    <row r="602" spans="1:6" ht="14.25" customHeight="1">
      <c r="A602" s="269"/>
      <c r="B602" s="269"/>
      <c r="C602" s="205"/>
      <c r="D602" s="983"/>
      <c r="E602" s="983"/>
      <c r="F602" s="983"/>
    </row>
    <row r="603" spans="1:6" ht="14.25" customHeight="1">
      <c r="A603" s="269"/>
      <c r="B603" s="269"/>
      <c r="C603" s="205"/>
      <c r="D603" s="983"/>
      <c r="E603" s="983"/>
      <c r="F603" s="983"/>
    </row>
    <row r="604" spans="1:6" ht="12.75" customHeight="1">
      <c r="A604" s="205"/>
      <c r="B604" s="205"/>
      <c r="C604" s="205"/>
      <c r="D604" s="983"/>
      <c r="E604" s="983"/>
      <c r="F604" s="983"/>
    </row>
    <row r="605" spans="1:6" ht="12.75" customHeight="1">
      <c r="A605" s="205"/>
      <c r="B605" s="205"/>
      <c r="C605" s="205"/>
      <c r="D605" s="44"/>
    </row>
    <row r="606" spans="1:6" ht="12.75" customHeight="1">
      <c r="A606" s="189"/>
      <c r="B606" s="604" t="s">
        <v>48</v>
      </c>
      <c r="C606" s="189"/>
      <c r="D606" s="1009" t="s">
        <v>1389</v>
      </c>
      <c r="E606" s="983"/>
      <c r="F606" s="983"/>
    </row>
    <row r="607" spans="1:6" ht="12.75" customHeight="1">
      <c r="A607" s="189"/>
      <c r="B607" s="189"/>
      <c r="C607" s="189"/>
    </row>
    <row r="608" spans="1:6" ht="12.75" customHeight="1">
      <c r="A608" s="205"/>
      <c r="B608" s="205"/>
      <c r="C608" s="205"/>
      <c r="D608" s="24"/>
      <c r="E608" s="24"/>
      <c r="F608" s="24"/>
    </row>
    <row r="609" spans="1:7" ht="12.75" customHeight="1">
      <c r="A609" s="1001" t="s">
        <v>1390</v>
      </c>
      <c r="B609" s="973"/>
      <c r="C609" s="973"/>
      <c r="D609" s="973"/>
      <c r="E609" s="973"/>
      <c r="F609" s="973"/>
      <c r="G609" s="973"/>
    </row>
    <row r="610" spans="1:7" ht="12.75" customHeight="1">
      <c r="A610" s="205"/>
      <c r="B610" s="205"/>
      <c r="C610" s="205"/>
    </row>
    <row r="611" spans="1:7" ht="12.75" customHeight="1">
      <c r="C611" s="188"/>
      <c r="D611" s="1019" t="s">
        <v>1391</v>
      </c>
      <c r="E611" s="983"/>
      <c r="F611" s="983"/>
    </row>
    <row r="612" spans="1:7" ht="12.75" customHeight="1">
      <c r="C612" s="188"/>
      <c r="D612" s="1012" t="s">
        <v>1392</v>
      </c>
      <c r="E612" s="983"/>
      <c r="F612" s="983"/>
    </row>
    <row r="613" spans="1:7" ht="12.75" customHeight="1">
      <c r="C613" s="188"/>
      <c r="D613" s="368"/>
    </row>
    <row r="614" spans="1:7" ht="14.45" customHeight="1">
      <c r="A614" s="269"/>
      <c r="B614" s="604" t="s">
        <v>48</v>
      </c>
      <c r="D614" s="1012" t="s">
        <v>1393</v>
      </c>
      <c r="E614" s="983"/>
      <c r="F614" s="983"/>
    </row>
    <row r="615" spans="1:7" ht="14.45" customHeight="1">
      <c r="A615" s="269"/>
      <c r="B615" s="269"/>
      <c r="D615" s="983"/>
      <c r="E615" s="983"/>
      <c r="F615" s="983"/>
    </row>
    <row r="616" spans="1:7" ht="14.25" customHeight="1">
      <c r="A616" s="269"/>
      <c r="B616" s="269"/>
      <c r="D616" s="983"/>
      <c r="E616" s="983"/>
      <c r="F616" s="983"/>
    </row>
    <row r="617" spans="1:7" ht="14.25" customHeight="1">
      <c r="A617" s="269"/>
      <c r="B617" s="269"/>
      <c r="D617" s="608"/>
      <c r="E617" s="608"/>
      <c r="F617" s="608"/>
    </row>
    <row r="618" spans="1:7" ht="14.25" customHeight="1">
      <c r="A618" s="269"/>
      <c r="B618" s="604" t="s">
        <v>48</v>
      </c>
      <c r="D618" s="1012" t="s">
        <v>1394</v>
      </c>
      <c r="E618" s="983"/>
      <c r="F618" s="983"/>
    </row>
    <row r="619" spans="1:7" ht="14.25" customHeight="1">
      <c r="A619" s="269"/>
      <c r="B619" s="269"/>
      <c r="D619" s="983"/>
      <c r="E619" s="983"/>
      <c r="F619" s="983"/>
    </row>
    <row r="620" spans="1:7" ht="14.25" customHeight="1">
      <c r="A620" s="269"/>
      <c r="B620" s="269"/>
      <c r="D620" s="983"/>
      <c r="E620" s="983"/>
      <c r="F620" s="983"/>
    </row>
    <row r="621" spans="1:7" ht="14.25" customHeight="1">
      <c r="A621" s="269"/>
      <c r="B621" s="269"/>
      <c r="D621" s="983"/>
      <c r="E621" s="983"/>
      <c r="F621" s="983"/>
    </row>
    <row r="622" spans="1:7" ht="14.25" customHeight="1">
      <c r="A622" s="269"/>
      <c r="B622" s="269"/>
      <c r="D622" s="368"/>
    </row>
    <row r="623" spans="1:7" ht="14.25" customHeight="1">
      <c r="A623" s="269"/>
      <c r="B623" s="604" t="s">
        <v>48</v>
      </c>
      <c r="D623" s="1012" t="s">
        <v>1395</v>
      </c>
      <c r="E623" s="983"/>
      <c r="F623" s="983"/>
    </row>
    <row r="624" spans="1:7" ht="14.25" customHeight="1">
      <c r="A624" s="269"/>
      <c r="B624" s="269"/>
      <c r="D624" s="983"/>
      <c r="E624" s="983"/>
      <c r="F624" s="983"/>
    </row>
    <row r="625" spans="1:7" ht="14.25" customHeight="1">
      <c r="A625" s="269"/>
      <c r="B625" s="269"/>
      <c r="D625" s="368"/>
    </row>
    <row r="626" spans="1:7" ht="14.45" customHeight="1">
      <c r="A626" s="269"/>
      <c r="B626" s="604" t="s">
        <v>48</v>
      </c>
      <c r="D626" s="1012" t="s">
        <v>1396</v>
      </c>
      <c r="E626" s="983"/>
      <c r="F626" s="983"/>
    </row>
    <row r="627" spans="1:7" ht="14.25" customHeight="1">
      <c r="A627" s="269"/>
      <c r="B627" s="269"/>
      <c r="D627" s="983"/>
      <c r="E627" s="983"/>
      <c r="F627" s="983"/>
    </row>
    <row r="628" spans="1:7" ht="14.25" customHeight="1">
      <c r="A628" s="269"/>
      <c r="B628" s="269"/>
      <c r="D628" s="368"/>
    </row>
    <row r="629" spans="1:7" ht="14.25" customHeight="1">
      <c r="A629" s="269"/>
      <c r="B629" s="604" t="s">
        <v>48</v>
      </c>
      <c r="D629" s="1012" t="s">
        <v>1397</v>
      </c>
      <c r="E629" s="983"/>
      <c r="F629" s="983"/>
    </row>
    <row r="630" spans="1:7" ht="12.75" customHeight="1">
      <c r="A630" s="18"/>
      <c r="B630" s="18"/>
    </row>
    <row r="631" spans="1:7" ht="12.75" customHeight="1">
      <c r="A631" s="1001" t="s">
        <v>1398</v>
      </c>
      <c r="B631" s="973"/>
      <c r="C631" s="973"/>
      <c r="D631" s="973"/>
      <c r="E631" s="973"/>
      <c r="F631" s="973"/>
      <c r="G631" s="973"/>
    </row>
    <row r="632" spans="1:7" ht="12.75" customHeight="1">
      <c r="A632" s="63"/>
      <c r="B632" s="63"/>
    </row>
    <row r="633" spans="1:7" ht="12.75" customHeight="1">
      <c r="C633" s="189"/>
      <c r="D633" s="1003" t="s">
        <v>1399</v>
      </c>
      <c r="E633" s="983"/>
      <c r="F633" s="983"/>
    </row>
    <row r="634" spans="1:7" ht="12.75" customHeight="1">
      <c r="C634" s="189"/>
      <c r="D634" s="999" t="s">
        <v>1400</v>
      </c>
      <c r="E634" s="983"/>
      <c r="F634" s="983"/>
    </row>
    <row r="635" spans="1:7" ht="12.75" customHeight="1">
      <c r="C635" s="189"/>
      <c r="D635" s="100"/>
      <c r="E635" s="100"/>
      <c r="F635" s="100"/>
    </row>
    <row r="636" spans="1:7" ht="14.25" customHeight="1">
      <c r="A636" s="269"/>
      <c r="B636" s="604" t="s">
        <v>48</v>
      </c>
      <c r="D636" s="1034" t="s">
        <v>1401</v>
      </c>
      <c r="E636" s="983"/>
      <c r="F636" s="983"/>
    </row>
    <row r="637" spans="1:7" ht="12.75" customHeight="1">
      <c r="D637" s="983"/>
      <c r="E637" s="983"/>
      <c r="F637" s="983"/>
    </row>
    <row r="638" spans="1:7" ht="12.75" customHeight="1">
      <c r="D638" s="924"/>
      <c r="E638" s="918" t="s">
        <v>1402</v>
      </c>
      <c r="F638" s="924"/>
    </row>
    <row r="639" spans="1:7" ht="12.75" customHeight="1">
      <c r="D639" s="924"/>
      <c r="E639" s="918"/>
      <c r="F639" s="924"/>
    </row>
    <row r="640" spans="1:7" ht="12.75" customHeight="1">
      <c r="B640" s="604" t="s">
        <v>48</v>
      </c>
      <c r="D640" s="1034" t="s">
        <v>1403</v>
      </c>
      <c r="E640" s="983"/>
      <c r="F640" s="983"/>
    </row>
    <row r="641" spans="1:7" ht="12.75" customHeight="1">
      <c r="D641" s="983"/>
      <c r="E641" s="983"/>
      <c r="F641" s="983"/>
    </row>
    <row r="642" spans="1:7" ht="12.75" customHeight="1">
      <c r="D642" s="983"/>
      <c r="E642" s="983"/>
      <c r="F642" s="983"/>
    </row>
    <row r="643" spans="1:7" ht="12.75" customHeight="1">
      <c r="D643" s="983"/>
      <c r="E643" s="983"/>
      <c r="F643" s="983"/>
    </row>
    <row r="644" spans="1:7" ht="12.75" customHeight="1">
      <c r="D644" s="924"/>
      <c r="E644" s="918"/>
      <c r="F644" s="924"/>
    </row>
    <row r="645" spans="1:7" ht="12.75" customHeight="1">
      <c r="A645" s="63"/>
      <c r="B645" s="63"/>
    </row>
    <row r="646" spans="1:7" ht="12" customHeight="1">
      <c r="A646" s="1001" t="s">
        <v>1404</v>
      </c>
      <c r="B646" s="973"/>
      <c r="C646" s="973"/>
      <c r="D646" s="973"/>
      <c r="E646" s="973"/>
      <c r="F646" s="973"/>
      <c r="G646" s="973"/>
    </row>
    <row r="647" spans="1:7" ht="12.75" customHeight="1">
      <c r="A647" s="44"/>
      <c r="B647" s="44"/>
    </row>
    <row r="648" spans="1:7" ht="12.75" customHeight="1">
      <c r="C648" s="188"/>
      <c r="D648" s="1008" t="s">
        <v>1405</v>
      </c>
      <c r="E648" s="983"/>
      <c r="F648" s="983"/>
    </row>
    <row r="649" spans="1:7" ht="12.75" customHeight="1">
      <c r="A649" s="189"/>
      <c r="B649" s="189"/>
      <c r="C649" s="189"/>
      <c r="D649" s="1002" t="s">
        <v>1406</v>
      </c>
      <c r="E649" s="983"/>
      <c r="F649" s="983"/>
    </row>
    <row r="650" spans="1:7" ht="12.75" customHeight="1">
      <c r="A650" s="189"/>
      <c r="B650" s="189"/>
      <c r="C650" s="189"/>
    </row>
    <row r="651" spans="1:7" ht="14.25" customHeight="1">
      <c r="A651" s="269"/>
      <c r="B651" s="269"/>
      <c r="D651" s="1003" t="s">
        <v>1407</v>
      </c>
      <c r="E651" s="983"/>
      <c r="F651" s="983"/>
    </row>
    <row r="652" spans="1:7" ht="14.25" customHeight="1">
      <c r="A652" s="269"/>
      <c r="B652" s="604" t="s">
        <v>48</v>
      </c>
      <c r="D652" s="999" t="s">
        <v>1408</v>
      </c>
      <c r="E652" s="983"/>
      <c r="F652" s="983"/>
    </row>
    <row r="653" spans="1:7" ht="14.25" customHeight="1">
      <c r="A653" s="269"/>
      <c r="B653" s="269"/>
      <c r="D653" s="44"/>
    </row>
    <row r="654" spans="1:7" ht="14.25" customHeight="1">
      <c r="A654" s="269"/>
      <c r="B654" s="604" t="s">
        <v>48</v>
      </c>
      <c r="D654" s="1006" t="s">
        <v>1409</v>
      </c>
      <c r="E654" s="983"/>
      <c r="F654" s="983"/>
    </row>
    <row r="655" spans="1:7" ht="14.25" customHeight="1">
      <c r="A655" s="269"/>
      <c r="B655" s="269"/>
      <c r="D655" s="983"/>
      <c r="E655" s="983"/>
      <c r="F655" s="983"/>
    </row>
    <row r="656" spans="1:7" ht="14.25" customHeight="1">
      <c r="A656" s="269"/>
      <c r="B656" s="269"/>
      <c r="D656" s="44"/>
    </row>
    <row r="657" spans="1:7" ht="14.25" customHeight="1">
      <c r="A657" s="269"/>
      <c r="B657" s="604" t="s">
        <v>48</v>
      </c>
      <c r="D657" s="981" t="s">
        <v>1410</v>
      </c>
      <c r="E657" s="983"/>
      <c r="F657" s="983"/>
    </row>
    <row r="658" spans="1:7" ht="13.7" customHeight="1">
      <c r="D658" s="983"/>
      <c r="E658" s="983"/>
      <c r="F658" s="983"/>
    </row>
    <row r="659" spans="1:7" ht="12.75" customHeight="1"/>
    <row r="660" spans="1:7" ht="14.25" customHeight="1">
      <c r="A660" s="269"/>
      <c r="B660" s="604" t="s">
        <v>48</v>
      </c>
      <c r="D660" s="999" t="s">
        <v>1411</v>
      </c>
      <c r="E660" s="983"/>
      <c r="F660" s="983"/>
    </row>
    <row r="661" spans="1:7" ht="12.75" customHeight="1">
      <c r="A661" s="188"/>
      <c r="B661" s="188"/>
      <c r="C661" s="188"/>
    </row>
    <row r="662" spans="1:7" ht="12.75" customHeight="1">
      <c r="A662" s="1001" t="s">
        <v>1412</v>
      </c>
      <c r="B662" s="973"/>
      <c r="C662" s="973"/>
      <c r="D662" s="973"/>
      <c r="E662" s="973"/>
      <c r="F662" s="973"/>
      <c r="G662" s="973"/>
    </row>
    <row r="663" spans="1:7" ht="12.75" customHeight="1">
      <c r="A663" s="188"/>
      <c r="B663" s="188"/>
      <c r="C663" s="188"/>
    </row>
    <row r="664" spans="1:7" ht="12.75" customHeight="1">
      <c r="C664" s="18"/>
      <c r="D664" s="1029" t="s">
        <v>1413</v>
      </c>
      <c r="E664" s="983"/>
      <c r="F664" s="983"/>
    </row>
    <row r="665" spans="1:7" ht="12.75" customHeight="1">
      <c r="A665" s="18"/>
      <c r="B665" s="18"/>
      <c r="D665" s="3"/>
    </row>
    <row r="666" spans="1:7" ht="14.25" customHeight="1">
      <c r="A666" s="269"/>
      <c r="B666" s="604" t="s">
        <v>48</v>
      </c>
      <c r="D666" s="1034" t="s">
        <v>1414</v>
      </c>
      <c r="E666" s="983"/>
      <c r="F666" s="983"/>
    </row>
    <row r="667" spans="1:7" ht="14.25" customHeight="1">
      <c r="A667" s="269"/>
      <c r="B667" s="269"/>
      <c r="D667" s="983"/>
      <c r="E667" s="983"/>
      <c r="F667" s="983"/>
    </row>
    <row r="668" spans="1:7" ht="12.75" customHeight="1">
      <c r="D668" s="924"/>
      <c r="E668" s="918" t="s">
        <v>1415</v>
      </c>
      <c r="F668" s="924"/>
    </row>
    <row r="669" spans="1:7" ht="12.75" customHeight="1">
      <c r="D669" s="989" t="s">
        <v>1416</v>
      </c>
      <c r="E669" s="983"/>
      <c r="F669" s="983"/>
    </row>
    <row r="670" spans="1:7" ht="12.75" customHeight="1">
      <c r="D670" s="983"/>
      <c r="E670" s="983"/>
      <c r="F670" s="983"/>
    </row>
    <row r="671" spans="1:7" ht="12.75" customHeight="1">
      <c r="D671" s="983"/>
      <c r="E671" s="983"/>
      <c r="F671" s="983"/>
    </row>
    <row r="672" spans="1:7" ht="12.75" customHeight="1"/>
    <row r="673" spans="1:9" ht="14.25" customHeight="1">
      <c r="A673" s="301"/>
      <c r="B673" s="604" t="s">
        <v>48</v>
      </c>
      <c r="D673" s="1035" t="s">
        <v>1417</v>
      </c>
      <c r="E673" s="983"/>
      <c r="F673" s="983"/>
      <c r="G673" s="44"/>
    </row>
    <row r="674" spans="1:9" ht="14.25" customHeight="1">
      <c r="A674" s="301"/>
      <c r="B674" s="301"/>
      <c r="D674" s="983"/>
      <c r="E674" s="983"/>
      <c r="F674" s="983"/>
      <c r="G674" s="44"/>
    </row>
    <row r="675" spans="1:9" ht="14.25" customHeight="1">
      <c r="A675" s="301"/>
      <c r="B675" s="301"/>
      <c r="D675" s="44"/>
      <c r="E675" s="44"/>
      <c r="F675" s="44"/>
      <c r="G675" s="44"/>
    </row>
    <row r="676" spans="1:9" ht="13.7" customHeight="1">
      <c r="A676" s="301"/>
      <c r="B676" s="604" t="s">
        <v>48</v>
      </c>
      <c r="D676" s="1015" t="s">
        <v>1418</v>
      </c>
      <c r="E676" s="983"/>
      <c r="F676" s="983"/>
      <c r="G676" s="44"/>
    </row>
    <row r="677" spans="1:9" ht="14.25" customHeight="1">
      <c r="A677" s="301"/>
      <c r="B677" s="301"/>
      <c r="D677" s="983"/>
      <c r="E677" s="983"/>
      <c r="F677" s="983"/>
      <c r="G677" s="44"/>
    </row>
    <row r="678" spans="1:9" ht="14.25" customHeight="1">
      <c r="A678" s="269"/>
      <c r="B678" s="269"/>
      <c r="D678" s="621"/>
      <c r="E678" s="621"/>
      <c r="F678" s="621"/>
      <c r="G678" s="44"/>
    </row>
    <row r="679" spans="1:9" ht="14.25" customHeight="1">
      <c r="A679" s="269"/>
      <c r="B679" s="604" t="s">
        <v>48</v>
      </c>
      <c r="C679" s="205"/>
      <c r="D679" s="1047" t="s">
        <v>1419</v>
      </c>
      <c r="E679" s="983"/>
      <c r="F679" s="983"/>
      <c r="G679" s="44"/>
    </row>
    <row r="680" spans="1:9" ht="12.75" customHeight="1">
      <c r="A680" s="44"/>
      <c r="B680" s="44"/>
      <c r="C680" s="205"/>
      <c r="D680" s="44"/>
      <c r="E680" s="44"/>
      <c r="F680" s="44"/>
      <c r="G680" s="44"/>
      <c r="H680" s="265"/>
      <c r="I680" s="265"/>
    </row>
    <row r="681" spans="1:9" ht="12.75" customHeight="1">
      <c r="A681" s="1001" t="s">
        <v>1420</v>
      </c>
      <c r="B681" s="973"/>
      <c r="C681" s="973"/>
      <c r="D681" s="973"/>
      <c r="E681" s="973"/>
      <c r="F681" s="973"/>
      <c r="G681" s="973"/>
    </row>
    <row r="682" spans="1:9" ht="12.75" customHeight="1">
      <c r="A682" s="44"/>
      <c r="B682" s="44"/>
      <c r="C682" s="205"/>
      <c r="D682" s="44"/>
      <c r="E682" s="44"/>
      <c r="F682" s="44"/>
      <c r="G682" s="44"/>
    </row>
    <row r="683" spans="1:9" ht="12.75" customHeight="1">
      <c r="C683" s="188"/>
      <c r="D683" s="1008" t="s">
        <v>1421</v>
      </c>
      <c r="E683" s="983"/>
      <c r="F683" s="983"/>
      <c r="G683" s="44"/>
    </row>
    <row r="684" spans="1:9" ht="12.75" customHeight="1">
      <c r="A684" s="189"/>
      <c r="B684" s="189"/>
      <c r="C684" s="189"/>
      <c r="D684" s="1002" t="s">
        <v>1422</v>
      </c>
      <c r="E684" s="983"/>
      <c r="F684" s="983"/>
      <c r="G684" s="44"/>
    </row>
    <row r="685" spans="1:9" ht="12.75" customHeight="1">
      <c r="A685" s="189"/>
      <c r="B685" s="189"/>
      <c r="C685" s="189"/>
      <c r="D685" s="44"/>
      <c r="E685" s="44"/>
      <c r="F685" s="44"/>
      <c r="G685" s="44"/>
    </row>
    <row r="686" spans="1:9" ht="14.45" customHeight="1">
      <c r="A686" s="269"/>
      <c r="B686" s="604" t="s">
        <v>48</v>
      </c>
      <c r="C686" s="205"/>
      <c r="D686" s="981" t="s">
        <v>1423</v>
      </c>
      <c r="E686" s="983"/>
      <c r="F686" s="983"/>
      <c r="G686" s="44"/>
    </row>
    <row r="687" spans="1:9" ht="14.25" customHeight="1">
      <c r="A687" s="269"/>
      <c r="B687" s="269"/>
      <c r="C687" s="205"/>
      <c r="D687" s="983"/>
      <c r="E687" s="983"/>
      <c r="F687" s="983"/>
      <c r="G687" s="44"/>
    </row>
    <row r="688" spans="1:9" ht="14.25" customHeight="1">
      <c r="A688" s="269"/>
      <c r="B688" s="269"/>
      <c r="C688" s="205"/>
      <c r="D688" s="983"/>
      <c r="E688" s="983"/>
      <c r="F688" s="983"/>
      <c r="G688" s="44"/>
    </row>
    <row r="689" spans="1:7" ht="14.25" customHeight="1">
      <c r="A689" s="269"/>
      <c r="B689" s="269"/>
      <c r="C689" s="205"/>
      <c r="D689" s="983"/>
      <c r="E689" s="983"/>
      <c r="F689" s="983"/>
      <c r="G689" s="44"/>
    </row>
    <row r="690" spans="1:7" ht="14.25" customHeight="1">
      <c r="A690" s="269"/>
      <c r="B690" s="269"/>
      <c r="C690" s="205"/>
      <c r="D690" s="983"/>
      <c r="E690" s="983"/>
      <c r="F690" s="983"/>
      <c r="G690" s="44"/>
    </row>
    <row r="691" spans="1:7" ht="14.25" customHeight="1">
      <c r="A691" s="269"/>
      <c r="B691" s="269"/>
      <c r="C691" s="205"/>
      <c r="D691" s="983"/>
      <c r="E691" s="983"/>
      <c r="F691" s="983"/>
      <c r="G691" s="44"/>
    </row>
    <row r="692" spans="1:7" ht="14.25" hidden="1" customHeight="1">
      <c r="A692" s="269"/>
      <c r="B692" s="269"/>
      <c r="C692" s="205"/>
      <c r="D692" s="368"/>
      <c r="F692" s="44"/>
      <c r="G692" s="44"/>
    </row>
    <row r="693" spans="1:7" ht="14.25" hidden="1" customHeight="1">
      <c r="A693" s="269"/>
      <c r="B693" s="604" t="s">
        <v>48</v>
      </c>
      <c r="C693" s="205"/>
      <c r="D693" s="1004" t="s">
        <v>1424</v>
      </c>
      <c r="E693" s="983"/>
      <c r="F693" s="983"/>
      <c r="G693" s="44"/>
    </row>
    <row r="694" spans="1:7" ht="14.25" hidden="1" customHeight="1">
      <c r="A694" s="269"/>
      <c r="B694" s="269"/>
      <c r="C694" s="205"/>
      <c r="D694" s="1024" t="s">
        <v>1425</v>
      </c>
      <c r="E694" s="983"/>
      <c r="F694" s="983"/>
      <c r="G694" s="44"/>
    </row>
    <row r="695" spans="1:7" ht="14.25" hidden="1" customHeight="1">
      <c r="A695" s="269"/>
      <c r="B695" s="269"/>
      <c r="C695" s="205"/>
      <c r="D695" s="983"/>
      <c r="E695" s="983"/>
      <c r="F695" s="983"/>
      <c r="G695" s="44"/>
    </row>
    <row r="696" spans="1:7" ht="14.25" hidden="1" customHeight="1">
      <c r="A696" s="269"/>
      <c r="B696" s="269"/>
      <c r="C696" s="205"/>
      <c r="D696" s="983"/>
      <c r="E696" s="983"/>
      <c r="F696" s="983"/>
      <c r="G696" s="44"/>
    </row>
    <row r="697" spans="1:7" ht="14.25" hidden="1" customHeight="1">
      <c r="A697" s="269"/>
      <c r="B697" s="269"/>
      <c r="C697" s="205"/>
      <c r="D697" s="983"/>
      <c r="E697" s="983"/>
      <c r="F697" s="983"/>
      <c r="G697" s="44"/>
    </row>
    <row r="698" spans="1:7" ht="14.25" hidden="1" customHeight="1">
      <c r="A698" s="269"/>
      <c r="B698" s="269"/>
      <c r="C698" s="205"/>
      <c r="D698" s="983"/>
      <c r="E698" s="983"/>
      <c r="F698" s="983"/>
      <c r="G698" s="44"/>
    </row>
    <row r="699" spans="1:7" ht="14.25" hidden="1" customHeight="1">
      <c r="A699" s="269"/>
      <c r="B699" s="269"/>
      <c r="C699" s="205"/>
      <c r="D699" s="1039" t="s">
        <v>1426</v>
      </c>
      <c r="E699" s="983"/>
      <c r="F699" s="983"/>
      <c r="G699" s="44"/>
    </row>
    <row r="700" spans="1:7" ht="12.75" customHeight="1">
      <c r="A700" s="44"/>
      <c r="B700" s="44"/>
      <c r="C700" s="205"/>
      <c r="D700" s="44"/>
      <c r="E700" s="44"/>
      <c r="F700" s="44"/>
      <c r="G700" s="44"/>
    </row>
    <row r="701" spans="1:7" ht="12.75" customHeight="1">
      <c r="A701" s="1001" t="s">
        <v>1427</v>
      </c>
      <c r="B701" s="973"/>
      <c r="C701" s="973"/>
      <c r="D701" s="973"/>
      <c r="E701" s="973"/>
      <c r="F701" s="973"/>
      <c r="G701" s="973"/>
    </row>
    <row r="702" spans="1:7" ht="12.75" customHeight="1">
      <c r="A702" s="44"/>
      <c r="B702" s="44"/>
      <c r="C702" s="205"/>
      <c r="D702" s="44"/>
      <c r="E702" s="44"/>
      <c r="F702" s="44"/>
      <c r="G702" s="44"/>
    </row>
    <row r="703" spans="1:7" ht="12.75" customHeight="1">
      <c r="C703" s="188"/>
      <c r="D703" s="1008" t="s">
        <v>1428</v>
      </c>
      <c r="E703" s="983"/>
      <c r="F703" s="983"/>
      <c r="G703" s="44"/>
    </row>
    <row r="704" spans="1:7" ht="12.75" customHeight="1">
      <c r="A704" s="188"/>
      <c r="B704" s="188"/>
      <c r="C704" s="188"/>
      <c r="D704" s="1008" t="s">
        <v>1429</v>
      </c>
      <c r="E704" s="983"/>
      <c r="F704" s="983"/>
      <c r="G704" s="44"/>
    </row>
    <row r="705" spans="1:6" ht="12.75" customHeight="1">
      <c r="A705" s="189"/>
      <c r="B705" s="189"/>
      <c r="C705" s="189"/>
      <c r="D705" s="1002" t="s">
        <v>1430</v>
      </c>
      <c r="E705" s="983"/>
      <c r="F705" s="983"/>
    </row>
    <row r="706" spans="1:6" ht="14.25" customHeight="1">
      <c r="A706" s="189"/>
      <c r="B706" s="189"/>
      <c r="C706" s="189"/>
    </row>
    <row r="707" spans="1:6" ht="14.25" customHeight="1">
      <c r="A707" s="269"/>
      <c r="B707" s="604" t="s">
        <v>48</v>
      </c>
      <c r="C707" s="189"/>
      <c r="D707" s="1002" t="s">
        <v>1431</v>
      </c>
      <c r="E707" s="983"/>
      <c r="F707" s="983"/>
    </row>
    <row r="708" spans="1:6" ht="12.75" customHeight="1">
      <c r="A708" s="189"/>
      <c r="B708" s="189"/>
      <c r="C708" s="189"/>
      <c r="D708" s="1002" t="s">
        <v>1308</v>
      </c>
      <c r="E708" s="983"/>
      <c r="F708" s="983"/>
    </row>
    <row r="709" spans="1:6" ht="12.75" customHeight="1">
      <c r="A709" s="189"/>
      <c r="B709" s="189"/>
      <c r="C709" s="189"/>
      <c r="E709" s="918" t="s">
        <v>1432</v>
      </c>
      <c r="F709" s="15"/>
    </row>
    <row r="710" spans="1:6" ht="12.75" customHeight="1">
      <c r="A710" s="189"/>
      <c r="B710" s="189"/>
      <c r="C710" s="189"/>
      <c r="E710" s="917" t="s">
        <v>1433</v>
      </c>
      <c r="F710" s="15"/>
    </row>
    <row r="711" spans="1:6" ht="12.75" customHeight="1">
      <c r="A711" s="189"/>
      <c r="B711" s="189"/>
      <c r="C711" s="189"/>
      <c r="D711" s="210"/>
      <c r="E711" s="210"/>
      <c r="F711" s="210"/>
    </row>
    <row r="712" spans="1:6" ht="14.25" customHeight="1">
      <c r="A712" s="269"/>
      <c r="B712" s="604" t="s">
        <v>48</v>
      </c>
      <c r="C712" s="189"/>
      <c r="D712" s="1006" t="s">
        <v>1434</v>
      </c>
      <c r="E712" s="983"/>
      <c r="F712" s="983"/>
    </row>
    <row r="713" spans="1:6" ht="12.75" customHeight="1">
      <c r="A713" s="18"/>
      <c r="B713" s="18"/>
      <c r="C713" s="189"/>
      <c r="D713" s="983"/>
      <c r="E713" s="983"/>
      <c r="F713" s="983"/>
    </row>
    <row r="714" spans="1:6" ht="12.75" customHeight="1">
      <c r="A714" s="189"/>
      <c r="B714" s="189"/>
      <c r="C714" s="189"/>
      <c r="D714" s="983"/>
      <c r="E714" s="983"/>
      <c r="F714" s="983"/>
    </row>
    <row r="715" spans="1:6" ht="12.75" customHeight="1">
      <c r="A715" s="189"/>
      <c r="B715" s="189"/>
      <c r="C715" s="189"/>
    </row>
    <row r="716" spans="1:6" ht="14.25" customHeight="1">
      <c r="A716" s="269"/>
      <c r="B716" s="604" t="s">
        <v>48</v>
      </c>
      <c r="C716" s="189"/>
      <c r="D716" s="1002" t="s">
        <v>1435</v>
      </c>
      <c r="E716" s="983"/>
      <c r="F716" s="983"/>
    </row>
    <row r="717" spans="1:6" ht="14.25" customHeight="1">
      <c r="A717" s="269"/>
      <c r="B717" s="269"/>
      <c r="C717" s="189"/>
      <c r="D717" s="1002" t="s">
        <v>1308</v>
      </c>
      <c r="E717" s="983"/>
      <c r="F717" s="983"/>
    </row>
    <row r="718" spans="1:6" ht="12.75" customHeight="1">
      <c r="A718" s="189"/>
      <c r="B718" s="189"/>
      <c r="C718" s="189"/>
      <c r="E718" s="1010" t="s">
        <v>1436</v>
      </c>
      <c r="F718" s="983"/>
    </row>
    <row r="719" spans="1:6" ht="12.75" customHeight="1">
      <c r="A719" s="189"/>
      <c r="B719" s="189"/>
      <c r="C719" s="189"/>
      <c r="D719" s="3"/>
    </row>
    <row r="720" spans="1:6" ht="14.25" customHeight="1">
      <c r="A720" s="269"/>
      <c r="B720" s="604" t="s">
        <v>48</v>
      </c>
      <c r="C720" s="189"/>
      <c r="D720" s="1006" t="s">
        <v>1437</v>
      </c>
      <c r="E720" s="983"/>
      <c r="F720" s="983"/>
    </row>
    <row r="721" spans="1:6" ht="12.75" customHeight="1">
      <c r="A721" s="189"/>
      <c r="B721" s="189"/>
      <c r="C721" s="189"/>
      <c r="D721" s="983"/>
      <c r="E721" s="983"/>
      <c r="F721" s="983"/>
    </row>
    <row r="722" spans="1:6" ht="12.75" customHeight="1">
      <c r="A722" s="189"/>
      <c r="B722" s="189"/>
      <c r="C722" s="189"/>
      <c r="D722" s="983"/>
      <c r="E722" s="983"/>
      <c r="F722" s="983"/>
    </row>
    <row r="723" spans="1:6" ht="12.75" customHeight="1">
      <c r="A723" s="189"/>
      <c r="B723" s="189"/>
      <c r="C723" s="189"/>
      <c r="D723" s="983"/>
      <c r="E723" s="983"/>
      <c r="F723" s="983"/>
    </row>
    <row r="724" spans="1:6" ht="12.75" customHeight="1">
      <c r="A724" s="189"/>
      <c r="B724" s="189"/>
      <c r="C724" s="189"/>
      <c r="D724" s="983"/>
      <c r="E724" s="983"/>
      <c r="F724" s="983"/>
    </row>
    <row r="725" spans="1:6" ht="12.75" customHeight="1">
      <c r="A725" s="189"/>
      <c r="B725" s="189"/>
      <c r="C725" s="189"/>
      <c r="D725" s="983"/>
      <c r="E725" s="983"/>
      <c r="F725" s="983"/>
    </row>
    <row r="726" spans="1:6" ht="12.75" customHeight="1">
      <c r="A726" s="189"/>
      <c r="B726" s="189"/>
      <c r="C726" s="189"/>
      <c r="D726" s="983"/>
      <c r="E726" s="983"/>
      <c r="F726" s="983"/>
    </row>
    <row r="727" spans="1:6" ht="12.75" customHeight="1">
      <c r="A727" s="189"/>
      <c r="B727" s="604" t="s">
        <v>48</v>
      </c>
      <c r="C727" s="189"/>
      <c r="D727" s="981" t="s">
        <v>1438</v>
      </c>
      <c r="E727" s="983"/>
      <c r="F727" s="983"/>
    </row>
    <row r="728" spans="1:6" ht="12.75" customHeight="1">
      <c r="A728" s="189"/>
      <c r="B728" s="189"/>
      <c r="C728" s="189"/>
      <c r="D728" s="983"/>
      <c r="E728" s="983"/>
      <c r="F728" s="983"/>
    </row>
    <row r="729" spans="1:6" ht="12.75" customHeight="1">
      <c r="A729" s="189"/>
      <c r="B729" s="189"/>
      <c r="C729" s="189"/>
    </row>
    <row r="730" spans="1:6" ht="14.45" customHeight="1">
      <c r="A730" s="269"/>
      <c r="B730" s="604" t="s">
        <v>48</v>
      </c>
      <c r="C730" s="189"/>
      <c r="D730" s="1006" t="s">
        <v>1439</v>
      </c>
      <c r="E730" s="983"/>
      <c r="F730" s="983"/>
    </row>
    <row r="731" spans="1:6" ht="12.75" customHeight="1">
      <c r="A731" s="189"/>
      <c r="B731" s="189"/>
      <c r="C731" s="189"/>
      <c r="D731" s="983"/>
      <c r="E731" s="983"/>
      <c r="F731" s="983"/>
    </row>
    <row r="732" spans="1:6" ht="12.75" customHeight="1">
      <c r="A732" s="189"/>
      <c r="B732" s="189"/>
      <c r="C732" s="189"/>
      <c r="D732" s="983"/>
      <c r="E732" s="983"/>
      <c r="F732" s="983"/>
    </row>
    <row r="733" spans="1:6" ht="12.75" customHeight="1">
      <c r="A733" s="189"/>
      <c r="B733" s="189"/>
      <c r="C733" s="189"/>
      <c r="D733" s="983"/>
      <c r="E733" s="983"/>
      <c r="F733" s="983"/>
    </row>
    <row r="734" spans="1:6" ht="12.75" customHeight="1">
      <c r="A734" s="189"/>
      <c r="B734" s="189"/>
      <c r="C734" s="189"/>
      <c r="D734" s="983"/>
      <c r="E734" s="983"/>
      <c r="F734" s="983"/>
    </row>
    <row r="735" spans="1:6" ht="12.75" customHeight="1">
      <c r="A735" s="189"/>
      <c r="B735" s="189"/>
      <c r="C735" s="189"/>
      <c r="D735" s="983"/>
      <c r="E735" s="983"/>
      <c r="F735" s="983"/>
    </row>
    <row r="736" spans="1:6" ht="12.75" customHeight="1">
      <c r="A736" s="189"/>
      <c r="B736" s="189"/>
      <c r="C736" s="189"/>
      <c r="D736" s="983"/>
      <c r="E736" s="983"/>
      <c r="F736" s="983"/>
    </row>
    <row r="737" spans="1:9" ht="12.75" customHeight="1">
      <c r="A737" s="189"/>
      <c r="B737" s="189"/>
      <c r="C737" s="189"/>
      <c r="D737" s="983"/>
      <c r="E737" s="983"/>
      <c r="F737" s="983"/>
    </row>
    <row r="738" spans="1:9" ht="12.75" customHeight="1">
      <c r="A738" s="189"/>
      <c r="B738" s="189"/>
      <c r="C738" s="189"/>
      <c r="D738" s="983"/>
      <c r="E738" s="983"/>
      <c r="F738" s="983"/>
    </row>
    <row r="739" spans="1:9" ht="12.75" customHeight="1">
      <c r="A739" s="189"/>
      <c r="B739" s="189"/>
      <c r="C739" s="189"/>
      <c r="D739" s="983"/>
      <c r="E739" s="983"/>
      <c r="F739" s="983"/>
    </row>
    <row r="740" spans="1:9" ht="12.75" customHeight="1">
      <c r="A740" s="189"/>
      <c r="B740" s="189"/>
      <c r="C740" s="189"/>
      <c r="D740" s="983"/>
      <c r="E740" s="983"/>
      <c r="F740" s="983"/>
    </row>
    <row r="741" spans="1:9" ht="12.75" customHeight="1">
      <c r="A741" s="189"/>
      <c r="B741" s="189"/>
      <c r="C741" s="189"/>
      <c r="D741" s="983"/>
      <c r="E741" s="983"/>
      <c r="F741" s="983"/>
    </row>
    <row r="742" spans="1:9" ht="12.75" customHeight="1">
      <c r="A742" s="189"/>
      <c r="B742" s="189"/>
      <c r="C742" s="189"/>
      <c r="D742" s="983"/>
      <c r="E742" s="983"/>
      <c r="F742" s="983"/>
    </row>
    <row r="743" spans="1:9" ht="12.75" customHeight="1">
      <c r="A743" s="189"/>
      <c r="B743" s="604" t="s">
        <v>48</v>
      </c>
      <c r="C743" s="189"/>
      <c r="D743" s="1006" t="s">
        <v>1440</v>
      </c>
      <c r="E743" s="983"/>
      <c r="F743" s="983"/>
      <c r="H743" s="265"/>
      <c r="I743" s="265"/>
    </row>
    <row r="744" spans="1:9" ht="12.75" customHeight="1">
      <c r="A744" s="189"/>
      <c r="B744" s="189"/>
      <c r="C744" s="189"/>
      <c r="D744" s="983"/>
      <c r="E744" s="983"/>
      <c r="F744" s="983"/>
      <c r="H744" s="265"/>
      <c r="I744" s="265"/>
    </row>
    <row r="745" spans="1:9" ht="12.75" customHeight="1">
      <c r="A745" s="189"/>
      <c r="B745" s="189"/>
      <c r="C745" s="189"/>
      <c r="D745" s="24"/>
      <c r="E745" s="24"/>
      <c r="F745" s="24"/>
      <c r="H745" s="265"/>
      <c r="I745" s="265"/>
    </row>
    <row r="746" spans="1:9" ht="12.75" customHeight="1">
      <c r="A746" s="189"/>
      <c r="B746" s="604" t="s">
        <v>48</v>
      </c>
      <c r="C746" s="189"/>
      <c r="D746" s="1006" t="s">
        <v>1441</v>
      </c>
      <c r="E746" s="983"/>
      <c r="F746" s="983"/>
      <c r="H746" s="265"/>
      <c r="I746" s="265"/>
    </row>
    <row r="747" spans="1:9" ht="12.75" customHeight="1">
      <c r="A747" s="189"/>
      <c r="B747" s="189"/>
      <c r="C747" s="189"/>
      <c r="D747" s="983"/>
      <c r="E747" s="983"/>
      <c r="F747" s="983"/>
      <c r="H747" s="265"/>
      <c r="I747" s="265"/>
    </row>
    <row r="748" spans="1:9" ht="12.75" customHeight="1">
      <c r="A748" s="189"/>
      <c r="B748" s="189"/>
      <c r="C748" s="189"/>
      <c r="D748" s="983"/>
      <c r="E748" s="983"/>
      <c r="F748" s="983"/>
      <c r="H748" s="265"/>
      <c r="I748" s="265"/>
    </row>
    <row r="749" spans="1:9" ht="12.75" customHeight="1">
      <c r="A749" s="189"/>
      <c r="B749" s="189"/>
      <c r="C749" s="189"/>
      <c r="D749" s="24"/>
      <c r="E749" s="24"/>
      <c r="F749" s="24"/>
      <c r="H749" s="265"/>
      <c r="I749" s="265"/>
    </row>
    <row r="750" spans="1:9" ht="14.45" customHeight="1">
      <c r="A750" s="269"/>
      <c r="B750" s="604" t="s">
        <v>48</v>
      </c>
      <c r="C750" s="189"/>
      <c r="D750" s="981" t="s">
        <v>1442</v>
      </c>
      <c r="E750" s="983"/>
      <c r="F750" s="983"/>
    </row>
    <row r="751" spans="1:9" ht="12.75" customHeight="1">
      <c r="A751" s="189"/>
      <c r="B751" s="189"/>
      <c r="C751" s="189"/>
      <c r="D751" s="983"/>
      <c r="E751" s="983"/>
      <c r="F751" s="983"/>
    </row>
    <row r="752" spans="1:9" ht="12.75" customHeight="1">
      <c r="A752" s="189"/>
      <c r="B752" s="189"/>
      <c r="C752" s="189"/>
      <c r="D752" s="983"/>
      <c r="E752" s="983"/>
      <c r="F752" s="983"/>
    </row>
    <row r="753" spans="1:9" ht="12.75" customHeight="1">
      <c r="A753" s="189"/>
      <c r="B753" s="189"/>
      <c r="C753" s="189"/>
    </row>
    <row r="754" spans="1:9" ht="14.45" customHeight="1">
      <c r="A754" s="269"/>
      <c r="B754" s="604" t="s">
        <v>48</v>
      </c>
      <c r="C754" s="189"/>
      <c r="D754" s="1006" t="s">
        <v>1443</v>
      </c>
      <c r="E754" s="983"/>
      <c r="F754" s="983"/>
    </row>
    <row r="755" spans="1:9" ht="12.75" customHeight="1">
      <c r="A755" s="189"/>
      <c r="B755" s="189"/>
      <c r="C755" s="189"/>
      <c r="D755" s="983"/>
      <c r="E755" s="983"/>
      <c r="F755" s="983"/>
    </row>
    <row r="756" spans="1:9" ht="12.75" customHeight="1">
      <c r="A756" s="189"/>
      <c r="B756" s="189"/>
      <c r="C756" s="189"/>
      <c r="D756" s="983"/>
      <c r="E756" s="983"/>
      <c r="F756" s="983"/>
    </row>
    <row r="757" spans="1:9" ht="12.75" customHeight="1">
      <c r="A757" s="189"/>
      <c r="B757" s="189"/>
      <c r="C757" s="189"/>
      <c r="D757" s="210"/>
      <c r="H757" s="265"/>
      <c r="I757" s="265"/>
    </row>
    <row r="758" spans="1:9" ht="14.25" customHeight="1">
      <c r="A758" s="269"/>
      <c r="B758" s="604" t="s">
        <v>48</v>
      </c>
      <c r="C758" s="189"/>
      <c r="D758" s="1006" t="s">
        <v>1444</v>
      </c>
      <c r="E758" s="983"/>
      <c r="F758" s="983"/>
    </row>
    <row r="759" spans="1:9" ht="12.75" customHeight="1">
      <c r="A759" s="189"/>
      <c r="B759" s="189"/>
      <c r="C759" s="189"/>
      <c r="D759" s="983"/>
      <c r="E759" s="983"/>
      <c r="F759" s="983"/>
    </row>
    <row r="760" spans="1:9" ht="12.75" customHeight="1">
      <c r="A760" s="189"/>
      <c r="B760" s="189"/>
      <c r="C760" s="189"/>
      <c r="D760" s="983"/>
      <c r="E760" s="983"/>
      <c r="F760" s="983"/>
    </row>
    <row r="761" spans="1:9" ht="12.75" customHeight="1">
      <c r="A761" s="189"/>
      <c r="B761" s="189"/>
      <c r="C761" s="189"/>
      <c r="D761" s="983"/>
      <c r="E761" s="983"/>
      <c r="F761" s="983"/>
    </row>
    <row r="762" spans="1:9" ht="12.75" customHeight="1">
      <c r="A762" s="189"/>
      <c r="B762" s="189"/>
      <c r="C762" s="189"/>
      <c r="D762" s="24"/>
      <c r="E762" s="24"/>
      <c r="F762" s="24"/>
    </row>
    <row r="763" spans="1:9" ht="14.25" customHeight="1">
      <c r="A763" s="269"/>
      <c r="B763" s="604" t="s">
        <v>48</v>
      </c>
      <c r="C763" s="189"/>
      <c r="D763" s="981" t="s">
        <v>1445</v>
      </c>
      <c r="E763" s="983"/>
      <c r="F763" s="983"/>
      <c r="H763" s="265"/>
      <c r="I763" s="265"/>
    </row>
    <row r="764" spans="1:9" ht="12.75" customHeight="1">
      <c r="A764" s="189"/>
      <c r="B764" s="189"/>
      <c r="C764" s="189"/>
      <c r="D764" s="983"/>
      <c r="E764" s="983"/>
      <c r="F764" s="983"/>
      <c r="H764" s="265"/>
      <c r="I764" s="265"/>
    </row>
    <row r="765" spans="1:9" ht="12.75" customHeight="1">
      <c r="A765" s="189"/>
      <c r="B765" s="189"/>
      <c r="C765" s="189"/>
      <c r="D765" s="983"/>
      <c r="E765" s="983"/>
      <c r="F765" s="983"/>
      <c r="H765" s="265"/>
      <c r="I765" s="265"/>
    </row>
    <row r="766" spans="1:9" ht="12.75" customHeight="1">
      <c r="A766" s="189"/>
      <c r="B766" s="189"/>
      <c r="C766" s="189"/>
      <c r="D766" s="983"/>
      <c r="E766" s="983"/>
      <c r="F766" s="983"/>
      <c r="H766" s="265"/>
      <c r="I766" s="265"/>
    </row>
    <row r="767" spans="1:9" ht="12.75" customHeight="1">
      <c r="A767" s="189"/>
      <c r="B767" s="189"/>
      <c r="C767" s="189"/>
      <c r="D767" s="983"/>
      <c r="E767" s="983"/>
      <c r="F767" s="983"/>
      <c r="H767" s="265"/>
      <c r="I767" s="265"/>
    </row>
    <row r="768" spans="1:9" ht="12.75" customHeight="1">
      <c r="A768" s="189"/>
      <c r="B768" s="189"/>
      <c r="C768" s="189"/>
      <c r="D768" s="983"/>
      <c r="E768" s="983"/>
      <c r="F768" s="983"/>
      <c r="H768" s="265"/>
      <c r="I768" s="265"/>
    </row>
    <row r="769" spans="1:9" ht="12.75" customHeight="1">
      <c r="A769" s="189"/>
      <c r="B769" s="189"/>
      <c r="C769" s="189"/>
      <c r="D769" s="983"/>
      <c r="E769" s="983"/>
      <c r="F769" s="983"/>
      <c r="H769" s="265"/>
      <c r="I769" s="265"/>
    </row>
    <row r="770" spans="1:9" ht="12.75" customHeight="1">
      <c r="A770" s="189"/>
      <c r="B770" s="189"/>
      <c r="C770" s="189"/>
      <c r="D770" s="1056" t="s">
        <v>1446</v>
      </c>
      <c r="E770" s="983"/>
      <c r="F770" s="983"/>
      <c r="H770" s="265"/>
      <c r="I770" s="265"/>
    </row>
    <row r="771" spans="1:9" ht="12.75" customHeight="1">
      <c r="A771" s="189"/>
      <c r="B771" s="189"/>
      <c r="C771" s="189"/>
      <c r="D771" s="556"/>
      <c r="H771" s="265"/>
      <c r="I771" s="265"/>
    </row>
    <row r="772" spans="1:9" ht="12.75" customHeight="1">
      <c r="A772" s="1040" t="s">
        <v>1447</v>
      </c>
      <c r="B772" s="973"/>
      <c r="C772" s="973"/>
      <c r="D772" s="973"/>
      <c r="E772" s="973"/>
      <c r="F772" s="973"/>
      <c r="G772" s="973"/>
      <c r="H772" s="265"/>
      <c r="I772" s="265"/>
    </row>
    <row r="773" spans="1:9" ht="12.75" customHeight="1">
      <c r="A773" s="189"/>
      <c r="B773" s="189"/>
      <c r="C773" s="189"/>
      <c r="D773" s="210"/>
      <c r="H773" s="265"/>
      <c r="I773" s="265"/>
    </row>
    <row r="774" spans="1:9" ht="12.75" customHeight="1">
      <c r="C774" s="189"/>
      <c r="D774" s="1019" t="s">
        <v>1448</v>
      </c>
      <c r="E774" s="983"/>
      <c r="F774" s="983"/>
      <c r="H774" s="265"/>
      <c r="I774" s="265"/>
    </row>
    <row r="775" spans="1:9" ht="12.75" customHeight="1">
      <c r="A775" s="188"/>
      <c r="B775" s="188"/>
      <c r="C775" s="188"/>
      <c r="D775" s="999" t="s">
        <v>1449</v>
      </c>
      <c r="E775" s="983"/>
      <c r="F775" s="983"/>
      <c r="H775" s="265"/>
      <c r="I775" s="265"/>
    </row>
    <row r="776" spans="1:9" ht="12.75" customHeight="1">
      <c r="A776" s="189"/>
      <c r="B776" s="189"/>
      <c r="C776" s="189"/>
      <c r="H776" s="265"/>
      <c r="I776" s="265"/>
    </row>
    <row r="777" spans="1:9" ht="14.25" customHeight="1">
      <c r="A777" s="269"/>
      <c r="B777" s="604" t="s">
        <v>48</v>
      </c>
      <c r="D777" s="1006" t="s">
        <v>1450</v>
      </c>
      <c r="E777" s="983"/>
      <c r="F777" s="983"/>
      <c r="H777" s="265"/>
      <c r="I777" s="265"/>
    </row>
    <row r="778" spans="1:9" ht="11.25" customHeight="1">
      <c r="D778" s="983"/>
      <c r="E778" s="983"/>
      <c r="F778" s="983"/>
      <c r="H778" s="265"/>
      <c r="I778" s="265"/>
    </row>
    <row r="779" spans="1:9" ht="12.75" customHeight="1">
      <c r="D779" s="983"/>
      <c r="E779" s="983"/>
      <c r="F779" s="983"/>
      <c r="H779" s="265"/>
      <c r="I779" s="265"/>
    </row>
    <row r="780" spans="1:9" ht="12.75" customHeight="1">
      <c r="D780" s="983"/>
      <c r="E780" s="983"/>
      <c r="F780" s="983"/>
      <c r="H780" s="265"/>
      <c r="I780" s="265"/>
    </row>
    <row r="781" spans="1:9" ht="12.75" customHeight="1">
      <c r="D781" s="983"/>
      <c r="E781" s="983"/>
      <c r="F781" s="983"/>
      <c r="H781" s="265"/>
      <c r="I781" s="265"/>
    </row>
    <row r="782" spans="1:9" ht="17.25" customHeight="1">
      <c r="D782" s="983"/>
      <c r="E782" s="983"/>
      <c r="F782" s="983"/>
      <c r="H782" s="265"/>
      <c r="I782" s="265"/>
    </row>
    <row r="783" spans="1:9" ht="12.75" customHeight="1">
      <c r="D783" s="44"/>
      <c r="E783" s="44"/>
      <c r="F783" s="44"/>
      <c r="H783" s="265"/>
      <c r="I783" s="265"/>
    </row>
    <row r="784" spans="1:9" ht="12.75" customHeight="1">
      <c r="B784" s="604" t="s">
        <v>48</v>
      </c>
      <c r="D784" s="1015" t="s">
        <v>1451</v>
      </c>
      <c r="E784" s="983"/>
      <c r="F784" s="983"/>
      <c r="H784" s="265"/>
      <c r="I784" s="265"/>
    </row>
    <row r="785" spans="1:9" ht="12.75" customHeight="1">
      <c r="D785" s="983"/>
      <c r="E785" s="983"/>
      <c r="F785" s="983"/>
      <c r="H785" s="265"/>
      <c r="I785" s="265"/>
    </row>
    <row r="786" spans="1:9" ht="12.75" customHeight="1">
      <c r="D786" s="983"/>
      <c r="E786" s="983"/>
      <c r="F786" s="983"/>
      <c r="H786" s="265"/>
      <c r="I786" s="265"/>
    </row>
    <row r="787" spans="1:9" ht="12.75" customHeight="1">
      <c r="D787" s="983"/>
      <c r="E787" s="983"/>
      <c r="F787" s="983"/>
      <c r="H787" s="265"/>
      <c r="I787" s="265"/>
    </row>
    <row r="788" spans="1:9" ht="12.75" customHeight="1">
      <c r="D788" s="44"/>
      <c r="H788" s="265"/>
      <c r="I788" s="265"/>
    </row>
    <row r="789" spans="1:9" ht="12.75" customHeight="1">
      <c r="B789" s="604" t="s">
        <v>48</v>
      </c>
      <c r="C789" s="430"/>
      <c r="D789" s="1005" t="s">
        <v>1452</v>
      </c>
      <c r="E789" s="983"/>
      <c r="F789" s="983"/>
      <c r="G789" s="369"/>
      <c r="H789" s="265"/>
      <c r="I789" s="265"/>
    </row>
    <row r="790" spans="1:9" ht="12.75" customHeight="1">
      <c r="A790" s="430"/>
      <c r="B790" s="430"/>
      <c r="C790" s="430"/>
      <c r="D790" s="983"/>
      <c r="E790" s="983"/>
      <c r="F790" s="983"/>
      <c r="G790" s="369"/>
      <c r="H790" s="265"/>
      <c r="I790" s="265"/>
    </row>
    <row r="791" spans="1:9" ht="12.75" customHeight="1">
      <c r="A791" s="430"/>
      <c r="B791" s="430"/>
      <c r="C791" s="430"/>
      <c r="D791" s="983"/>
      <c r="E791" s="983"/>
      <c r="F791" s="983"/>
      <c r="G791" s="369"/>
      <c r="H791" s="265"/>
      <c r="I791" s="265"/>
    </row>
    <row r="792" spans="1:9" ht="12.75" customHeight="1">
      <c r="D792" s="44"/>
      <c r="E792" s="44"/>
      <c r="F792" s="44"/>
      <c r="H792" s="265"/>
      <c r="I792" s="265"/>
    </row>
    <row r="793" spans="1:9" ht="12.75" customHeight="1">
      <c r="B793" s="604" t="s">
        <v>48</v>
      </c>
      <c r="D793" s="1006" t="s">
        <v>1453</v>
      </c>
      <c r="E793" s="983"/>
      <c r="F793" s="983"/>
      <c r="H793" s="265"/>
      <c r="I793" s="265"/>
    </row>
    <row r="794" spans="1:9" ht="12.75" customHeight="1">
      <c r="D794" s="983"/>
      <c r="E794" s="983"/>
      <c r="F794" s="983"/>
      <c r="H794" s="265"/>
      <c r="I794" s="265"/>
    </row>
    <row r="795" spans="1:9" ht="12.75" customHeight="1">
      <c r="D795" s="24"/>
      <c r="E795" s="24"/>
      <c r="F795" s="24"/>
      <c r="H795" s="265"/>
      <c r="I795" s="265"/>
    </row>
    <row r="796" spans="1:9" ht="13.7" customHeight="1">
      <c r="B796" s="604" t="s">
        <v>48</v>
      </c>
      <c r="D796" s="981" t="s">
        <v>1454</v>
      </c>
      <c r="E796" s="983"/>
      <c r="F796" s="983"/>
      <c r="H796" s="265"/>
      <c r="I796" s="265"/>
    </row>
    <row r="797" spans="1:9" ht="12.75" customHeight="1">
      <c r="D797" s="983"/>
      <c r="E797" s="983"/>
      <c r="F797" s="983"/>
      <c r="H797" s="265"/>
      <c r="I797" s="265"/>
    </row>
    <row r="798" spans="1:9" ht="12.75" customHeight="1">
      <c r="D798" s="983"/>
      <c r="E798" s="983"/>
      <c r="F798" s="983"/>
      <c r="H798" s="265"/>
      <c r="I798" s="265"/>
    </row>
    <row r="799" spans="1:9" ht="12.75" customHeight="1">
      <c r="D799" s="24"/>
      <c r="E799" s="24"/>
      <c r="F799" s="24"/>
      <c r="H799" s="265"/>
      <c r="I799" s="265"/>
    </row>
    <row r="800" spans="1:9" ht="12" customHeight="1">
      <c r="A800" s="1040" t="s">
        <v>1455</v>
      </c>
      <c r="B800" s="973"/>
      <c r="C800" s="973"/>
      <c r="D800" s="973"/>
      <c r="E800" s="973"/>
      <c r="F800" s="973"/>
      <c r="G800" s="973"/>
      <c r="H800" s="265"/>
      <c r="I800" s="265"/>
    </row>
    <row r="801" spans="1:9" ht="12.75" customHeight="1">
      <c r="A801" s="63"/>
      <c r="B801" s="63"/>
      <c r="H801" s="265"/>
      <c r="I801" s="265"/>
    </row>
    <row r="802" spans="1:9" ht="13.7" customHeight="1">
      <c r="A802" s="63"/>
      <c r="B802" s="63"/>
      <c r="D802" s="998" t="s">
        <v>1456</v>
      </c>
      <c r="E802" s="983"/>
      <c r="F802" s="983"/>
      <c r="H802" s="265"/>
      <c r="I802" s="265"/>
    </row>
    <row r="803" spans="1:9" ht="12.75" customHeight="1">
      <c r="A803" s="63"/>
      <c r="B803" s="63"/>
      <c r="D803" s="1025" t="s">
        <v>1457</v>
      </c>
      <c r="E803" s="983"/>
      <c r="F803" s="983"/>
      <c r="H803" s="265"/>
      <c r="I803" s="265"/>
    </row>
    <row r="804" spans="1:9" ht="12.75" customHeight="1">
      <c r="A804" s="63"/>
      <c r="B804" s="63"/>
      <c r="D804" s="417"/>
      <c r="E804" s="417"/>
      <c r="F804" s="417"/>
      <c r="H804" s="265"/>
      <c r="I804" s="265"/>
    </row>
    <row r="805" spans="1:9" ht="12.75" customHeight="1">
      <c r="A805" s="63"/>
      <c r="B805" s="604" t="s">
        <v>48</v>
      </c>
      <c r="D805" s="1024" t="s">
        <v>1458</v>
      </c>
      <c r="E805" s="983"/>
      <c r="F805" s="983"/>
      <c r="H805" s="265"/>
      <c r="I805" s="265"/>
    </row>
    <row r="806" spans="1:9" ht="12.75" customHeight="1">
      <c r="A806" s="63"/>
      <c r="B806" s="63"/>
      <c r="D806" s="983"/>
      <c r="E806" s="983"/>
      <c r="F806" s="983"/>
      <c r="H806" s="265"/>
      <c r="I806" s="265"/>
    </row>
    <row r="807" spans="1:9" ht="12.75" customHeight="1">
      <c r="A807" s="189"/>
      <c r="B807" s="189"/>
      <c r="C807" s="189"/>
      <c r="D807" s="983"/>
      <c r="E807" s="983"/>
      <c r="F807" s="983"/>
      <c r="G807" s="44"/>
      <c r="H807" s="265"/>
      <c r="I807" s="265"/>
    </row>
    <row r="808" spans="1:9" ht="12.75" customHeight="1">
      <c r="D808" s="190"/>
      <c r="H808" s="265"/>
      <c r="I808" s="265"/>
    </row>
    <row r="809" spans="1:9" ht="12.75" customHeight="1">
      <c r="A809" s="188"/>
      <c r="B809" s="604" t="s">
        <v>48</v>
      </c>
      <c r="C809" s="188"/>
      <c r="D809" s="1005" t="s">
        <v>1459</v>
      </c>
      <c r="E809" s="983"/>
      <c r="F809" s="983"/>
      <c r="H809" s="265"/>
      <c r="I809" s="265"/>
    </row>
    <row r="810" spans="1:9" ht="12.75" customHeight="1">
      <c r="A810" s="188"/>
      <c r="B810" s="188"/>
      <c r="C810" s="188"/>
      <c r="D810" s="983"/>
      <c r="E810" s="983"/>
      <c r="F810" s="983"/>
      <c r="H810" s="265"/>
      <c r="I810" s="265"/>
    </row>
    <row r="811" spans="1:9" ht="27.75" customHeight="1">
      <c r="A811" s="188"/>
      <c r="B811" s="188"/>
      <c r="C811" s="188"/>
      <c r="D811" s="983"/>
      <c r="E811" s="983"/>
      <c r="F811" s="983"/>
      <c r="H811" s="265"/>
      <c r="I811" s="265"/>
    </row>
    <row r="812" spans="1:9" ht="12.75" customHeight="1">
      <c r="A812" s="189"/>
      <c r="B812" s="189"/>
      <c r="C812" s="189"/>
      <c r="E812" s="186"/>
      <c r="F812" s="186"/>
      <c r="G812" s="186"/>
      <c r="H812" s="265"/>
      <c r="I812" s="265"/>
    </row>
    <row r="813" spans="1:9" ht="14.45" customHeight="1">
      <c r="A813" s="269"/>
      <c r="B813" s="604" t="s">
        <v>48</v>
      </c>
      <c r="C813" s="205"/>
      <c r="D813" s="1005" t="s">
        <v>1460</v>
      </c>
      <c r="E813" s="983"/>
      <c r="F813" s="983"/>
      <c r="G813" s="186"/>
      <c r="H813" s="265"/>
      <c r="I813" s="265"/>
    </row>
    <row r="814" spans="1:9" ht="14.25" customHeight="1">
      <c r="A814" s="269"/>
      <c r="B814" s="269"/>
      <c r="C814" s="205"/>
      <c r="D814" s="983"/>
      <c r="E814" s="983"/>
      <c r="F814" s="983"/>
      <c r="G814" s="186"/>
      <c r="H814" s="265"/>
      <c r="I814" s="265"/>
    </row>
    <row r="815" spans="1:9" ht="14.25" customHeight="1">
      <c r="A815" s="269"/>
      <c r="B815" s="269"/>
      <c r="C815" s="205"/>
      <c r="D815" s="983"/>
      <c r="E815" s="983"/>
      <c r="F815" s="983"/>
      <c r="G815" s="186"/>
      <c r="H815" s="265"/>
      <c r="I815" s="265"/>
    </row>
    <row r="816" spans="1:9" ht="14.25" customHeight="1">
      <c r="A816" s="269"/>
      <c r="B816" s="269"/>
      <c r="C816" s="205"/>
      <c r="D816" s="44"/>
      <c r="G816" s="186"/>
      <c r="H816" s="265"/>
      <c r="I816" s="265"/>
    </row>
    <row r="817" spans="1:9" ht="14.25" customHeight="1">
      <c r="A817" s="269"/>
      <c r="B817" s="604" t="s">
        <v>48</v>
      </c>
      <c r="C817" s="205"/>
      <c r="D817" s="1024" t="s">
        <v>1461</v>
      </c>
      <c r="E817" s="983"/>
      <c r="F817" s="983"/>
      <c r="G817" s="186"/>
      <c r="H817" s="265"/>
      <c r="I817" s="265"/>
    </row>
    <row r="818" spans="1:9" ht="14.25" customHeight="1">
      <c r="A818" s="269"/>
      <c r="B818" s="269"/>
      <c r="C818" s="205"/>
      <c r="D818" s="983"/>
      <c r="E818" s="983"/>
      <c r="F818" s="983"/>
      <c r="G818" s="186"/>
      <c r="H818" s="265"/>
      <c r="I818" s="265"/>
    </row>
    <row r="819" spans="1:9" ht="14.25" customHeight="1">
      <c r="A819" s="269"/>
      <c r="B819" s="269"/>
      <c r="C819" s="205"/>
      <c r="D819" s="983"/>
      <c r="E819" s="983"/>
      <c r="F819" s="983"/>
      <c r="G819" s="186"/>
      <c r="H819" s="265"/>
      <c r="I819" s="265"/>
    </row>
    <row r="820" spans="1:9" ht="14.25" customHeight="1">
      <c r="A820" s="269"/>
      <c r="B820" s="269"/>
      <c r="C820" s="205"/>
      <c r="D820" s="983"/>
      <c r="E820" s="983"/>
      <c r="F820" s="983"/>
      <c r="G820" s="186"/>
      <c r="H820" s="265"/>
      <c r="I820" s="265"/>
    </row>
    <row r="821" spans="1:9" ht="14.25" customHeight="1">
      <c r="A821" s="269"/>
      <c r="B821" s="269"/>
      <c r="C821" s="205"/>
      <c r="D821" s="983"/>
      <c r="E821" s="983"/>
      <c r="F821" s="983"/>
      <c r="G821" s="186"/>
      <c r="H821" s="265"/>
      <c r="I821" s="265"/>
    </row>
    <row r="822" spans="1:9" ht="14.25" customHeight="1">
      <c r="A822" s="269"/>
      <c r="B822" s="269"/>
      <c r="C822" s="205"/>
      <c r="D822" s="1005" t="s">
        <v>1462</v>
      </c>
      <c r="E822" s="983"/>
      <c r="F822" s="983"/>
      <c r="G822" s="186"/>
      <c r="H822" s="265"/>
      <c r="I822" s="265"/>
    </row>
    <row r="823" spans="1:9" ht="14.25" customHeight="1">
      <c r="A823" s="269"/>
      <c r="B823" s="269"/>
      <c r="C823" s="205"/>
      <c r="D823" s="983"/>
      <c r="E823" s="983"/>
      <c r="F823" s="983"/>
      <c r="G823" s="186"/>
      <c r="H823" s="265"/>
      <c r="I823" s="265"/>
    </row>
    <row r="824" spans="1:9" ht="14.25" customHeight="1">
      <c r="A824" s="269"/>
      <c r="B824" s="269"/>
      <c r="C824" s="205"/>
      <c r="D824" s="983"/>
      <c r="E824" s="983"/>
      <c r="F824" s="983"/>
      <c r="G824" s="186"/>
      <c r="H824" s="265"/>
      <c r="I824" s="265"/>
    </row>
    <row r="825" spans="1:9" ht="14.25" customHeight="1">
      <c r="A825" s="269"/>
      <c r="C825" s="205"/>
      <c r="D825" s="787"/>
      <c r="E825" s="787"/>
      <c r="F825" s="787"/>
      <c r="G825" s="186"/>
      <c r="H825" s="265"/>
      <c r="I825" s="265"/>
    </row>
    <row r="826" spans="1:9" ht="14.25" customHeight="1">
      <c r="A826" s="269"/>
      <c r="B826" s="604" t="s">
        <v>48</v>
      </c>
      <c r="C826" s="205"/>
      <c r="D826" s="1024" t="s">
        <v>1463</v>
      </c>
      <c r="E826" s="983"/>
      <c r="F826" s="983"/>
      <c r="G826" s="186"/>
      <c r="H826" s="265"/>
      <c r="I826" s="265"/>
    </row>
    <row r="827" spans="1:9" ht="14.25" customHeight="1">
      <c r="A827" s="269"/>
      <c r="B827" s="269"/>
      <c r="C827" s="205"/>
      <c r="D827" s="983"/>
      <c r="E827" s="983"/>
      <c r="F827" s="983"/>
      <c r="G827" s="186"/>
      <c r="H827" s="265"/>
      <c r="I827" s="265"/>
    </row>
    <row r="828" spans="1:9" ht="14.25" customHeight="1">
      <c r="A828" s="269"/>
      <c r="B828" s="269"/>
      <c r="C828" s="205"/>
      <c r="D828" s="983"/>
      <c r="E828" s="983"/>
      <c r="F828" s="983"/>
      <c r="G828" s="186"/>
      <c r="H828" s="265"/>
      <c r="I828" s="265"/>
    </row>
    <row r="829" spans="1:9" ht="14.25" customHeight="1">
      <c r="A829" s="269"/>
      <c r="B829" s="269"/>
      <c r="C829" s="205"/>
      <c r="D829" s="983"/>
      <c r="E829" s="983"/>
      <c r="F829" s="983"/>
      <c r="G829" s="186"/>
      <c r="H829" s="265"/>
      <c r="I829" s="265"/>
    </row>
    <row r="830" spans="1:9" ht="14.25" customHeight="1">
      <c r="A830" s="269"/>
      <c r="B830" s="269"/>
      <c r="C830" s="205"/>
      <c r="D830" s="983"/>
      <c r="E830" s="983"/>
      <c r="F830" s="983"/>
      <c r="G830" s="186"/>
      <c r="H830" s="265"/>
      <c r="I830" s="265"/>
    </row>
    <row r="831" spans="1:9" ht="14.25" customHeight="1">
      <c r="A831" s="269"/>
      <c r="B831" s="269"/>
      <c r="C831" s="205"/>
      <c r="D831" s="983"/>
      <c r="E831" s="983"/>
      <c r="F831" s="983"/>
      <c r="G831" s="186"/>
      <c r="H831" s="265"/>
      <c r="I831" s="265"/>
    </row>
    <row r="832" spans="1:9" ht="14.25" customHeight="1">
      <c r="A832" s="269"/>
      <c r="B832" s="269"/>
      <c r="C832" s="205"/>
      <c r="D832" s="649"/>
      <c r="E832" s="649"/>
      <c r="F832" s="649"/>
      <c r="G832" s="186"/>
      <c r="H832" s="265"/>
      <c r="I832" s="265"/>
    </row>
    <row r="833" spans="1:9" ht="14.25" customHeight="1">
      <c r="A833" s="269"/>
      <c r="B833" s="604" t="s">
        <v>48</v>
      </c>
      <c r="C833" s="205"/>
      <c r="D833" s="1005" t="s">
        <v>1464</v>
      </c>
      <c r="E833" s="983"/>
      <c r="F833" s="983"/>
      <c r="G833" s="186"/>
      <c r="H833" s="265"/>
      <c r="I833" s="265"/>
    </row>
    <row r="834" spans="1:9" ht="14.25" customHeight="1">
      <c r="A834" s="269"/>
      <c r="B834" s="269"/>
      <c r="C834" s="205"/>
      <c r="D834" s="983"/>
      <c r="E834" s="983"/>
      <c r="F834" s="983"/>
      <c r="G834" s="186"/>
      <c r="H834" s="265"/>
      <c r="I834" s="265"/>
    </row>
    <row r="835" spans="1:9" ht="14.25" customHeight="1">
      <c r="A835" s="269"/>
      <c r="B835" s="269"/>
      <c r="C835" s="205"/>
      <c r="D835" s="983"/>
      <c r="E835" s="983"/>
      <c r="F835" s="983"/>
      <c r="G835" s="186"/>
      <c r="H835" s="265"/>
      <c r="I835" s="265"/>
    </row>
    <row r="836" spans="1:9" ht="14.25" customHeight="1">
      <c r="A836" s="269"/>
      <c r="B836" s="269"/>
      <c r="C836" s="205"/>
      <c r="D836" s="983"/>
      <c r="E836" s="983"/>
      <c r="F836" s="983"/>
      <c r="G836" s="186"/>
      <c r="H836" s="265"/>
      <c r="I836" s="265"/>
    </row>
    <row r="837" spans="1:9" ht="14.25" customHeight="1">
      <c r="A837" s="269"/>
      <c r="B837" s="269"/>
      <c r="C837" s="205"/>
      <c r="D837" s="983"/>
      <c r="E837" s="983"/>
      <c r="F837" s="983"/>
      <c r="G837" s="186"/>
      <c r="H837" s="265"/>
      <c r="I837" s="265"/>
    </row>
    <row r="838" spans="1:9" ht="14.25" customHeight="1">
      <c r="A838" s="269"/>
      <c r="B838" s="269"/>
      <c r="C838" s="205"/>
      <c r="D838" s="649"/>
      <c r="E838" s="649"/>
      <c r="F838" s="649"/>
      <c r="G838" s="186"/>
      <c r="H838" s="265"/>
      <c r="I838" s="265"/>
    </row>
    <row r="839" spans="1:9" ht="14.25" customHeight="1">
      <c r="A839" s="269"/>
      <c r="B839" s="604" t="s">
        <v>48</v>
      </c>
      <c r="C839" s="205"/>
      <c r="D839" s="1024" t="s">
        <v>1465</v>
      </c>
      <c r="E839" s="983"/>
      <c r="F839" s="983"/>
      <c r="G839" s="186"/>
      <c r="H839" s="265"/>
      <c r="I839" s="265"/>
    </row>
    <row r="840" spans="1:9" ht="14.25" customHeight="1">
      <c r="A840" s="269"/>
      <c r="B840" s="269"/>
      <c r="C840" s="205"/>
      <c r="D840" s="983"/>
      <c r="E840" s="983"/>
      <c r="F840" s="983"/>
      <c r="G840" s="186"/>
      <c r="H840" s="265"/>
      <c r="I840" s="265"/>
    </row>
    <row r="841" spans="1:9" ht="14.25" customHeight="1">
      <c r="A841" s="269"/>
      <c r="B841" s="269"/>
      <c r="C841" s="205"/>
      <c r="D841" s="983"/>
      <c r="E841" s="983"/>
      <c r="F841" s="983"/>
      <c r="G841" s="186"/>
      <c r="H841" s="265"/>
      <c r="I841" s="265"/>
    </row>
    <row r="842" spans="1:9" ht="14.25" customHeight="1">
      <c r="A842" s="269"/>
      <c r="B842" s="269"/>
      <c r="C842" s="205"/>
      <c r="D842" s="983"/>
      <c r="E842" s="983"/>
      <c r="F842" s="983"/>
      <c r="G842" s="186"/>
      <c r="H842" s="265"/>
      <c r="I842" s="265"/>
    </row>
    <row r="843" spans="1:9" ht="14.25" customHeight="1">
      <c r="A843" s="269"/>
      <c r="B843" s="269"/>
      <c r="C843" s="205"/>
      <c r="D843" s="186"/>
      <c r="G843" s="186"/>
      <c r="H843" s="265"/>
      <c r="I843" s="265"/>
    </row>
    <row r="844" spans="1:9" ht="14.25" customHeight="1">
      <c r="A844" s="269"/>
      <c r="B844" s="604" t="s">
        <v>48</v>
      </c>
      <c r="C844" s="205"/>
      <c r="D844" s="1020" t="s">
        <v>1466</v>
      </c>
      <c r="E844" s="983"/>
      <c r="F844" s="983"/>
      <c r="G844" s="186"/>
      <c r="H844" s="265"/>
      <c r="I844" s="265"/>
    </row>
    <row r="845" spans="1:9" ht="14.25" customHeight="1">
      <c r="A845" s="269"/>
      <c r="B845" s="269"/>
      <c r="C845" s="205"/>
      <c r="D845" s="983"/>
      <c r="E845" s="983"/>
      <c r="F845" s="983"/>
      <c r="G845" s="186"/>
      <c r="H845" s="265"/>
      <c r="I845" s="265"/>
    </row>
    <row r="846" spans="1:9" ht="12.75" customHeight="1">
      <c r="A846" s="18"/>
      <c r="B846" s="18"/>
      <c r="C846" s="205"/>
      <c r="D846" s="983"/>
      <c r="E846" s="983"/>
      <c r="F846" s="983"/>
      <c r="G846" s="186"/>
      <c r="H846" s="265"/>
      <c r="I846" s="265"/>
    </row>
    <row r="847" spans="1:9" ht="14.25" customHeight="1">
      <c r="A847" s="269"/>
      <c r="B847" s="18"/>
      <c r="C847" s="205"/>
      <c r="D847" s="983"/>
      <c r="E847" s="983"/>
      <c r="F847" s="983"/>
      <c r="G847" s="186"/>
      <c r="H847" s="265"/>
      <c r="I847" s="265"/>
    </row>
    <row r="848" spans="1:9" ht="14.25" customHeight="1">
      <c r="A848" s="269"/>
      <c r="B848" s="18"/>
      <c r="C848" s="205"/>
      <c r="D848" s="983"/>
      <c r="E848" s="983"/>
      <c r="F848" s="983"/>
      <c r="G848" s="186"/>
      <c r="H848" s="265"/>
      <c r="I848" s="265"/>
    </row>
    <row r="849" spans="1:9" ht="14.25" customHeight="1">
      <c r="A849" s="269"/>
      <c r="B849" s="18"/>
      <c r="C849" s="205"/>
      <c r="D849" s="983"/>
      <c r="E849" s="983"/>
      <c r="F849" s="983"/>
      <c r="G849" s="186"/>
      <c r="H849" s="265"/>
      <c r="I849" s="265"/>
    </row>
    <row r="850" spans="1:9" ht="14.25" customHeight="1">
      <c r="A850" s="269"/>
      <c r="B850" s="18"/>
      <c r="C850" s="205"/>
      <c r="D850" s="648"/>
      <c r="E850" s="648"/>
      <c r="F850" s="648"/>
      <c r="G850" s="186"/>
      <c r="H850" s="265"/>
      <c r="I850" s="265"/>
    </row>
    <row r="851" spans="1:9" ht="14.25" customHeight="1">
      <c r="A851" s="269"/>
      <c r="B851" s="604" t="s">
        <v>48</v>
      </c>
      <c r="C851" s="205"/>
      <c r="D851" s="1024" t="s">
        <v>1467</v>
      </c>
      <c r="E851" s="983"/>
      <c r="F851" s="983"/>
      <c r="G851" s="186"/>
      <c r="H851" s="265"/>
      <c r="I851" s="265"/>
    </row>
    <row r="852" spans="1:9" ht="14.25" customHeight="1">
      <c r="A852" s="269"/>
      <c r="B852" s="269"/>
      <c r="C852" s="205"/>
      <c r="D852" s="983"/>
      <c r="E852" s="983"/>
      <c r="F852" s="983"/>
      <c r="G852" s="186"/>
      <c r="H852" s="265"/>
      <c r="I852" s="265"/>
    </row>
    <row r="853" spans="1:9" ht="14.25" customHeight="1">
      <c r="A853" s="269"/>
      <c r="B853" s="269"/>
      <c r="C853" s="205"/>
      <c r="D853" s="186"/>
      <c r="G853" s="186"/>
      <c r="H853" s="265"/>
      <c r="I853" s="265"/>
    </row>
    <row r="854" spans="1:9" ht="14.25" customHeight="1">
      <c r="A854" s="269"/>
      <c r="B854" s="604" t="s">
        <v>48</v>
      </c>
      <c r="C854" s="205"/>
      <c r="D854" s="1020" t="s">
        <v>1468</v>
      </c>
      <c r="E854" s="983"/>
      <c r="F854" s="983"/>
      <c r="G854" s="186"/>
      <c r="H854" s="265"/>
      <c r="I854" s="265"/>
    </row>
    <row r="855" spans="1:9" ht="14.25" customHeight="1">
      <c r="A855" s="269"/>
      <c r="B855" s="269"/>
      <c r="C855" s="205"/>
      <c r="D855" s="983"/>
      <c r="E855" s="983"/>
      <c r="F855" s="983"/>
      <c r="G855" s="186"/>
      <c r="H855" s="265"/>
      <c r="I855" s="265"/>
    </row>
    <row r="856" spans="1:9" ht="12.75" customHeight="1">
      <c r="A856" s="18"/>
      <c r="B856" s="18"/>
      <c r="C856" s="205"/>
      <c r="D856" s="186"/>
      <c r="G856" s="186"/>
      <c r="H856" s="265"/>
      <c r="I856" s="265"/>
    </row>
    <row r="857" spans="1:9" ht="12.75" customHeight="1">
      <c r="A857" s="1001" t="s">
        <v>1469</v>
      </c>
      <c r="B857" s="973"/>
      <c r="C857" s="973"/>
      <c r="D857" s="973"/>
      <c r="E857" s="973"/>
      <c r="F857" s="973"/>
      <c r="G857" s="973"/>
      <c r="H857" s="265"/>
      <c r="I857" s="265"/>
    </row>
    <row r="858" spans="1:9" ht="12.75" customHeight="1">
      <c r="A858" s="188"/>
      <c r="B858" s="188"/>
      <c r="C858" s="205"/>
      <c r="D858" s="186"/>
      <c r="E858" s="186"/>
      <c r="F858" s="186"/>
      <c r="G858" s="186"/>
      <c r="H858" s="265"/>
      <c r="I858" s="265"/>
    </row>
    <row r="859" spans="1:9" ht="14.25" customHeight="1">
      <c r="A859" s="269"/>
      <c r="B859" s="269"/>
      <c r="D859" s="1019" t="s">
        <v>1470</v>
      </c>
      <c r="E859" s="983"/>
      <c r="F859" s="983"/>
      <c r="H859" s="265"/>
      <c r="I859" s="265"/>
    </row>
    <row r="860" spans="1:9" ht="14.25" customHeight="1">
      <c r="A860" s="269"/>
      <c r="B860" s="269"/>
      <c r="D860" s="981" t="s">
        <v>1471</v>
      </c>
      <c r="E860" s="983"/>
      <c r="F860" s="983"/>
      <c r="H860" s="265"/>
      <c r="I860" s="265"/>
    </row>
    <row r="861" spans="1:9" ht="14.25" customHeight="1">
      <c r="A861" s="269"/>
      <c r="B861" s="269"/>
      <c r="D861" s="24"/>
      <c r="E861" s="208"/>
      <c r="F861" s="208"/>
      <c r="H861" s="265"/>
      <c r="I861" s="265"/>
    </row>
    <row r="862" spans="1:9" ht="12.75" customHeight="1">
      <c r="B862" s="604" t="s">
        <v>48</v>
      </c>
      <c r="C862" s="205"/>
      <c r="D862" s="1006" t="s">
        <v>1472</v>
      </c>
      <c r="E862" s="983"/>
      <c r="F862" s="983"/>
      <c r="H862" s="265"/>
      <c r="I862" s="265"/>
    </row>
    <row r="863" spans="1:9" ht="12.75" customHeight="1">
      <c r="A863" s="18"/>
      <c r="B863" s="18"/>
      <c r="C863" s="205"/>
      <c r="D863" s="3" t="s">
        <v>1282</v>
      </c>
      <c r="E863" s="987" t="s">
        <v>1306</v>
      </c>
      <c r="F863" s="983"/>
      <c r="H863" s="265"/>
      <c r="I863" s="265"/>
    </row>
    <row r="864" spans="1:9" ht="12.75" customHeight="1">
      <c r="A864" s="18"/>
      <c r="B864" s="18"/>
      <c r="C864" s="205"/>
      <c r="D864" s="211"/>
      <c r="H864" s="265"/>
      <c r="I864" s="265"/>
    </row>
    <row r="865" spans="1:9" ht="12.75" customHeight="1">
      <c r="A865" s="18"/>
      <c r="B865" s="604" t="s">
        <v>48</v>
      </c>
      <c r="C865" s="205"/>
      <c r="D865" s="1057" t="s">
        <v>1473</v>
      </c>
      <c r="E865" s="983"/>
      <c r="F865" s="983"/>
      <c r="H865" s="265"/>
      <c r="I865" s="265"/>
    </row>
    <row r="866" spans="1:9" ht="12.75" customHeight="1">
      <c r="A866" s="18"/>
      <c r="B866" s="18"/>
      <c r="C866" s="205"/>
      <c r="D866" s="983"/>
      <c r="E866" s="983"/>
      <c r="F866" s="983"/>
      <c r="H866" s="265"/>
      <c r="I866" s="265"/>
    </row>
    <row r="867" spans="1:9" ht="12.75" customHeight="1">
      <c r="A867" s="18"/>
      <c r="B867" s="18"/>
      <c r="C867" s="205"/>
      <c r="D867" s="983"/>
      <c r="E867" s="983"/>
      <c r="F867" s="983"/>
      <c r="H867" s="265"/>
      <c r="I867" s="265"/>
    </row>
    <row r="868" spans="1:9" ht="12.75" customHeight="1">
      <c r="A868" s="18"/>
      <c r="B868" s="18"/>
      <c r="C868" s="205"/>
      <c r="D868" s="983"/>
      <c r="E868" s="983"/>
      <c r="F868" s="983"/>
      <c r="H868" s="265"/>
      <c r="I868" s="265"/>
    </row>
    <row r="869" spans="1:9" ht="12.75" customHeight="1">
      <c r="A869" s="18"/>
      <c r="B869" s="18"/>
      <c r="C869" s="205"/>
      <c r="D869" s="983"/>
      <c r="E869" s="983"/>
      <c r="F869" s="983"/>
      <c r="H869" s="265"/>
      <c r="I869" s="265"/>
    </row>
    <row r="870" spans="1:9" ht="12.75" customHeight="1">
      <c r="A870" s="18"/>
      <c r="B870" s="18"/>
      <c r="C870" s="205"/>
      <c r="D870" s="983"/>
      <c r="E870" s="983"/>
      <c r="F870" s="983"/>
      <c r="H870" s="265"/>
      <c r="I870" s="265"/>
    </row>
    <row r="871" spans="1:9" ht="12.75" customHeight="1">
      <c r="A871" s="18"/>
      <c r="B871" s="18"/>
      <c r="C871" s="205"/>
      <c r="D871" s="983"/>
      <c r="E871" s="983"/>
      <c r="F871" s="983"/>
      <c r="H871" s="265"/>
      <c r="I871" s="265"/>
    </row>
    <row r="872" spans="1:9" ht="12.75" customHeight="1">
      <c r="A872" s="18"/>
      <c r="B872" s="18"/>
      <c r="C872" s="205"/>
      <c r="D872" s="983"/>
      <c r="E872" s="983"/>
      <c r="F872" s="983"/>
      <c r="H872" s="265"/>
      <c r="I872" s="265"/>
    </row>
    <row r="873" spans="1:9" ht="12.75" customHeight="1">
      <c r="A873" s="18"/>
      <c r="B873" s="18"/>
      <c r="C873" s="205"/>
      <c r="D873" s="983"/>
      <c r="E873" s="983"/>
      <c r="F873" s="983"/>
      <c r="H873" s="265"/>
      <c r="I873" s="265"/>
    </row>
    <row r="874" spans="1:9" ht="12.75" customHeight="1">
      <c r="A874" s="18"/>
      <c r="B874" s="18"/>
      <c r="C874" s="205"/>
      <c r="D874" s="211"/>
      <c r="H874" s="265"/>
      <c r="I874" s="265"/>
    </row>
    <row r="875" spans="1:9" ht="14.25" customHeight="1">
      <c r="A875" s="269"/>
      <c r="B875" s="604" t="s">
        <v>48</v>
      </c>
      <c r="C875" s="205"/>
      <c r="D875" s="1006" t="s">
        <v>1474</v>
      </c>
      <c r="E875" s="983"/>
      <c r="F875" s="983"/>
      <c r="H875" s="265"/>
      <c r="I875" s="265"/>
    </row>
    <row r="876" spans="1:9" ht="14.25" customHeight="1">
      <c r="A876" s="269"/>
      <c r="B876" s="269"/>
      <c r="C876" s="205"/>
      <c r="D876" s="983"/>
      <c r="E876" s="983"/>
      <c r="F876" s="983"/>
      <c r="H876" s="265"/>
      <c r="I876" s="265"/>
    </row>
    <row r="877" spans="1:9" ht="14.25" customHeight="1">
      <c r="A877" s="269"/>
      <c r="B877" s="269"/>
      <c r="C877" s="205"/>
      <c r="D877" s="983"/>
      <c r="E877" s="983"/>
      <c r="F877" s="983"/>
      <c r="H877" s="265"/>
      <c r="I877" s="265"/>
    </row>
    <row r="878" spans="1:9" ht="14.25" customHeight="1">
      <c r="A878" s="269"/>
      <c r="B878" s="269"/>
      <c r="C878" s="205"/>
      <c r="D878" s="44"/>
      <c r="H878" s="265"/>
      <c r="I878" s="265"/>
    </row>
    <row r="879" spans="1:9" ht="12.75" customHeight="1">
      <c r="A879" s="416"/>
      <c r="B879" s="604" t="s">
        <v>48</v>
      </c>
      <c r="C879" s="205"/>
      <c r="D879" s="1019" t="s">
        <v>1475</v>
      </c>
      <c r="E879" s="983"/>
      <c r="F879" s="983"/>
      <c r="H879" s="265"/>
      <c r="I879" s="265"/>
    </row>
    <row r="880" spans="1:9" ht="12.75" customHeight="1">
      <c r="B880" s="416"/>
      <c r="C880" s="205"/>
      <c r="D880" s="983"/>
      <c r="E880" s="983"/>
      <c r="F880" s="983"/>
      <c r="H880" s="265"/>
      <c r="I880" s="265"/>
    </row>
    <row r="881" spans="1:9" ht="14.25" customHeight="1">
      <c r="A881" s="269"/>
      <c r="C881" s="205"/>
      <c r="D881" s="1006" t="s">
        <v>1476</v>
      </c>
      <c r="E881" s="983"/>
      <c r="F881" s="983"/>
      <c r="H881" s="265"/>
      <c r="I881" s="265"/>
    </row>
    <row r="882" spans="1:9" ht="14.25" customHeight="1">
      <c r="A882" s="269"/>
      <c r="B882" s="269"/>
      <c r="C882" s="205"/>
      <c r="D882" s="983"/>
      <c r="E882" s="983"/>
      <c r="F882" s="983"/>
      <c r="H882" s="265"/>
      <c r="I882" s="265"/>
    </row>
    <row r="883" spans="1:9" ht="14.25" customHeight="1">
      <c r="A883" s="269"/>
      <c r="B883" s="269"/>
      <c r="C883" s="205"/>
      <c r="D883" s="983"/>
      <c r="E883" s="983"/>
      <c r="F883" s="983"/>
      <c r="H883" s="265"/>
      <c r="I883" s="265"/>
    </row>
    <row r="884" spans="1:9" ht="14.25" customHeight="1">
      <c r="A884" s="269"/>
      <c r="B884" s="269"/>
      <c r="C884" s="205"/>
      <c r="D884" s="983"/>
      <c r="E884" s="983"/>
      <c r="F884" s="983"/>
      <c r="H884" s="265"/>
      <c r="I884" s="265"/>
    </row>
    <row r="885" spans="1:9" ht="14.25" customHeight="1">
      <c r="A885" s="269"/>
      <c r="B885" s="269"/>
      <c r="C885" s="205"/>
      <c r="D885" s="983"/>
      <c r="E885" s="983"/>
      <c r="F885" s="983"/>
      <c r="H885" s="265"/>
      <c r="I885" s="265"/>
    </row>
    <row r="886" spans="1:9" ht="14.25" customHeight="1">
      <c r="A886" s="269"/>
      <c r="B886" s="269"/>
      <c r="C886" s="205"/>
      <c r="D886" s="983"/>
      <c r="E886" s="983"/>
      <c r="F886" s="983"/>
      <c r="H886" s="265"/>
      <c r="I886" s="265"/>
    </row>
    <row r="887" spans="1:9" ht="14.25" customHeight="1">
      <c r="A887" s="269"/>
      <c r="B887" s="269"/>
      <c r="C887" s="205"/>
      <c r="D887" s="44"/>
      <c r="H887" s="265"/>
      <c r="I887" s="265"/>
    </row>
    <row r="888" spans="1:9" ht="14.25" customHeight="1">
      <c r="A888" s="269"/>
      <c r="B888" s="604" t="s">
        <v>48</v>
      </c>
      <c r="C888" s="205"/>
      <c r="D888" s="1006" t="s">
        <v>1477</v>
      </c>
      <c r="E888" s="983"/>
      <c r="F888" s="983"/>
      <c r="H888" s="265"/>
      <c r="I888" s="265"/>
    </row>
    <row r="889" spans="1:9" ht="14.25" customHeight="1">
      <c r="A889" s="269"/>
      <c r="B889" s="269"/>
      <c r="C889" s="205"/>
      <c r="D889" s="1006" t="s">
        <v>1478</v>
      </c>
      <c r="E889" s="983"/>
      <c r="F889" s="983"/>
      <c r="H889" s="265"/>
      <c r="I889" s="265"/>
    </row>
    <row r="890" spans="1:9" ht="14.25" customHeight="1">
      <c r="A890" s="269"/>
      <c r="B890" s="269"/>
      <c r="C890" s="205"/>
      <c r="D890" s="3" t="s">
        <v>1277</v>
      </c>
      <c r="E890" s="987" t="s">
        <v>1317</v>
      </c>
      <c r="F890" s="983"/>
      <c r="H890" s="265"/>
      <c r="I890" s="265"/>
    </row>
    <row r="891" spans="1:9" ht="14.25" customHeight="1">
      <c r="A891" s="269"/>
      <c r="B891" s="269"/>
      <c r="C891" s="205"/>
      <c r="D891" s="44"/>
      <c r="H891" s="265"/>
      <c r="I891" s="265"/>
    </row>
    <row r="892" spans="1:9" ht="14.25" customHeight="1">
      <c r="A892" s="269"/>
      <c r="B892" s="604" t="s">
        <v>48</v>
      </c>
      <c r="C892" s="205"/>
      <c r="D892" s="1006" t="s">
        <v>1479</v>
      </c>
      <c r="E892" s="983"/>
      <c r="F892" s="983"/>
      <c r="H892" s="265"/>
      <c r="I892" s="265"/>
    </row>
    <row r="893" spans="1:9" ht="14.25" customHeight="1">
      <c r="A893" s="269"/>
      <c r="B893" s="269"/>
      <c r="C893" s="205"/>
      <c r="D893" s="983"/>
      <c r="E893" s="983"/>
      <c r="F893" s="983"/>
      <c r="H893" s="265"/>
      <c r="I893" s="265"/>
    </row>
    <row r="894" spans="1:9" ht="14.25" customHeight="1">
      <c r="A894" s="269"/>
      <c r="B894" s="269"/>
      <c r="C894" s="205"/>
      <c r="D894" s="983"/>
      <c r="E894" s="983"/>
      <c r="F894" s="983"/>
      <c r="H894" s="265"/>
      <c r="I894" s="265"/>
    </row>
    <row r="895" spans="1:9" ht="14.25" customHeight="1">
      <c r="A895" s="269"/>
      <c r="B895" s="269"/>
      <c r="C895" s="205"/>
      <c r="D895" s="983"/>
      <c r="E895" s="983"/>
      <c r="F895" s="983"/>
      <c r="H895" s="265"/>
      <c r="I895" s="265"/>
    </row>
    <row r="896" spans="1:9" ht="12.75" customHeight="1">
      <c r="A896" s="188"/>
      <c r="B896" s="188"/>
      <c r="C896" s="188"/>
      <c r="D896" s="44"/>
      <c r="H896" s="265"/>
      <c r="I896" s="265"/>
    </row>
    <row r="897" spans="1:9" ht="12.75" customHeight="1">
      <c r="A897" s="270" t="s">
        <v>1480</v>
      </c>
      <c r="B897" s="270"/>
      <c r="C897" s="606"/>
      <c r="D897" s="606"/>
      <c r="E897" s="606"/>
      <c r="F897" s="606"/>
      <c r="G897" s="606"/>
      <c r="H897" s="265"/>
      <c r="I897" s="265"/>
    </row>
    <row r="898" spans="1:9" ht="12.75" customHeight="1">
      <c r="A898" s="188"/>
      <c r="B898" s="188"/>
      <c r="C898" s="188"/>
      <c r="D898" s="210"/>
      <c r="H898" s="265"/>
      <c r="I898" s="265"/>
    </row>
    <row r="899" spans="1:9" ht="12.75" customHeight="1">
      <c r="C899" s="189"/>
      <c r="D899" s="1008" t="s">
        <v>1481</v>
      </c>
      <c r="E899" s="983"/>
      <c r="F899" s="983"/>
      <c r="G899" s="186"/>
      <c r="H899" s="265"/>
      <c r="I899" s="265"/>
    </row>
    <row r="900" spans="1:9" ht="12.75" customHeight="1">
      <c r="C900" s="189"/>
      <c r="D900" s="1030" t="s">
        <v>1482</v>
      </c>
      <c r="E900" s="983"/>
      <c r="F900" s="983"/>
      <c r="G900" s="186"/>
      <c r="H900" s="265"/>
      <c r="I900" s="265"/>
    </row>
    <row r="901" spans="1:9" ht="12.75" customHeight="1">
      <c r="C901" s="189"/>
      <c r="D901" s="635"/>
      <c r="E901" s="635"/>
      <c r="F901" s="635"/>
      <c r="G901" s="186"/>
      <c r="H901" s="265"/>
      <c r="I901" s="265"/>
    </row>
    <row r="902" spans="1:9" ht="14.25" customHeight="1">
      <c r="A902" s="269"/>
      <c r="B902" s="604" t="s">
        <v>48</v>
      </c>
      <c r="D902" s="1002" t="s">
        <v>1483</v>
      </c>
      <c r="E902" s="983"/>
      <c r="F902" s="983"/>
      <c r="G902" s="186"/>
      <c r="H902" s="265"/>
      <c r="I902" s="265"/>
    </row>
    <row r="903" spans="1:9" ht="12.75" customHeight="1">
      <c r="D903" s="3" t="s">
        <v>1277</v>
      </c>
      <c r="E903" s="1055" t="s">
        <v>1317</v>
      </c>
      <c r="F903" s="983"/>
      <c r="G903" s="186"/>
    </row>
    <row r="904" spans="1:9" ht="12.75" customHeight="1">
      <c r="D904" s="44"/>
      <c r="E904" s="186"/>
      <c r="F904" s="186"/>
      <c r="G904" s="186"/>
      <c r="H904" s="265"/>
      <c r="I904" s="265"/>
    </row>
    <row r="905" spans="1:9" ht="14.25" customHeight="1">
      <c r="A905" s="269"/>
      <c r="B905" s="604" t="s">
        <v>48</v>
      </c>
      <c r="D905" s="981" t="s">
        <v>1484</v>
      </c>
      <c r="E905" s="983"/>
      <c r="F905" s="983"/>
    </row>
    <row r="906" spans="1:9" ht="12.6" customHeight="1">
      <c r="D906" s="983"/>
      <c r="E906" s="983"/>
      <c r="F906" s="983"/>
    </row>
    <row r="907" spans="1:9" ht="14.25" customHeight="1">
      <c r="A907" s="269"/>
      <c r="B907" s="269"/>
      <c r="D907" s="44"/>
      <c r="E907" s="186"/>
      <c r="F907" s="186"/>
      <c r="G907" s="186"/>
      <c r="H907" s="265"/>
      <c r="I907" s="265"/>
    </row>
    <row r="908" spans="1:9" ht="12.75" customHeight="1">
      <c r="B908" s="604" t="s">
        <v>48</v>
      </c>
      <c r="D908" s="1050" t="s">
        <v>1485</v>
      </c>
      <c r="E908" s="983"/>
      <c r="F908" s="983"/>
      <c r="G908" s="186"/>
      <c r="H908" s="265"/>
      <c r="I908" s="265"/>
    </row>
    <row r="909" spans="1:9" ht="29.45" customHeight="1">
      <c r="B909" s="561"/>
      <c r="D909" s="983"/>
      <c r="E909" s="983"/>
      <c r="F909" s="983"/>
      <c r="G909" s="186"/>
      <c r="H909" s="265"/>
      <c r="I909" s="265"/>
    </row>
    <row r="910" spans="1:9" ht="14.25" customHeight="1">
      <c r="A910" s="269"/>
      <c r="D910" s="1006" t="s">
        <v>1476</v>
      </c>
      <c r="E910" s="983"/>
      <c r="F910" s="983"/>
      <c r="G910" s="186"/>
      <c r="H910" s="265"/>
      <c r="I910" s="265"/>
    </row>
    <row r="911" spans="1:9" ht="14.25" customHeight="1">
      <c r="A911" s="269"/>
      <c r="B911" s="269"/>
      <c r="D911" s="983"/>
      <c r="E911" s="983"/>
      <c r="F911" s="983"/>
      <c r="G911" s="186"/>
      <c r="H911" s="265"/>
      <c r="I911" s="265"/>
    </row>
    <row r="912" spans="1:9" ht="14.25" customHeight="1">
      <c r="A912" s="269"/>
      <c r="B912" s="269"/>
      <c r="D912" s="983"/>
      <c r="E912" s="983"/>
      <c r="F912" s="983"/>
      <c r="G912" s="186"/>
      <c r="H912" s="265"/>
      <c r="I912" s="265"/>
    </row>
    <row r="913" spans="1:9" ht="14.25" customHeight="1">
      <c r="A913" s="269"/>
      <c r="B913" s="269"/>
      <c r="D913" s="983"/>
      <c r="E913" s="983"/>
      <c r="F913" s="983"/>
      <c r="G913" s="186"/>
      <c r="H913" s="265"/>
      <c r="I913" s="265"/>
    </row>
    <row r="914" spans="1:9" ht="14.25" customHeight="1">
      <c r="A914" s="269"/>
      <c r="B914" s="269"/>
      <c r="D914" s="983"/>
      <c r="E914" s="983"/>
      <c r="F914" s="983"/>
      <c r="G914" s="186"/>
      <c r="H914" s="265"/>
      <c r="I914" s="265"/>
    </row>
    <row r="915" spans="1:9" ht="14.25" customHeight="1">
      <c r="A915" s="269"/>
      <c r="B915" s="269"/>
      <c r="D915" s="983"/>
      <c r="E915" s="983"/>
      <c r="F915" s="983"/>
      <c r="G915" s="186"/>
      <c r="H915" s="265"/>
      <c r="I915" s="265"/>
    </row>
    <row r="916" spans="1:9" ht="14.25" customHeight="1">
      <c r="A916" s="269"/>
      <c r="B916" s="269"/>
      <c r="D916" s="44"/>
      <c r="E916" s="186"/>
      <c r="F916" s="186"/>
      <c r="G916" s="186"/>
      <c r="H916" s="265"/>
      <c r="I916" s="265"/>
    </row>
    <row r="917" spans="1:9" ht="14.25" customHeight="1">
      <c r="A917" s="269"/>
      <c r="B917" s="604" t="s">
        <v>48</v>
      </c>
      <c r="D917" s="999" t="s">
        <v>1477</v>
      </c>
      <c r="E917" s="983"/>
      <c r="F917" s="983"/>
      <c r="G917" s="186"/>
      <c r="H917" s="265"/>
      <c r="I917" s="265"/>
    </row>
    <row r="918" spans="1:9" ht="14.25" customHeight="1">
      <c r="A918" s="269"/>
      <c r="B918" s="269"/>
      <c r="D918" s="999" t="s">
        <v>1478</v>
      </c>
      <c r="E918" s="983"/>
      <c r="F918" s="983"/>
      <c r="G918" s="186"/>
      <c r="H918" s="265"/>
      <c r="I918" s="265"/>
    </row>
    <row r="919" spans="1:9" ht="14.25" customHeight="1">
      <c r="A919" s="269"/>
      <c r="B919" s="269"/>
      <c r="D919" s="3" t="s">
        <v>1486</v>
      </c>
      <c r="E919" s="1049" t="s">
        <v>1317</v>
      </c>
      <c r="F919" s="983"/>
      <c r="G919" s="186"/>
      <c r="H919" s="265"/>
      <c r="I919" s="265"/>
    </row>
    <row r="920" spans="1:9" ht="14.25" customHeight="1">
      <c r="A920" s="269"/>
      <c r="B920" s="269"/>
      <c r="D920" s="44"/>
      <c r="E920" s="186"/>
      <c r="F920" s="186"/>
      <c r="G920" s="186"/>
      <c r="H920" s="265"/>
      <c r="I920" s="265"/>
    </row>
    <row r="921" spans="1:9" ht="14.25" customHeight="1">
      <c r="A921" s="269"/>
      <c r="B921" s="604" t="s">
        <v>48</v>
      </c>
      <c r="D921" s="1006" t="s">
        <v>1479</v>
      </c>
      <c r="E921" s="983"/>
      <c r="F921" s="983"/>
      <c r="G921" s="186"/>
      <c r="H921" s="265"/>
      <c r="I921" s="265"/>
    </row>
    <row r="922" spans="1:9" ht="14.25" customHeight="1">
      <c r="A922" s="269"/>
      <c r="B922" s="269"/>
      <c r="D922" s="983"/>
      <c r="E922" s="983"/>
      <c r="F922" s="983"/>
      <c r="G922" s="186"/>
      <c r="H922" s="265"/>
      <c r="I922" s="265"/>
    </row>
    <row r="923" spans="1:9" ht="14.25" customHeight="1">
      <c r="A923" s="269"/>
      <c r="B923" s="269"/>
      <c r="D923" s="983"/>
      <c r="E923" s="983"/>
      <c r="F923" s="983"/>
      <c r="G923" s="186"/>
      <c r="H923" s="265"/>
      <c r="I923" s="265"/>
    </row>
    <row r="924" spans="1:9" ht="14.25" customHeight="1">
      <c r="A924" s="269"/>
      <c r="B924" s="269"/>
      <c r="D924" s="983"/>
      <c r="E924" s="983"/>
      <c r="F924" s="983"/>
      <c r="G924" s="186"/>
      <c r="H924" s="265"/>
      <c r="I924" s="265"/>
    </row>
    <row r="925" spans="1:9" ht="12.75" customHeight="1">
      <c r="A925" s="44"/>
      <c r="B925" s="44"/>
      <c r="C925" s="205"/>
      <c r="D925" s="186"/>
      <c r="E925" s="186"/>
      <c r="F925" s="186"/>
      <c r="G925" s="186"/>
      <c r="H925" s="265"/>
      <c r="I925" s="265"/>
    </row>
    <row r="926" spans="1:9" ht="12.75" customHeight="1">
      <c r="A926" s="1001" t="s">
        <v>1487</v>
      </c>
      <c r="B926" s="973"/>
      <c r="C926" s="973"/>
      <c r="D926" s="973"/>
      <c r="E926" s="973"/>
      <c r="F926" s="973"/>
      <c r="G926" s="973"/>
      <c r="H926" s="265"/>
      <c r="I926" s="265"/>
    </row>
    <row r="927" spans="1:9" ht="12.75" customHeight="1">
      <c r="A927" s="44"/>
      <c r="B927" s="44"/>
      <c r="C927" s="205"/>
      <c r="D927" s="186"/>
      <c r="E927" s="186"/>
      <c r="F927" s="186"/>
      <c r="G927" s="186"/>
      <c r="H927" s="265"/>
      <c r="I927" s="265"/>
    </row>
    <row r="928" spans="1:9" ht="12.75" customHeight="1">
      <c r="C928" s="205"/>
      <c r="D928" s="1004" t="s">
        <v>1488</v>
      </c>
      <c r="E928" s="983"/>
      <c r="F928" s="983"/>
      <c r="G928" s="186"/>
      <c r="H928" s="265"/>
      <c r="I928" s="265"/>
    </row>
    <row r="929" spans="1:9" ht="12.75" customHeight="1">
      <c r="A929" s="188"/>
      <c r="B929" s="188"/>
      <c r="C929" s="188"/>
      <c r="D929" s="1002" t="s">
        <v>1489</v>
      </c>
      <c r="E929" s="983"/>
      <c r="F929" s="983"/>
      <c r="G929" s="186"/>
      <c r="H929" s="265"/>
      <c r="I929" s="265"/>
    </row>
    <row r="930" spans="1:9" ht="12.75" customHeight="1">
      <c r="A930" s="188"/>
      <c r="B930" s="188"/>
      <c r="C930" s="188"/>
      <c r="F930" s="186"/>
      <c r="G930" s="186"/>
      <c r="H930" s="265"/>
      <c r="I930" s="265"/>
    </row>
    <row r="931" spans="1:9" ht="13.7" customHeight="1">
      <c r="A931" s="188"/>
      <c r="B931" s="604" t="s">
        <v>48</v>
      </c>
      <c r="C931" s="188"/>
      <c r="D931" s="1019" t="s">
        <v>1490</v>
      </c>
      <c r="E931" s="983"/>
      <c r="F931" s="983"/>
      <c r="G931" s="186"/>
      <c r="H931" s="265"/>
      <c r="I931" s="265"/>
    </row>
    <row r="932" spans="1:9" ht="12.75" customHeight="1">
      <c r="A932" s="188"/>
      <c r="B932" s="188"/>
      <c r="C932" s="188"/>
      <c r="D932" s="983"/>
      <c r="E932" s="983"/>
      <c r="F932" s="983"/>
      <c r="G932" s="186"/>
      <c r="H932" s="265"/>
      <c r="I932" s="265"/>
    </row>
    <row r="933" spans="1:9" ht="12.75" customHeight="1">
      <c r="A933" s="188"/>
      <c r="B933" s="188"/>
      <c r="C933" s="188"/>
      <c r="D933" s="983"/>
      <c r="E933" s="983"/>
      <c r="F933" s="983"/>
      <c r="G933" s="186"/>
      <c r="H933" s="265"/>
      <c r="I933" s="265"/>
    </row>
    <row r="934" spans="1:9" ht="12.75" customHeight="1">
      <c r="A934" s="188"/>
      <c r="B934" s="188"/>
      <c r="C934" s="188"/>
      <c r="D934" s="983"/>
      <c r="E934" s="983"/>
      <c r="F934" s="983"/>
      <c r="G934" s="186"/>
      <c r="H934" s="265"/>
      <c r="I934" s="265"/>
    </row>
    <row r="935" spans="1:9" ht="12.75" customHeight="1">
      <c r="A935" s="188"/>
      <c r="B935" s="188"/>
      <c r="C935" s="188"/>
      <c r="D935" s="983"/>
      <c r="E935" s="983"/>
      <c r="F935" s="983"/>
      <c r="G935" s="186"/>
      <c r="H935" s="265"/>
      <c r="I935" s="265"/>
    </row>
    <row r="936" spans="1:9" ht="12.75" customHeight="1">
      <c r="A936" s="189"/>
      <c r="B936" s="189"/>
      <c r="C936" s="189"/>
      <c r="F936" s="186"/>
      <c r="G936" s="186"/>
      <c r="H936" s="265"/>
      <c r="I936" s="265"/>
    </row>
    <row r="937" spans="1:9" ht="14.25" customHeight="1">
      <c r="A937" s="269"/>
      <c r="B937" s="604" t="s">
        <v>48</v>
      </c>
      <c r="C937" s="189"/>
      <c r="D937" s="987" t="s">
        <v>1491</v>
      </c>
      <c r="E937" s="983"/>
      <c r="F937" s="983"/>
      <c r="G937" s="186"/>
      <c r="H937" s="265"/>
      <c r="I937" s="265"/>
    </row>
    <row r="938" spans="1:9" ht="14.25" customHeight="1">
      <c r="A938" s="269"/>
      <c r="B938" s="269"/>
      <c r="C938" s="189"/>
      <c r="D938" s="983"/>
      <c r="E938" s="983"/>
      <c r="F938" s="983"/>
      <c r="G938" s="186"/>
      <c r="H938" s="265"/>
      <c r="I938" s="265"/>
    </row>
    <row r="939" spans="1:9" ht="14.25" customHeight="1">
      <c r="A939" s="269"/>
      <c r="B939" s="269"/>
      <c r="C939" s="189"/>
      <c r="D939" s="983"/>
      <c r="E939" s="983"/>
      <c r="F939" s="983"/>
      <c r="G939" s="186"/>
      <c r="H939" s="265"/>
      <c r="I939" s="265"/>
    </row>
    <row r="940" spans="1:9" ht="14.25" customHeight="1">
      <c r="A940" s="269"/>
      <c r="B940" s="269"/>
      <c r="C940" s="189"/>
      <c r="D940" s="983"/>
      <c r="E940" s="983"/>
      <c r="F940" s="983"/>
      <c r="G940" s="186"/>
      <c r="H940" s="265"/>
      <c r="I940" s="265"/>
    </row>
    <row r="941" spans="1:9" ht="14.25" customHeight="1">
      <c r="A941" s="189"/>
      <c r="B941" s="189"/>
      <c r="C941" s="189"/>
      <c r="D941" s="983"/>
      <c r="E941" s="983"/>
      <c r="F941" s="983"/>
      <c r="G941" s="186"/>
      <c r="H941" s="265"/>
      <c r="I941" s="265"/>
    </row>
    <row r="942" spans="1:9" ht="14.25" customHeight="1">
      <c r="A942" s="189"/>
      <c r="B942" s="189"/>
      <c r="C942" s="189"/>
      <c r="D942" s="983"/>
      <c r="E942" s="983"/>
      <c r="F942" s="983"/>
      <c r="G942" s="186"/>
      <c r="H942" s="265"/>
      <c r="I942" s="265"/>
    </row>
    <row r="943" spans="1:9" ht="14.25" customHeight="1">
      <c r="A943" s="189"/>
      <c r="B943" s="189"/>
      <c r="C943" s="189"/>
      <c r="D943" s="983"/>
      <c r="E943" s="983"/>
      <c r="F943" s="983"/>
      <c r="G943" s="186"/>
      <c r="H943" s="265"/>
      <c r="I943" s="265"/>
    </row>
    <row r="944" spans="1:9" ht="14.25" customHeight="1">
      <c r="A944" s="189"/>
      <c r="B944" s="189"/>
      <c r="C944" s="189"/>
      <c r="D944" s="3"/>
      <c r="F944" s="186"/>
      <c r="G944" s="186"/>
      <c r="H944" s="265"/>
      <c r="I944" s="265"/>
    </row>
    <row r="945" spans="1:9" s="321" customFormat="1" ht="14.25" customHeight="1">
      <c r="A945" s="352"/>
      <c r="B945" s="604" t="s">
        <v>48</v>
      </c>
      <c r="C945" s="353"/>
      <c r="D945" s="987" t="s">
        <v>1492</v>
      </c>
      <c r="E945" s="1023"/>
      <c r="F945" s="1023"/>
      <c r="G945" s="355"/>
      <c r="H945" s="356"/>
      <c r="I945" s="356"/>
    </row>
    <row r="946" spans="1:9" s="321" customFormat="1" ht="14.25" customHeight="1">
      <c r="A946" s="352"/>
      <c r="B946" s="352"/>
      <c r="C946" s="353"/>
      <c r="D946" s="1023"/>
      <c r="E946" s="1023"/>
      <c r="F946" s="1023"/>
      <c r="G946" s="355"/>
      <c r="H946" s="356"/>
      <c r="I946" s="356"/>
    </row>
    <row r="947" spans="1:9" s="321" customFormat="1" ht="14.25" customHeight="1">
      <c r="A947" s="352"/>
      <c r="B947" s="352"/>
      <c r="C947" s="353"/>
      <c r="D947" s="1023"/>
      <c r="E947" s="1023"/>
      <c r="F947" s="1023"/>
      <c r="G947" s="355"/>
      <c r="H947" s="356"/>
      <c r="I947" s="356"/>
    </row>
    <row r="948" spans="1:9" s="321" customFormat="1" ht="14.25" customHeight="1">
      <c r="A948" s="352"/>
      <c r="B948" s="352"/>
      <c r="C948" s="353"/>
      <c r="D948" s="1023"/>
      <c r="E948" s="1023"/>
      <c r="F948" s="1023"/>
      <c r="G948" s="355"/>
      <c r="H948" s="356"/>
      <c r="I948" s="356"/>
    </row>
    <row r="949" spans="1:9" s="321" customFormat="1" ht="14.25" customHeight="1">
      <c r="A949" s="352"/>
      <c r="B949" s="352"/>
      <c r="C949" s="353"/>
      <c r="D949" s="1023"/>
      <c r="E949" s="1023"/>
      <c r="F949" s="1023"/>
      <c r="G949" s="355"/>
      <c r="H949" s="356"/>
      <c r="I949" s="356"/>
    </row>
    <row r="950" spans="1:9" s="321" customFormat="1" ht="14.25" customHeight="1">
      <c r="A950" s="352"/>
      <c r="B950" s="352"/>
      <c r="C950" s="353"/>
      <c r="D950" s="1023"/>
      <c r="E950" s="1023"/>
      <c r="F950" s="1023"/>
      <c r="G950" s="355"/>
      <c r="H950" s="356"/>
      <c r="I950" s="356"/>
    </row>
    <row r="951" spans="1:9" s="321" customFormat="1" ht="14.25" customHeight="1">
      <c r="A951" s="352"/>
      <c r="B951" s="352"/>
      <c r="C951" s="353"/>
      <c r="D951" s="1023"/>
      <c r="E951" s="1023"/>
      <c r="F951" s="1023"/>
      <c r="G951" s="355"/>
      <c r="H951" s="356"/>
      <c r="I951" s="356"/>
    </row>
    <row r="952" spans="1:9" s="321" customFormat="1" ht="14.25" customHeight="1">
      <c r="A952" s="352"/>
      <c r="B952" s="352"/>
      <c r="C952" s="353"/>
      <c r="D952" s="1023"/>
      <c r="E952" s="1023"/>
      <c r="F952" s="1023"/>
      <c r="G952" s="355"/>
      <c r="H952" s="356"/>
      <c r="I952" s="356"/>
    </row>
    <row r="953" spans="1:9" s="321" customFormat="1" ht="14.25" customHeight="1">
      <c r="A953" s="352"/>
      <c r="B953" s="352"/>
      <c r="C953" s="353"/>
      <c r="D953" s="1023"/>
      <c r="E953" s="1023"/>
      <c r="F953" s="1023"/>
      <c r="G953" s="355"/>
      <c r="H953" s="356"/>
      <c r="I953" s="356"/>
    </row>
    <row r="954" spans="1:9" ht="14.25" customHeight="1">
      <c r="A954" s="189"/>
      <c r="B954" s="189"/>
      <c r="C954" s="189"/>
      <c r="D954" s="3"/>
      <c r="F954" s="186"/>
      <c r="G954" s="186"/>
      <c r="H954" s="265"/>
      <c r="I954" s="265"/>
    </row>
    <row r="955" spans="1:9" ht="14.25" customHeight="1">
      <c r="A955" s="269"/>
      <c r="B955" s="604" t="s">
        <v>48</v>
      </c>
      <c r="C955" s="189"/>
      <c r="D955" s="1051" t="s">
        <v>1493</v>
      </c>
      <c r="E955" s="983"/>
      <c r="F955" s="983"/>
      <c r="G955" s="186"/>
      <c r="H955" s="265"/>
      <c r="I955" s="265"/>
    </row>
    <row r="956" spans="1:9" ht="14.25" customHeight="1">
      <c r="A956" s="269"/>
      <c r="B956" s="269"/>
      <c r="C956" s="189"/>
      <c r="D956" s="983"/>
      <c r="E956" s="983"/>
      <c r="F956" s="983"/>
      <c r="G956" s="186"/>
      <c r="H956" s="265"/>
      <c r="I956" s="265"/>
    </row>
    <row r="957" spans="1:9" ht="14.25" customHeight="1">
      <c r="A957" s="269"/>
      <c r="B957" s="269"/>
      <c r="C957" s="189"/>
      <c r="D957" s="983"/>
      <c r="E957" s="983"/>
      <c r="F957" s="983"/>
      <c r="G957" s="186"/>
      <c r="H957" s="265"/>
      <c r="I957" s="265"/>
    </row>
    <row r="958" spans="1:9" ht="14.25" customHeight="1">
      <c r="A958" s="269"/>
      <c r="B958" s="269"/>
      <c r="C958" s="189"/>
      <c r="D958" s="983"/>
      <c r="E958" s="983"/>
      <c r="F958" s="983"/>
      <c r="G958" s="186"/>
      <c r="H958" s="265"/>
      <c r="I958" s="265"/>
    </row>
    <row r="959" spans="1:9" ht="14.25" customHeight="1">
      <c r="A959" s="269"/>
      <c r="B959" s="269"/>
      <c r="C959" s="189"/>
      <c r="D959" s="983"/>
      <c r="E959" s="983"/>
      <c r="F959" s="983"/>
      <c r="G959" s="186"/>
      <c r="H959" s="265"/>
      <c r="I959" s="265"/>
    </row>
    <row r="960" spans="1:9" ht="14.25" customHeight="1">
      <c r="A960" s="269"/>
      <c r="B960" s="269"/>
      <c r="C960" s="189"/>
      <c r="D960" s="983"/>
      <c r="E960" s="983"/>
      <c r="F960" s="983"/>
      <c r="G960" s="186"/>
      <c r="H960" s="265"/>
      <c r="I960" s="265"/>
    </row>
    <row r="961" spans="1:9" ht="14.25" customHeight="1">
      <c r="A961" s="269"/>
      <c r="B961" s="269"/>
      <c r="C961" s="189"/>
      <c r="D961" s="983"/>
      <c r="E961" s="983"/>
      <c r="F961" s="983"/>
      <c r="G961" s="186"/>
      <c r="H961" s="265"/>
      <c r="I961" s="265"/>
    </row>
    <row r="962" spans="1:9" ht="14.25" customHeight="1">
      <c r="A962" s="269"/>
      <c r="B962" s="269"/>
      <c r="C962" s="189"/>
      <c r="D962" s="370"/>
      <c r="F962" s="186"/>
      <c r="G962" s="186"/>
      <c r="H962" s="265"/>
      <c r="I962" s="265"/>
    </row>
    <row r="963" spans="1:9" s="445" customFormat="1" ht="14.25" customHeight="1">
      <c r="A963" s="269"/>
      <c r="B963" s="604" t="s">
        <v>48</v>
      </c>
      <c r="C963" s="189"/>
      <c r="D963" s="987" t="s">
        <v>1494</v>
      </c>
      <c r="E963" s="1017"/>
      <c r="F963" s="1017"/>
      <c r="G963" s="186"/>
    </row>
    <row r="964" spans="1:9" s="445" customFormat="1" ht="14.25" customHeight="1">
      <c r="A964" s="269"/>
      <c r="B964" s="269"/>
      <c r="C964" s="189"/>
      <c r="D964" s="1017"/>
      <c r="E964" s="1017"/>
      <c r="F964" s="1017"/>
      <c r="G964" s="186"/>
    </row>
    <row r="965" spans="1:9" s="445" customFormat="1" ht="14.25" customHeight="1">
      <c r="A965" s="269"/>
      <c r="B965" s="269"/>
      <c r="C965" s="189"/>
      <c r="D965" s="1017"/>
      <c r="E965" s="1017"/>
      <c r="F965" s="1017"/>
      <c r="G965" s="186"/>
    </row>
    <row r="966" spans="1:9" s="445" customFormat="1" ht="14.25" customHeight="1">
      <c r="A966" s="269"/>
      <c r="B966" s="269"/>
      <c r="C966" s="189"/>
      <c r="D966" s="1017"/>
      <c r="E966" s="1017"/>
      <c r="F966" s="1017"/>
      <c r="G966" s="186"/>
    </row>
    <row r="967" spans="1:9" s="445" customFormat="1" ht="14.25" customHeight="1">
      <c r="A967" s="269"/>
      <c r="B967" s="269"/>
      <c r="C967" s="189"/>
      <c r="D967" s="3"/>
      <c r="E967" s="5"/>
      <c r="F967" s="186"/>
      <c r="G967" s="186"/>
    </row>
    <row r="968" spans="1:9" ht="14.25" customHeight="1">
      <c r="A968" s="18"/>
      <c r="B968" s="18"/>
      <c r="C968" s="205"/>
      <c r="D968" s="1006" t="s">
        <v>1495</v>
      </c>
      <c r="E968" s="983"/>
      <c r="F968" s="983"/>
      <c r="G968" s="186"/>
      <c r="H968" s="265"/>
      <c r="I968" s="265"/>
    </row>
    <row r="969" spans="1:9" ht="14.25" customHeight="1">
      <c r="A969" s="205"/>
      <c r="B969" s="205"/>
      <c r="C969" s="205"/>
      <c r="D969" s="983"/>
      <c r="E969" s="983"/>
      <c r="F969" s="983"/>
      <c r="G969" s="186"/>
      <c r="H969" s="265"/>
      <c r="I969" s="265"/>
    </row>
    <row r="970" spans="1:9" ht="14.25" customHeight="1">
      <c r="A970" s="205"/>
      <c r="B970" s="205"/>
      <c r="C970" s="205"/>
      <c r="D970" s="3"/>
      <c r="E970" s="186"/>
      <c r="F970" s="186"/>
      <c r="G970" s="186"/>
      <c r="H970" s="265"/>
      <c r="I970" s="265"/>
    </row>
    <row r="971" spans="1:9" ht="14.25" customHeight="1">
      <c r="A971" s="269"/>
      <c r="B971" s="604" t="s">
        <v>48</v>
      </c>
      <c r="D971" s="1006" t="s">
        <v>1496</v>
      </c>
      <c r="E971" s="983"/>
      <c r="F971" s="983"/>
    </row>
    <row r="972" spans="1:9" ht="12.75" customHeight="1">
      <c r="D972" s="983"/>
      <c r="E972" s="983"/>
      <c r="F972" s="983"/>
    </row>
    <row r="973" spans="1:9" ht="14.25" customHeight="1">
      <c r="A973" s="205"/>
      <c r="B973" s="205"/>
      <c r="C973" s="205"/>
      <c r="D973" s="3"/>
      <c r="E973" s="186"/>
      <c r="F973" s="186"/>
      <c r="G973" s="186"/>
      <c r="H973" s="265"/>
      <c r="I973" s="265"/>
    </row>
    <row r="974" spans="1:9" ht="14.25" customHeight="1">
      <c r="A974" s="189"/>
      <c r="B974" s="189"/>
      <c r="C974" s="189"/>
      <c r="D974" s="1004" t="s">
        <v>1497</v>
      </c>
      <c r="E974" s="983"/>
      <c r="F974" s="983"/>
      <c r="G974" s="186"/>
      <c r="H974" s="265"/>
      <c r="I974" s="265"/>
    </row>
    <row r="975" spans="1:9" ht="14.25" customHeight="1">
      <c r="A975" s="189"/>
      <c r="B975" s="189"/>
      <c r="C975" s="189"/>
      <c r="D975" s="190"/>
      <c r="F975" s="186"/>
      <c r="G975" s="186"/>
      <c r="H975" s="265"/>
      <c r="I975" s="265"/>
    </row>
    <row r="976" spans="1:9" ht="14.45" customHeight="1">
      <c r="A976" s="269"/>
      <c r="B976" s="604" t="s">
        <v>48</v>
      </c>
      <c r="C976" s="205"/>
      <c r="D976" s="1012" t="s">
        <v>1498</v>
      </c>
      <c r="E976" s="983"/>
      <c r="F976" s="983"/>
      <c r="G976" s="186"/>
      <c r="H976" s="265"/>
      <c r="I976" s="265"/>
    </row>
    <row r="977" spans="1:9" ht="12.75" customHeight="1">
      <c r="A977" s="205"/>
      <c r="B977" s="205"/>
      <c r="C977" s="205"/>
      <c r="D977" s="983"/>
      <c r="E977" s="983"/>
      <c r="F977" s="983"/>
      <c r="G977" s="186"/>
      <c r="H977" s="265"/>
      <c r="I977" s="265"/>
    </row>
    <row r="978" spans="1:9" ht="12.75" customHeight="1">
      <c r="A978" s="205"/>
      <c r="B978" s="205"/>
      <c r="C978" s="205"/>
      <c r="D978" s="983"/>
      <c r="E978" s="983"/>
      <c r="F978" s="983"/>
      <c r="G978" s="186"/>
      <c r="H978" s="265"/>
      <c r="I978" s="265"/>
    </row>
    <row r="979" spans="1:9" ht="12.75" customHeight="1">
      <c r="A979" s="205"/>
      <c r="B979" s="205"/>
      <c r="C979" s="205"/>
      <c r="D979" s="983"/>
      <c r="E979" s="983"/>
      <c r="F979" s="983"/>
      <c r="G979" s="186"/>
      <c r="H979" s="265"/>
      <c r="I979" s="265"/>
    </row>
    <row r="980" spans="1:9" ht="12.75" customHeight="1">
      <c r="A980" s="205"/>
      <c r="B980" s="205"/>
      <c r="C980" s="205"/>
      <c r="D980" s="983"/>
      <c r="E980" s="983"/>
      <c r="F980" s="983"/>
      <c r="G980" s="186"/>
      <c r="H980" s="265"/>
      <c r="I980" s="265"/>
    </row>
    <row r="981" spans="1:9" ht="12.75" customHeight="1">
      <c r="A981" s="205"/>
      <c r="B981" s="205"/>
      <c r="C981" s="205"/>
      <c r="D981" s="983"/>
      <c r="E981" s="983"/>
      <c r="F981" s="983"/>
      <c r="G981" s="186"/>
      <c r="H981" s="265"/>
      <c r="I981" s="265"/>
    </row>
    <row r="982" spans="1:9" ht="12.75" customHeight="1">
      <c r="A982" s="205"/>
      <c r="B982" s="205"/>
      <c r="C982" s="205"/>
      <c r="D982" s="608"/>
      <c r="E982" s="608"/>
      <c r="F982" s="608"/>
      <c r="G982" s="186"/>
      <c r="H982" s="265"/>
      <c r="I982" s="265"/>
    </row>
    <row r="983" spans="1:9" ht="14.45" customHeight="1">
      <c r="A983" s="269"/>
      <c r="B983" s="604" t="s">
        <v>48</v>
      </c>
      <c r="C983" s="205"/>
      <c r="D983" s="1012" t="s">
        <v>1499</v>
      </c>
      <c r="E983" s="983"/>
      <c r="F983" s="983"/>
      <c r="G983" s="186"/>
      <c r="H983" s="265"/>
      <c r="I983" s="265"/>
    </row>
    <row r="984" spans="1:9" ht="12.75" customHeight="1">
      <c r="A984" s="205"/>
      <c r="B984" s="205"/>
      <c r="C984" s="205"/>
      <c r="D984" s="983"/>
      <c r="E984" s="983"/>
      <c r="F984" s="983"/>
      <c r="G984" s="186"/>
      <c r="H984" s="265"/>
      <c r="I984" s="265"/>
    </row>
    <row r="985" spans="1:9" ht="12.75" customHeight="1">
      <c r="A985" s="205"/>
      <c r="B985" s="205"/>
      <c r="C985" s="205"/>
      <c r="D985" s="983"/>
      <c r="E985" s="983"/>
      <c r="F985" s="983"/>
      <c r="G985" s="186"/>
      <c r="H985" s="265"/>
      <c r="I985" s="265"/>
    </row>
    <row r="986" spans="1:9" ht="12.75" customHeight="1">
      <c r="A986" s="205"/>
      <c r="B986" s="205"/>
      <c r="C986" s="205"/>
      <c r="D986" s="983"/>
      <c r="E986" s="983"/>
      <c r="F986" s="983"/>
      <c r="G986" s="186"/>
      <c r="H986" s="265"/>
      <c r="I986" s="265"/>
    </row>
    <row r="987" spans="1:9" ht="12.75" customHeight="1">
      <c r="A987" s="205"/>
      <c r="B987" s="205"/>
      <c r="C987" s="205"/>
      <c r="D987" s="983"/>
      <c r="E987" s="983"/>
      <c r="F987" s="983"/>
      <c r="G987" s="186"/>
      <c r="H987" s="265"/>
      <c r="I987" s="265"/>
    </row>
    <row r="988" spans="1:9" ht="12.75" customHeight="1">
      <c r="A988" s="205"/>
      <c r="B988" s="205"/>
      <c r="C988" s="205"/>
      <c r="D988" s="368"/>
      <c r="E988" s="186"/>
      <c r="F988" s="186"/>
      <c r="G988" s="186"/>
      <c r="H988" s="265"/>
      <c r="I988" s="265"/>
    </row>
    <row r="989" spans="1:9" ht="14.25" customHeight="1">
      <c r="A989" s="269"/>
      <c r="B989" s="604" t="s">
        <v>48</v>
      </c>
      <c r="C989" s="205"/>
      <c r="D989" s="1012" t="s">
        <v>1500</v>
      </c>
      <c r="E989" s="983"/>
      <c r="F989" s="983"/>
      <c r="G989" s="186"/>
      <c r="H989" s="265"/>
      <c r="I989" s="265"/>
    </row>
    <row r="990" spans="1:9" ht="12.75" customHeight="1">
      <c r="A990" s="205"/>
      <c r="B990" s="205"/>
      <c r="C990" s="205"/>
      <c r="D990" s="983"/>
      <c r="E990" s="983"/>
      <c r="F990" s="983"/>
      <c r="G990" s="186"/>
      <c r="H990" s="265"/>
      <c r="I990" s="265"/>
    </row>
    <row r="991" spans="1:9" ht="12.75" customHeight="1">
      <c r="A991" s="205"/>
      <c r="B991" s="205"/>
      <c r="C991" s="205"/>
      <c r="D991" s="983"/>
      <c r="E991" s="983"/>
      <c r="F991" s="983"/>
      <c r="G991" s="186"/>
      <c r="H991" s="265"/>
      <c r="I991" s="265"/>
    </row>
    <row r="992" spans="1:9" ht="12.75" customHeight="1">
      <c r="A992" s="205"/>
      <c r="B992" s="205"/>
      <c r="C992" s="205"/>
      <c r="D992" s="983"/>
      <c r="E992" s="983"/>
      <c r="F992" s="983"/>
      <c r="G992" s="186"/>
      <c r="H992" s="265"/>
      <c r="I992" s="265"/>
    </row>
    <row r="993" spans="1:9" ht="12.75" customHeight="1">
      <c r="A993" s="205"/>
      <c r="B993" s="205"/>
      <c r="C993" s="205"/>
      <c r="D993" s="983"/>
      <c r="E993" s="983"/>
      <c r="F993" s="983"/>
      <c r="G993" s="186"/>
      <c r="H993" s="265"/>
      <c r="I993" s="265"/>
    </row>
    <row r="994" spans="1:9" ht="12.75" customHeight="1">
      <c r="A994" s="205"/>
      <c r="B994" s="205"/>
      <c r="C994" s="205"/>
      <c r="D994" s="368"/>
      <c r="E994" s="186"/>
      <c r="F994" s="186"/>
      <c r="G994" s="186"/>
      <c r="H994" s="265"/>
      <c r="I994" s="265"/>
    </row>
    <row r="995" spans="1:9" ht="14.45" customHeight="1">
      <c r="A995" s="269"/>
      <c r="B995" s="604" t="s">
        <v>48</v>
      </c>
      <c r="C995" s="205"/>
      <c r="D995" s="1012" t="s">
        <v>1501</v>
      </c>
      <c r="E995" s="983"/>
      <c r="F995" s="983"/>
      <c r="G995" s="186"/>
      <c r="H995" s="265"/>
      <c r="I995" s="265"/>
    </row>
    <row r="996" spans="1:9" ht="12.75" customHeight="1">
      <c r="A996" s="205"/>
      <c r="B996" s="205"/>
      <c r="C996" s="205"/>
      <c r="D996" s="983"/>
      <c r="E996" s="983"/>
      <c r="F996" s="983"/>
      <c r="G996" s="186"/>
      <c r="H996" s="265"/>
      <c r="I996" s="265"/>
    </row>
    <row r="997" spans="1:9" ht="12.75" customHeight="1">
      <c r="A997" s="205"/>
      <c r="B997" s="205"/>
      <c r="C997" s="205"/>
      <c r="D997" s="983"/>
      <c r="E997" s="983"/>
      <c r="F997" s="983"/>
      <c r="G997" s="186"/>
      <c r="H997" s="265"/>
      <c r="I997" s="265"/>
    </row>
    <row r="998" spans="1:9" ht="12.75" customHeight="1">
      <c r="A998" s="205"/>
      <c r="B998" s="205"/>
      <c r="C998" s="205"/>
      <c r="D998" s="608"/>
      <c r="E998" s="608"/>
      <c r="F998" s="608"/>
      <c r="G998" s="186"/>
      <c r="H998" s="265"/>
      <c r="I998" s="265"/>
    </row>
    <row r="999" spans="1:9" ht="14.25" customHeight="1">
      <c r="A999" s="269"/>
      <c r="B999" s="604" t="s">
        <v>48</v>
      </c>
      <c r="C999" s="205"/>
      <c r="D999" s="1012" t="s">
        <v>1502</v>
      </c>
      <c r="E999" s="983"/>
      <c r="F999" s="983"/>
      <c r="G999" s="186"/>
      <c r="H999" s="265"/>
      <c r="I999" s="265"/>
    </row>
    <row r="1000" spans="1:9" ht="12.75" customHeight="1">
      <c r="A1000" s="205"/>
      <c r="B1000" s="205"/>
      <c r="C1000" s="205"/>
      <c r="D1000" s="983"/>
      <c r="E1000" s="983"/>
      <c r="F1000" s="983"/>
      <c r="G1000" s="186"/>
      <c r="H1000" s="265"/>
      <c r="I1000" s="265"/>
    </row>
    <row r="1001" spans="1:9" ht="12.75" customHeight="1">
      <c r="A1001" s="205"/>
      <c r="B1001" s="205"/>
      <c r="C1001" s="205"/>
      <c r="D1001" s="368"/>
      <c r="E1001" s="186"/>
      <c r="F1001" s="186"/>
      <c r="G1001" s="186"/>
      <c r="H1001" s="265"/>
      <c r="I1001" s="265"/>
    </row>
    <row r="1002" spans="1:9" ht="12.75" customHeight="1">
      <c r="A1002" s="205"/>
      <c r="B1002" s="604" t="s">
        <v>48</v>
      </c>
      <c r="C1002" s="205"/>
      <c r="D1002" s="981" t="s">
        <v>1503</v>
      </c>
      <c r="E1002" s="983"/>
      <c r="F1002" s="983"/>
      <c r="G1002" s="186"/>
      <c r="H1002" s="265"/>
      <c r="I1002" s="265"/>
    </row>
    <row r="1003" spans="1:9" ht="12.75" customHeight="1">
      <c r="A1003" s="205"/>
      <c r="B1003" s="205"/>
      <c r="C1003" s="205"/>
      <c r="D1003" s="983"/>
      <c r="E1003" s="983"/>
      <c r="F1003" s="983"/>
      <c r="G1003" s="186"/>
      <c r="H1003" s="265"/>
      <c r="I1003" s="265"/>
    </row>
    <row r="1004" spans="1:9" ht="12.75" customHeight="1">
      <c r="A1004" s="205"/>
      <c r="B1004" s="205"/>
      <c r="C1004" s="205"/>
      <c r="D1004" s="186"/>
      <c r="E1004" s="186"/>
      <c r="F1004" s="186"/>
      <c r="G1004" s="186"/>
      <c r="H1004" s="265"/>
      <c r="I1004" s="265"/>
    </row>
    <row r="1005" spans="1:9" ht="12.75" customHeight="1">
      <c r="A1005" s="205"/>
      <c r="B1005" s="604" t="s">
        <v>48</v>
      </c>
      <c r="C1005" s="205"/>
      <c r="D1005" s="1026" t="s">
        <v>1504</v>
      </c>
      <c r="E1005" s="983"/>
      <c r="F1005" s="983"/>
      <c r="G1005" s="186"/>
      <c r="H1005" s="265"/>
      <c r="I1005" s="265"/>
    </row>
    <row r="1006" spans="1:9" ht="12.75" customHeight="1">
      <c r="A1006" s="205"/>
      <c r="B1006" s="205"/>
      <c r="C1006" s="205"/>
      <c r="D1006" s="983"/>
      <c r="E1006" s="983"/>
      <c r="F1006" s="983"/>
      <c r="G1006" s="186"/>
      <c r="H1006" s="265"/>
      <c r="I1006" s="265"/>
    </row>
    <row r="1007" spans="1:9" ht="12.75" customHeight="1">
      <c r="A1007" s="205"/>
      <c r="B1007" s="205"/>
      <c r="C1007" s="205"/>
      <c r="D1007" s="983"/>
      <c r="E1007" s="983"/>
      <c r="F1007" s="983"/>
      <c r="G1007" s="186"/>
      <c r="H1007" s="265"/>
      <c r="I1007" s="265"/>
    </row>
    <row r="1008" spans="1:9" ht="12.75" customHeight="1">
      <c r="A1008" s="205"/>
      <c r="B1008" s="205"/>
      <c r="C1008" s="205"/>
      <c r="D1008" s="983"/>
      <c r="E1008" s="983"/>
      <c r="F1008" s="983"/>
      <c r="G1008" s="186"/>
      <c r="H1008" s="265"/>
      <c r="I1008" s="265"/>
    </row>
    <row r="1009" spans="1:9" ht="12.75" customHeight="1">
      <c r="A1009" s="205"/>
      <c r="B1009" s="205"/>
      <c r="C1009" s="205"/>
      <c r="D1009" s="44"/>
      <c r="E1009" s="186"/>
      <c r="F1009" s="186"/>
      <c r="G1009" s="186"/>
      <c r="H1009" s="265"/>
      <c r="I1009" s="265"/>
    </row>
    <row r="1010" spans="1:9" ht="12.75" customHeight="1">
      <c r="A1010" s="205"/>
      <c r="B1010" s="604" t="s">
        <v>48</v>
      </c>
      <c r="C1010" s="205"/>
      <c r="D1010" s="1002" t="s">
        <v>1505</v>
      </c>
      <c r="E1010" s="983"/>
      <c r="F1010" s="983"/>
      <c r="G1010" s="186"/>
      <c r="H1010" s="265"/>
      <c r="I1010" s="265"/>
    </row>
    <row r="1011" spans="1:9" ht="12.75" customHeight="1">
      <c r="A1011" s="205"/>
      <c r="B1011" s="205"/>
      <c r="C1011" s="205"/>
      <c r="D1011" s="44"/>
      <c r="E1011" s="186"/>
      <c r="F1011" s="186"/>
      <c r="G1011" s="186"/>
      <c r="H1011" s="265"/>
      <c r="I1011" s="265"/>
    </row>
    <row r="1012" spans="1:9" ht="12.75" customHeight="1">
      <c r="A1012" s="205"/>
      <c r="B1012" s="604" t="s">
        <v>48</v>
      </c>
      <c r="C1012" s="205"/>
      <c r="D1012" s="1002" t="s">
        <v>1506</v>
      </c>
      <c r="E1012" s="983"/>
      <c r="F1012" s="983"/>
      <c r="G1012" s="186"/>
      <c r="H1012" s="265"/>
      <c r="I1012" s="265"/>
    </row>
    <row r="1013" spans="1:9" ht="12.75" customHeight="1">
      <c r="A1013" s="205"/>
      <c r="B1013" s="205"/>
      <c r="C1013" s="205"/>
      <c r="D1013" s="186"/>
      <c r="E1013" s="186"/>
      <c r="F1013" s="186"/>
      <c r="G1013" s="186"/>
      <c r="H1013" s="265"/>
      <c r="I1013" s="265"/>
    </row>
    <row r="1014" spans="1:9" ht="12.75" customHeight="1">
      <c r="A1014" s="205"/>
      <c r="C1014" s="205"/>
      <c r="D1014" s="1008" t="s">
        <v>1507</v>
      </c>
      <c r="E1014" s="983"/>
      <c r="F1014" s="983"/>
      <c r="G1014" s="186"/>
      <c r="H1014" s="265"/>
      <c r="I1014" s="265"/>
    </row>
    <row r="1015" spans="1:9" ht="12.75" customHeight="1">
      <c r="A1015" s="205"/>
      <c r="C1015" s="205"/>
      <c r="D1015" s="190"/>
      <c r="E1015" s="186"/>
      <c r="F1015" s="186"/>
      <c r="G1015" s="186"/>
      <c r="H1015" s="265"/>
      <c r="I1015" s="265"/>
    </row>
    <row r="1016" spans="1:9" ht="14.25" customHeight="1">
      <c r="A1016" s="269"/>
      <c r="B1016" s="604" t="s">
        <v>48</v>
      </c>
      <c r="C1016" s="205"/>
      <c r="D1016" s="1006" t="s">
        <v>1508</v>
      </c>
      <c r="E1016" s="983"/>
      <c r="F1016" s="983"/>
      <c r="G1016" s="186"/>
      <c r="H1016" s="265"/>
      <c r="I1016" s="265"/>
    </row>
    <row r="1017" spans="1:9" ht="12.75" customHeight="1">
      <c r="A1017" s="205"/>
      <c r="B1017" s="205"/>
      <c r="C1017" s="205"/>
      <c r="D1017" s="983"/>
      <c r="E1017" s="983"/>
      <c r="F1017" s="983"/>
      <c r="G1017" s="186"/>
      <c r="H1017" s="265"/>
      <c r="I1017" s="265"/>
    </row>
    <row r="1018" spans="1:9" ht="12.75" customHeight="1">
      <c r="A1018" s="205"/>
      <c r="B1018" s="205"/>
      <c r="C1018" s="205"/>
      <c r="D1018" s="983"/>
      <c r="E1018" s="983"/>
      <c r="F1018" s="983"/>
      <c r="G1018" s="186"/>
      <c r="H1018" s="265"/>
      <c r="I1018" s="265"/>
    </row>
    <row r="1019" spans="1:9" ht="12.75" customHeight="1">
      <c r="A1019" s="205"/>
      <c r="B1019" s="205"/>
      <c r="C1019" s="205"/>
      <c r="D1019" s="983"/>
      <c r="E1019" s="983"/>
      <c r="F1019" s="983"/>
      <c r="G1019" s="186"/>
      <c r="H1019" s="265"/>
      <c r="I1019" s="265"/>
    </row>
    <row r="1020" spans="1:9" ht="12.75" customHeight="1">
      <c r="A1020" s="205"/>
      <c r="B1020" s="205"/>
      <c r="C1020" s="205"/>
      <c r="D1020" s="983"/>
      <c r="E1020" s="983"/>
      <c r="F1020" s="983"/>
      <c r="G1020" s="186"/>
      <c r="H1020" s="265"/>
      <c r="I1020" s="265"/>
    </row>
    <row r="1021" spans="1:9" ht="12.75" customHeight="1">
      <c r="A1021" s="205"/>
      <c r="B1021" s="205"/>
      <c r="C1021" s="205"/>
      <c r="G1021" s="186"/>
      <c r="H1021" s="265"/>
      <c r="I1021" s="265"/>
    </row>
    <row r="1022" spans="1:9" ht="14.25" customHeight="1">
      <c r="A1022" s="269"/>
      <c r="B1022" s="604" t="s">
        <v>48</v>
      </c>
      <c r="C1022" s="205"/>
      <c r="D1022" s="1006" t="s">
        <v>1509</v>
      </c>
      <c r="E1022" s="983"/>
      <c r="F1022" s="983"/>
      <c r="G1022" s="186"/>
      <c r="H1022" s="265"/>
      <c r="I1022" s="265"/>
    </row>
    <row r="1023" spans="1:9" ht="12.75" customHeight="1">
      <c r="A1023" s="205"/>
      <c r="B1023" s="205"/>
      <c r="C1023" s="205"/>
      <c r="D1023" s="983"/>
      <c r="E1023" s="983"/>
      <c r="F1023" s="983"/>
      <c r="G1023" s="186"/>
      <c r="H1023" s="265"/>
      <c r="I1023" s="265"/>
    </row>
    <row r="1024" spans="1:9" ht="12.75" customHeight="1">
      <c r="A1024" s="205"/>
      <c r="B1024" s="205"/>
      <c r="C1024" s="205"/>
      <c r="D1024" s="983"/>
      <c r="E1024" s="983"/>
      <c r="F1024" s="983"/>
      <c r="G1024" s="186"/>
      <c r="H1024" s="265"/>
      <c r="I1024" s="265"/>
    </row>
    <row r="1025" spans="1:9" ht="12.75" customHeight="1">
      <c r="A1025" s="205"/>
      <c r="B1025" s="205"/>
      <c r="C1025" s="205"/>
      <c r="D1025" s="983"/>
      <c r="E1025" s="983"/>
      <c r="F1025" s="983"/>
      <c r="G1025" s="186"/>
      <c r="H1025" s="265"/>
      <c r="I1025" s="265"/>
    </row>
    <row r="1026" spans="1:9" ht="12.75" customHeight="1">
      <c r="A1026" s="205"/>
      <c r="B1026" s="205"/>
      <c r="C1026" s="205"/>
      <c r="D1026" s="983"/>
      <c r="E1026" s="983"/>
      <c r="F1026" s="983"/>
      <c r="G1026" s="186"/>
      <c r="H1026" s="265"/>
      <c r="I1026" s="265"/>
    </row>
    <row r="1027" spans="1:9" ht="12.75" customHeight="1">
      <c r="A1027" s="205"/>
      <c r="B1027" s="205"/>
      <c r="C1027" s="205"/>
      <c r="D1027" s="186"/>
      <c r="E1027" s="186"/>
      <c r="F1027" s="186"/>
      <c r="G1027" s="186"/>
      <c r="H1027" s="265"/>
      <c r="I1027" s="265"/>
    </row>
    <row r="1028" spans="1:9" ht="12.75" customHeight="1">
      <c r="A1028" s="205"/>
      <c r="B1028" s="205"/>
      <c r="C1028" s="205"/>
      <c r="D1028" s="1008" t="s">
        <v>1510</v>
      </c>
      <c r="E1028" s="983"/>
      <c r="F1028" s="983"/>
      <c r="G1028" s="186"/>
      <c r="H1028" s="265"/>
      <c r="I1028" s="265"/>
    </row>
    <row r="1029" spans="1:9" ht="12.75" customHeight="1">
      <c r="A1029" s="205"/>
      <c r="B1029" s="205"/>
      <c r="C1029" s="205"/>
      <c r="D1029" s="190"/>
      <c r="E1029" s="186"/>
      <c r="F1029" s="186"/>
      <c r="G1029" s="186"/>
      <c r="H1029" s="265"/>
      <c r="I1029" s="265"/>
    </row>
    <row r="1030" spans="1:9" ht="14.25" customHeight="1">
      <c r="A1030" s="269"/>
      <c r="B1030" s="604" t="s">
        <v>48</v>
      </c>
      <c r="C1030" s="205"/>
      <c r="D1030" s="1006" t="s">
        <v>1511</v>
      </c>
      <c r="E1030" s="983"/>
      <c r="F1030" s="983"/>
      <c r="G1030" s="186"/>
      <c r="H1030" s="265"/>
      <c r="I1030" s="265"/>
    </row>
    <row r="1031" spans="1:9" ht="12.75" customHeight="1">
      <c r="A1031" s="205"/>
      <c r="B1031" s="205"/>
      <c r="C1031" s="205"/>
      <c r="D1031" s="983"/>
      <c r="E1031" s="983"/>
      <c r="F1031" s="983"/>
      <c r="G1031" s="186"/>
      <c r="H1031" s="265"/>
      <c r="I1031" s="265"/>
    </row>
    <row r="1032" spans="1:9" ht="12.75" customHeight="1">
      <c r="A1032" s="205"/>
      <c r="B1032" s="205"/>
      <c r="C1032" s="205"/>
      <c r="D1032" s="983"/>
      <c r="E1032" s="983"/>
      <c r="F1032" s="983"/>
      <c r="G1032" s="186"/>
      <c r="H1032" s="265"/>
      <c r="I1032" s="265"/>
    </row>
    <row r="1033" spans="1:9" ht="12.75" customHeight="1">
      <c r="A1033" s="205"/>
      <c r="B1033" s="205"/>
      <c r="C1033" s="205"/>
      <c r="G1033" s="186"/>
      <c r="H1033" s="265"/>
      <c r="I1033" s="265"/>
    </row>
    <row r="1034" spans="1:9" ht="14.25" customHeight="1">
      <c r="A1034" s="269"/>
      <c r="B1034" s="604" t="s">
        <v>48</v>
      </c>
      <c r="C1034" s="205"/>
      <c r="D1034" s="1006" t="s">
        <v>1512</v>
      </c>
      <c r="E1034" s="983"/>
      <c r="F1034" s="983"/>
      <c r="G1034" s="186"/>
      <c r="H1034" s="265"/>
      <c r="I1034" s="265"/>
    </row>
    <row r="1035" spans="1:9" ht="12.75" customHeight="1">
      <c r="A1035" s="205"/>
      <c r="B1035" s="205"/>
      <c r="C1035" s="205"/>
      <c r="D1035" s="983"/>
      <c r="E1035" s="983"/>
      <c r="F1035" s="983"/>
      <c r="G1035" s="186"/>
      <c r="H1035" s="265"/>
      <c r="I1035" s="265"/>
    </row>
    <row r="1036" spans="1:9" ht="12.75" customHeight="1">
      <c r="A1036" s="205"/>
      <c r="B1036" s="205"/>
      <c r="C1036" s="205"/>
      <c r="D1036" s="983"/>
      <c r="E1036" s="983"/>
      <c r="F1036" s="983"/>
      <c r="G1036" s="186"/>
      <c r="H1036" s="265"/>
      <c r="I1036" s="265"/>
    </row>
    <row r="1037" spans="1:9" ht="12.75" customHeight="1">
      <c r="A1037" s="205"/>
      <c r="B1037" s="205"/>
      <c r="C1037" s="205"/>
      <c r="D1037" s="44"/>
      <c r="E1037" s="186"/>
      <c r="F1037" s="186"/>
      <c r="G1037" s="186"/>
      <c r="H1037" s="265"/>
      <c r="I1037" s="265"/>
    </row>
    <row r="1038" spans="1:9" ht="12.75" customHeight="1">
      <c r="A1038" s="205"/>
      <c r="B1038" s="205"/>
      <c r="C1038" s="205"/>
      <c r="D1038" s="1008" t="s">
        <v>1513</v>
      </c>
      <c r="E1038" s="983"/>
      <c r="F1038" s="983"/>
      <c r="G1038" s="186"/>
      <c r="H1038" s="265"/>
      <c r="I1038" s="265"/>
    </row>
    <row r="1039" spans="1:9" ht="12.75" customHeight="1">
      <c r="A1039" s="205"/>
      <c r="B1039" s="205"/>
      <c r="C1039" s="205"/>
      <c r="D1039" s="190"/>
      <c r="E1039" s="186"/>
      <c r="F1039" s="186"/>
      <c r="G1039" s="186"/>
      <c r="H1039" s="265"/>
      <c r="I1039" s="265"/>
    </row>
    <row r="1040" spans="1:9" ht="14.25" customHeight="1">
      <c r="A1040" s="269"/>
      <c r="B1040" s="604" t="s">
        <v>48</v>
      </c>
      <c r="C1040" s="205"/>
      <c r="D1040" s="1006" t="s">
        <v>1514</v>
      </c>
      <c r="E1040" s="983"/>
      <c r="F1040" s="983"/>
      <c r="G1040" s="24"/>
      <c r="H1040" s="207"/>
      <c r="I1040" s="207"/>
    </row>
    <row r="1041" spans="1:9" ht="12.75" customHeight="1">
      <c r="A1041" s="205"/>
      <c r="B1041" s="205"/>
      <c r="C1041" s="205"/>
      <c r="D1041" s="983"/>
      <c r="E1041" s="983"/>
      <c r="F1041" s="983"/>
      <c r="G1041" s="24"/>
      <c r="H1041" s="207"/>
      <c r="I1041" s="207"/>
    </row>
    <row r="1042" spans="1:9" ht="12.75" customHeight="1">
      <c r="A1042" s="205"/>
      <c r="B1042" s="205"/>
      <c r="C1042" s="205"/>
      <c r="D1042" s="983"/>
      <c r="E1042" s="983"/>
      <c r="F1042" s="983"/>
      <c r="G1042" s="24"/>
      <c r="H1042" s="207"/>
      <c r="I1042" s="207"/>
    </row>
    <row r="1043" spans="1:9" ht="12" customHeight="1">
      <c r="A1043" s="205"/>
      <c r="B1043" s="205"/>
      <c r="C1043" s="205"/>
      <c r="D1043" s="207"/>
      <c r="E1043" s="207"/>
      <c r="F1043" s="207"/>
      <c r="G1043" s="207"/>
      <c r="H1043" s="207"/>
      <c r="I1043" s="207"/>
    </row>
    <row r="1044" spans="1:9" ht="12.75" customHeight="1">
      <c r="A1044" s="205"/>
      <c r="B1044" s="604" t="s">
        <v>48</v>
      </c>
      <c r="C1044" s="205"/>
      <c r="D1044" s="1006" t="s">
        <v>1515</v>
      </c>
      <c r="E1044" s="983"/>
      <c r="F1044" s="983"/>
      <c r="G1044" s="207"/>
      <c r="H1044" s="265"/>
      <c r="I1044" s="265"/>
    </row>
    <row r="1045" spans="1:9" ht="12.75" customHeight="1">
      <c r="A1045" s="205"/>
      <c r="B1045" s="205"/>
      <c r="C1045" s="205"/>
      <c r="D1045" s="983"/>
      <c r="E1045" s="983"/>
      <c r="F1045" s="983"/>
      <c r="G1045" s="207"/>
      <c r="H1045" s="265"/>
      <c r="I1045" s="265"/>
    </row>
    <row r="1046" spans="1:9" ht="12.75" customHeight="1">
      <c r="A1046" s="205"/>
      <c r="B1046" s="205"/>
      <c r="C1046" s="205"/>
      <c r="D1046" s="983"/>
      <c r="E1046" s="983"/>
      <c r="F1046" s="983"/>
      <c r="G1046" s="207"/>
      <c r="H1046" s="265"/>
      <c r="I1046" s="265"/>
    </row>
    <row r="1047" spans="1:9" ht="12" customHeight="1">
      <c r="A1047" s="205"/>
      <c r="B1047" s="205"/>
      <c r="C1047" s="205"/>
      <c r="D1047" s="44"/>
      <c r="E1047" s="186"/>
      <c r="F1047" s="186"/>
      <c r="G1047" s="186"/>
      <c r="H1047" s="265"/>
      <c r="I1047" s="265"/>
    </row>
    <row r="1048" spans="1:9" ht="12.75" customHeight="1">
      <c r="A1048" s="205"/>
      <c r="B1048" s="604" t="s">
        <v>48</v>
      </c>
      <c r="C1048" s="205"/>
      <c r="D1048" s="1031" t="s">
        <v>1516</v>
      </c>
      <c r="E1048" s="983"/>
      <c r="F1048" s="983"/>
      <c r="G1048" s="206"/>
      <c r="H1048" s="265"/>
      <c r="I1048" s="265"/>
    </row>
    <row r="1049" spans="1:9" ht="12.75" customHeight="1">
      <c r="A1049" s="205"/>
      <c r="B1049" s="205"/>
      <c r="C1049" s="205"/>
      <c r="D1049" s="983"/>
      <c r="E1049" s="983"/>
      <c r="F1049" s="983"/>
      <c r="G1049" s="206"/>
      <c r="H1049" s="265"/>
      <c r="I1049" s="265"/>
    </row>
    <row r="1050" spans="1:9" ht="12.75" customHeight="1">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4" t="s">
        <v>48</v>
      </c>
      <c r="C1052" s="205"/>
      <c r="D1052" s="1006" t="s">
        <v>1517</v>
      </c>
      <c r="E1052" s="983"/>
      <c r="F1052" s="983"/>
      <c r="G1052" s="206"/>
      <c r="H1052" s="206"/>
      <c r="I1052" s="206"/>
    </row>
    <row r="1053" spans="1:9" ht="12.75" customHeight="1">
      <c r="A1053" s="205"/>
      <c r="B1053" s="205"/>
      <c r="C1053" s="205"/>
      <c r="D1053" s="983"/>
      <c r="E1053" s="983"/>
      <c r="F1053" s="983"/>
      <c r="G1053" s="206"/>
      <c r="H1053" s="206"/>
      <c r="I1053" s="206"/>
    </row>
    <row r="1054" spans="1:9" ht="12.75" customHeight="1">
      <c r="A1054" s="205"/>
      <c r="B1054" s="205"/>
      <c r="C1054" s="205"/>
      <c r="D1054" s="983"/>
      <c r="E1054" s="983"/>
      <c r="F1054" s="983"/>
      <c r="G1054" s="206"/>
      <c r="H1054" s="206"/>
      <c r="I1054" s="206"/>
    </row>
    <row r="1055" spans="1:9" ht="14.25" customHeight="1">
      <c r="A1055" s="269"/>
      <c r="B1055" s="269"/>
      <c r="C1055" s="205"/>
      <c r="D1055" s="44"/>
      <c r="E1055" s="186"/>
      <c r="F1055" s="186"/>
      <c r="G1055" s="186"/>
      <c r="H1055" s="265"/>
      <c r="I1055" s="265"/>
    </row>
    <row r="1056" spans="1:9" ht="12.75" customHeight="1">
      <c r="A1056" s="205"/>
      <c r="B1056" s="604" t="s">
        <v>48</v>
      </c>
      <c r="C1056" s="205"/>
      <c r="D1056" s="1006" t="s">
        <v>1518</v>
      </c>
      <c r="E1056" s="983"/>
      <c r="F1056" s="983"/>
      <c r="G1056" s="206"/>
      <c r="H1056" s="206"/>
      <c r="I1056" s="206"/>
    </row>
    <row r="1057" spans="1:9" ht="12.75" customHeight="1">
      <c r="A1057" s="205"/>
      <c r="B1057" s="205"/>
      <c r="C1057" s="205"/>
      <c r="D1057" s="983"/>
      <c r="E1057" s="983"/>
      <c r="F1057" s="983"/>
      <c r="G1057" s="206"/>
      <c r="H1057" s="206"/>
      <c r="I1057" s="206"/>
    </row>
    <row r="1058" spans="1:9" ht="12.75" customHeight="1">
      <c r="A1058" s="205"/>
      <c r="B1058" s="205"/>
      <c r="C1058" s="205"/>
      <c r="D1058" s="983"/>
      <c r="E1058" s="983"/>
      <c r="F1058" s="983"/>
      <c r="G1058" s="206"/>
      <c r="H1058" s="206"/>
      <c r="I1058" s="206"/>
    </row>
    <row r="1059" spans="1:9" ht="12.75" customHeight="1">
      <c r="A1059" s="205"/>
      <c r="B1059" s="205"/>
      <c r="C1059" s="205"/>
      <c r="D1059" s="44"/>
      <c r="E1059" s="186"/>
      <c r="F1059" s="186"/>
      <c r="G1059" s="186"/>
      <c r="H1059" s="265"/>
      <c r="I1059" s="265"/>
    </row>
    <row r="1060" spans="1:9" ht="12.75" customHeight="1">
      <c r="A1060" s="205"/>
      <c r="B1060" s="604" t="s">
        <v>48</v>
      </c>
      <c r="C1060" s="205"/>
      <c r="D1060" s="1006" t="s">
        <v>1519</v>
      </c>
      <c r="E1060" s="983"/>
      <c r="F1060" s="983"/>
      <c r="G1060" s="24"/>
      <c r="H1060" s="265"/>
      <c r="I1060" s="265"/>
    </row>
    <row r="1061" spans="1:9" ht="12.75" customHeight="1">
      <c r="A1061" s="205"/>
      <c r="B1061" s="205"/>
      <c r="C1061" s="205"/>
      <c r="D1061" s="983"/>
      <c r="E1061" s="983"/>
      <c r="F1061" s="983"/>
      <c r="G1061" s="24"/>
      <c r="H1061" s="265"/>
      <c r="I1061" s="265"/>
    </row>
    <row r="1062" spans="1:9" ht="12.75" customHeight="1">
      <c r="A1062" s="205"/>
      <c r="B1062" s="205"/>
      <c r="C1062" s="205"/>
      <c r="D1062" s="983"/>
      <c r="E1062" s="983"/>
      <c r="F1062" s="983"/>
      <c r="G1062" s="24"/>
      <c r="H1062" s="265"/>
      <c r="I1062" s="265"/>
    </row>
    <row r="1063" spans="1:9" ht="12.75" customHeight="1">
      <c r="A1063" s="205"/>
      <c r="B1063" s="205"/>
      <c r="C1063" s="205"/>
      <c r="D1063" s="24"/>
      <c r="E1063" s="24"/>
      <c r="F1063" s="24"/>
      <c r="G1063" s="24"/>
      <c r="H1063" s="265"/>
      <c r="I1063" s="265"/>
    </row>
    <row r="1064" spans="1:9" ht="12.75" customHeight="1">
      <c r="A1064" s="205"/>
      <c r="B1064" s="604" t="s">
        <v>48</v>
      </c>
      <c r="C1064" s="205"/>
      <c r="D1064" s="1006" t="s">
        <v>1520</v>
      </c>
      <c r="E1064" s="983"/>
      <c r="F1064" s="983"/>
      <c r="G1064" s="24"/>
      <c r="H1064" s="265"/>
      <c r="I1064" s="265"/>
    </row>
    <row r="1065" spans="1:9" ht="12.75" customHeight="1">
      <c r="A1065" s="205"/>
      <c r="B1065" s="205"/>
      <c r="C1065" s="205"/>
      <c r="D1065" s="983"/>
      <c r="E1065" s="983"/>
      <c r="F1065" s="983"/>
      <c r="G1065" s="24"/>
      <c r="H1065" s="265"/>
      <c r="I1065" s="265"/>
    </row>
    <row r="1066" spans="1:9" ht="12.75" customHeight="1">
      <c r="A1066" s="205"/>
      <c r="B1066" s="205"/>
      <c r="C1066" s="205"/>
      <c r="D1066" s="983"/>
      <c r="E1066" s="983"/>
      <c r="F1066" s="983"/>
      <c r="G1066" s="24"/>
      <c r="H1066" s="265"/>
      <c r="I1066" s="265"/>
    </row>
    <row r="1067" spans="1:9" ht="12.75" customHeight="1">
      <c r="A1067" s="205"/>
      <c r="B1067" s="205"/>
      <c r="C1067" s="205"/>
      <c r="D1067" s="300"/>
      <c r="E1067" s="300"/>
      <c r="F1067" s="300"/>
      <c r="G1067" s="300"/>
      <c r="H1067" s="265"/>
      <c r="I1067" s="265"/>
    </row>
    <row r="1068" spans="1:9" ht="12.75" customHeight="1">
      <c r="A1068" s="205"/>
      <c r="B1068" s="604" t="s">
        <v>48</v>
      </c>
      <c r="C1068" s="205"/>
      <c r="D1068" s="1014" t="s">
        <v>1521</v>
      </c>
      <c r="E1068" s="983"/>
      <c r="F1068" s="983"/>
      <c r="G1068" s="603"/>
      <c r="H1068" s="265"/>
      <c r="I1068" s="265"/>
    </row>
    <row r="1069" spans="1:9" ht="12.75" customHeight="1">
      <c r="A1069" s="205"/>
      <c r="B1069" s="205"/>
      <c r="C1069" s="205"/>
      <c r="D1069" s="983"/>
      <c r="E1069" s="983"/>
      <c r="F1069" s="983"/>
      <c r="G1069" s="603"/>
      <c r="H1069" s="265"/>
      <c r="I1069" s="265"/>
    </row>
    <row r="1070" spans="1:9" ht="12.75" customHeight="1">
      <c r="A1070" s="205"/>
      <c r="B1070" s="205"/>
      <c r="C1070" s="205"/>
      <c r="D1070" s="983"/>
      <c r="E1070" s="983"/>
      <c r="F1070" s="983"/>
      <c r="G1070" s="603"/>
      <c r="H1070" s="265"/>
      <c r="I1070" s="265"/>
    </row>
    <row r="1071" spans="1:9" ht="12.75" customHeight="1">
      <c r="A1071" s="205"/>
      <c r="B1071" s="205"/>
      <c r="C1071" s="205"/>
      <c r="D1071" s="983"/>
      <c r="E1071" s="983"/>
      <c r="F1071" s="983"/>
      <c r="G1071" s="603"/>
      <c r="H1071" s="265"/>
      <c r="I1071" s="265"/>
    </row>
    <row r="1072" spans="1:9" ht="12.75" customHeight="1">
      <c r="A1072" s="205"/>
      <c r="B1072" s="205"/>
      <c r="C1072" s="205"/>
      <c r="D1072" s="983"/>
      <c r="E1072" s="983"/>
      <c r="F1072" s="983"/>
      <c r="G1072" s="603"/>
      <c r="H1072" s="265"/>
      <c r="I1072" s="265"/>
    </row>
    <row r="1073" spans="1:9" ht="12.75" customHeight="1">
      <c r="A1073" s="205"/>
      <c r="B1073" s="205"/>
      <c r="C1073" s="205"/>
      <c r="D1073" s="983"/>
      <c r="E1073" s="983"/>
      <c r="F1073" s="983"/>
      <c r="G1073" s="603"/>
      <c r="H1073" s="265"/>
      <c r="I1073" s="265"/>
    </row>
    <row r="1074" spans="1:9" ht="12.75" customHeight="1">
      <c r="A1074" s="205"/>
      <c r="B1074" s="205"/>
      <c r="C1074" s="205"/>
      <c r="D1074" s="983"/>
      <c r="E1074" s="983"/>
      <c r="F1074" s="983"/>
      <c r="G1074" s="603"/>
      <c r="H1074" s="265"/>
      <c r="I1074" s="265"/>
    </row>
    <row r="1075" spans="1:9" ht="12.75" customHeight="1">
      <c r="A1075" s="205"/>
      <c r="B1075" s="205"/>
      <c r="C1075" s="205"/>
      <c r="D1075" s="983"/>
      <c r="E1075" s="983"/>
      <c r="F1075" s="983"/>
      <c r="G1075" s="603"/>
      <c r="H1075" s="265"/>
      <c r="I1075" s="265"/>
    </row>
    <row r="1076" spans="1:9" ht="12.75" customHeight="1">
      <c r="A1076" s="205"/>
      <c r="B1076" s="205"/>
      <c r="C1076" s="205"/>
      <c r="D1076" s="983"/>
      <c r="E1076" s="983"/>
      <c r="F1076" s="983"/>
      <c r="G1076" s="603"/>
      <c r="H1076" s="265"/>
      <c r="I1076" s="265"/>
    </row>
    <row r="1077" spans="1:9" ht="12.75" customHeight="1">
      <c r="A1077" s="205"/>
      <c r="B1077" s="205"/>
      <c r="C1077" s="205"/>
      <c r="D1077" s="983"/>
      <c r="E1077" s="983"/>
      <c r="F1077" s="983"/>
      <c r="G1077" s="603"/>
      <c r="H1077" s="265"/>
      <c r="I1077" s="265"/>
    </row>
    <row r="1078" spans="1:9" ht="14.25" customHeight="1">
      <c r="A1078" s="205"/>
      <c r="B1078" s="205"/>
      <c r="C1078" s="205"/>
      <c r="D1078" s="983"/>
      <c r="E1078" s="983"/>
      <c r="F1078" s="983"/>
      <c r="G1078" s="603"/>
      <c r="H1078" s="265"/>
      <c r="I1078" s="265"/>
    </row>
    <row r="1079" spans="1:9" ht="12.75" customHeight="1">
      <c r="A1079" s="205"/>
      <c r="B1079" s="205"/>
      <c r="C1079" s="205"/>
      <c r="D1079" s="415"/>
      <c r="E1079" s="415"/>
      <c r="F1079" s="415"/>
      <c r="G1079" s="415"/>
      <c r="H1079" s="265"/>
      <c r="I1079" s="265"/>
    </row>
    <row r="1080" spans="1:9" ht="12.75" customHeight="1">
      <c r="A1080" s="205"/>
      <c r="B1080" s="205"/>
      <c r="C1080" s="205"/>
      <c r="D1080" s="1008" t="s">
        <v>1522</v>
      </c>
      <c r="E1080" s="983"/>
      <c r="F1080" s="983"/>
      <c r="G1080" s="415"/>
      <c r="H1080" s="265"/>
      <c r="I1080" s="265"/>
    </row>
    <row r="1081" spans="1:9" ht="12.75" customHeight="1">
      <c r="A1081" s="205"/>
      <c r="B1081" s="205"/>
      <c r="C1081" s="205"/>
      <c r="D1081" s="190"/>
      <c r="E1081" s="415"/>
      <c r="F1081" s="415"/>
      <c r="G1081" s="415"/>
      <c r="H1081" s="265"/>
      <c r="I1081" s="265"/>
    </row>
    <row r="1082" spans="1:9" ht="14.25" customHeight="1">
      <c r="A1082" s="269"/>
      <c r="B1082" s="604" t="s">
        <v>48</v>
      </c>
      <c r="C1082" s="205"/>
      <c r="D1082" s="981" t="s">
        <v>1523</v>
      </c>
      <c r="E1082" s="983"/>
      <c r="F1082" s="983"/>
      <c r="G1082" s="186"/>
      <c r="H1082" s="265"/>
      <c r="I1082" s="265"/>
    </row>
    <row r="1083" spans="1:9" ht="12.75" customHeight="1">
      <c r="A1083" s="205"/>
      <c r="B1083" s="205"/>
      <c r="C1083" s="205"/>
      <c r="D1083" s="983"/>
      <c r="E1083" s="983"/>
      <c r="F1083" s="983"/>
      <c r="G1083" s="186"/>
      <c r="H1083" s="265"/>
      <c r="I1083" s="265"/>
    </row>
    <row r="1084" spans="1:9" ht="12.75" customHeight="1">
      <c r="A1084" s="205"/>
      <c r="B1084" s="205"/>
      <c r="C1084" s="205"/>
      <c r="D1084" s="983"/>
      <c r="E1084" s="983"/>
      <c r="F1084" s="983"/>
      <c r="G1084" s="186"/>
      <c r="H1084" s="265"/>
      <c r="I1084" s="265"/>
    </row>
    <row r="1085" spans="1:9" ht="12.75" customHeight="1">
      <c r="A1085" s="205"/>
      <c r="B1085" s="205"/>
      <c r="C1085" s="205"/>
      <c r="D1085" s="983"/>
      <c r="E1085" s="983"/>
      <c r="F1085" s="983"/>
      <c r="G1085" s="186"/>
      <c r="H1085" s="265"/>
      <c r="I1085" s="265"/>
    </row>
    <row r="1086" spans="1:9" ht="12.75" customHeight="1">
      <c r="A1086" s="205"/>
      <c r="B1086" s="205"/>
      <c r="C1086" s="205"/>
      <c r="D1086" s="186"/>
      <c r="E1086" s="186"/>
      <c r="F1086" s="186"/>
      <c r="G1086" s="186"/>
      <c r="H1086" s="265"/>
      <c r="I1086" s="265"/>
    </row>
    <row r="1087" spans="1:9" ht="14.25" customHeight="1">
      <c r="A1087" s="269"/>
      <c r="B1087" s="604" t="s">
        <v>48</v>
      </c>
      <c r="C1087" s="205"/>
      <c r="D1087" s="981" t="s">
        <v>1524</v>
      </c>
      <c r="E1087" s="983"/>
      <c r="F1087" s="983"/>
      <c r="G1087" s="186"/>
      <c r="H1087" s="265"/>
      <c r="I1087" s="265"/>
    </row>
    <row r="1088" spans="1:9" ht="12.75" customHeight="1">
      <c r="A1088" s="205"/>
      <c r="B1088" s="205"/>
      <c r="C1088" s="205"/>
      <c r="D1088" s="983"/>
      <c r="E1088" s="983"/>
      <c r="F1088" s="983"/>
      <c r="G1088" s="186"/>
      <c r="H1088" s="265"/>
      <c r="I1088" s="265"/>
    </row>
    <row r="1089" spans="1:9" ht="12.75" customHeight="1">
      <c r="A1089" s="205"/>
      <c r="B1089" s="205"/>
      <c r="C1089" s="205"/>
      <c r="D1089" s="983"/>
      <c r="E1089" s="983"/>
      <c r="F1089" s="983"/>
      <c r="G1089" s="186"/>
      <c r="H1089" s="265"/>
      <c r="I1089" s="265"/>
    </row>
    <row r="1090" spans="1:9" ht="12.75" customHeight="1">
      <c r="A1090" s="205"/>
      <c r="B1090" s="205"/>
      <c r="C1090" s="205"/>
      <c r="D1090" s="983"/>
      <c r="E1090" s="983"/>
      <c r="F1090" s="983"/>
      <c r="G1090" s="186"/>
      <c r="H1090" s="265"/>
      <c r="I1090" s="265"/>
    </row>
    <row r="1091" spans="1:9" ht="12.75" customHeight="1">
      <c r="A1091" s="205"/>
      <c r="B1091" s="205"/>
      <c r="C1091" s="205"/>
      <c r="D1091" s="186"/>
      <c r="E1091" s="186"/>
      <c r="F1091" s="186"/>
      <c r="G1091" s="186"/>
    </row>
    <row r="1092" spans="1:9" ht="12.75" customHeight="1">
      <c r="A1092" s="205"/>
      <c r="B1092" s="604" t="s">
        <v>48</v>
      </c>
      <c r="C1092" s="205"/>
      <c r="D1092" s="1020" t="s">
        <v>1525</v>
      </c>
      <c r="E1092" s="983"/>
      <c r="F1092" s="983"/>
      <c r="G1092" s="186"/>
    </row>
    <row r="1093" spans="1:9" ht="12.75" customHeight="1">
      <c r="A1093" s="205"/>
      <c r="B1093" s="205"/>
      <c r="C1093" s="205"/>
      <c r="D1093" s="983"/>
      <c r="E1093" s="983"/>
      <c r="F1093" s="983"/>
      <c r="G1093" s="186"/>
    </row>
    <row r="1094" spans="1:9" ht="12.75" customHeight="1">
      <c r="A1094" s="205"/>
      <c r="B1094" s="205"/>
      <c r="C1094" s="205"/>
      <c r="D1094" s="983"/>
      <c r="E1094" s="983"/>
      <c r="F1094" s="983"/>
      <c r="G1094" s="186"/>
    </row>
    <row r="1095" spans="1:9" ht="12.75" customHeight="1">
      <c r="A1095" s="205"/>
      <c r="B1095" s="205"/>
      <c r="C1095" s="205"/>
      <c r="D1095" s="186"/>
      <c r="E1095" s="186"/>
      <c r="F1095" s="186"/>
      <c r="G1095" s="186"/>
    </row>
    <row r="1096" spans="1:9" ht="14.25" customHeight="1">
      <c r="A1096" s="269"/>
      <c r="B1096" s="604" t="s">
        <v>48</v>
      </c>
      <c r="C1096" s="426"/>
      <c r="D1096" s="1054" t="s">
        <v>1526</v>
      </c>
      <c r="E1096" s="983"/>
      <c r="F1096" s="983"/>
      <c r="G1096" s="446"/>
    </row>
    <row r="1097" spans="1:9" ht="12.75" customHeight="1">
      <c r="A1097" s="426"/>
      <c r="B1097" s="426"/>
      <c r="C1097" s="426"/>
      <c r="D1097" s="983"/>
      <c r="E1097" s="983"/>
      <c r="F1097" s="983"/>
      <c r="G1097" s="446"/>
    </row>
    <row r="1098" spans="1:9" ht="12.75" customHeight="1">
      <c r="A1098" s="426"/>
      <c r="B1098" s="426"/>
      <c r="C1098" s="426"/>
      <c r="D1098" s="983"/>
      <c r="E1098" s="983"/>
      <c r="F1098" s="983"/>
      <c r="G1098" s="446"/>
    </row>
    <row r="1099" spans="1:9" ht="12.75" customHeight="1">
      <c r="A1099" s="205"/>
      <c r="B1099" s="205"/>
      <c r="C1099" s="205"/>
      <c r="D1099" s="186"/>
      <c r="E1099" s="186"/>
      <c r="F1099" s="186"/>
      <c r="G1099" s="186"/>
    </row>
    <row r="1100" spans="1:9" ht="12.75" customHeight="1">
      <c r="C1100" s="205"/>
      <c r="D1100" s="1008" t="s">
        <v>1527</v>
      </c>
      <c r="E1100" s="983"/>
      <c r="F1100" s="983"/>
      <c r="G1100" s="186"/>
    </row>
    <row r="1101" spans="1:9" ht="12.75" customHeight="1">
      <c r="C1101" s="205"/>
      <c r="D1101" s="190"/>
      <c r="E1101" s="186"/>
      <c r="F1101" s="186"/>
      <c r="G1101" s="186"/>
    </row>
    <row r="1102" spans="1:9" ht="12.75" customHeight="1">
      <c r="A1102" s="205"/>
      <c r="B1102" s="604" t="s">
        <v>48</v>
      </c>
      <c r="C1102" s="205"/>
      <c r="D1102" s="1006" t="s">
        <v>1528</v>
      </c>
      <c r="E1102" s="983"/>
      <c r="F1102" s="983"/>
      <c r="G1102" s="186"/>
    </row>
    <row r="1103" spans="1:9" ht="12.75" customHeight="1">
      <c r="A1103" s="205"/>
      <c r="B1103" s="205"/>
      <c r="C1103" s="205"/>
      <c r="D1103" s="983"/>
      <c r="E1103" s="983"/>
      <c r="F1103" s="983"/>
      <c r="G1103" s="186"/>
    </row>
    <row r="1104" spans="1:9" ht="12.75" customHeight="1">
      <c r="A1104" s="205"/>
      <c r="B1104" s="205"/>
      <c r="C1104" s="205"/>
      <c r="D1104" s="983"/>
      <c r="E1104" s="983"/>
      <c r="F1104" s="983"/>
      <c r="G1104" s="186"/>
    </row>
    <row r="1105" spans="1:7" ht="12.75" customHeight="1">
      <c r="A1105" s="205"/>
      <c r="B1105" s="205"/>
      <c r="C1105" s="205"/>
      <c r="D1105" s="186"/>
      <c r="E1105" s="186"/>
      <c r="F1105" s="186"/>
      <c r="G1105" s="186"/>
    </row>
    <row r="1106" spans="1:7" ht="14.25" customHeight="1">
      <c r="A1106" s="269"/>
      <c r="B1106" s="604" t="s">
        <v>48</v>
      </c>
      <c r="C1106" s="205"/>
      <c r="D1106" s="1006" t="s">
        <v>1529</v>
      </c>
      <c r="E1106" s="983"/>
      <c r="F1106" s="983"/>
      <c r="G1106" s="186"/>
    </row>
    <row r="1107" spans="1:7" ht="12.75" customHeight="1">
      <c r="A1107" s="205"/>
      <c r="B1107" s="205"/>
      <c r="C1107" s="205"/>
      <c r="D1107" s="983"/>
      <c r="E1107" s="983"/>
      <c r="F1107" s="983"/>
      <c r="G1107" s="186"/>
    </row>
    <row r="1108" spans="1:7" ht="12.75" customHeight="1">
      <c r="A1108" s="205"/>
      <c r="B1108" s="205"/>
      <c r="C1108" s="205"/>
      <c r="D1108" s="983"/>
      <c r="E1108" s="983"/>
      <c r="F1108" s="983"/>
      <c r="G1108" s="186"/>
    </row>
    <row r="1109" spans="1:7" ht="12.75" customHeight="1">
      <c r="A1109" s="205"/>
      <c r="B1109" s="205"/>
      <c r="C1109" s="205"/>
      <c r="D1109" s="186"/>
      <c r="E1109" s="186"/>
      <c r="F1109" s="186"/>
      <c r="G1109" s="186"/>
    </row>
    <row r="1110" spans="1:7" ht="12.75" customHeight="1">
      <c r="A1110" s="205"/>
      <c r="B1110" s="205"/>
      <c r="C1110" s="205"/>
      <c r="D1110" s="1008" t="s">
        <v>1530</v>
      </c>
      <c r="E1110" s="983"/>
      <c r="F1110" s="983"/>
      <c r="G1110" s="186"/>
    </row>
    <row r="1111" spans="1:7" ht="12.75" customHeight="1">
      <c r="A1111" s="205"/>
      <c r="B1111" s="205"/>
      <c r="C1111" s="205"/>
      <c r="D1111" s="1002" t="s">
        <v>1531</v>
      </c>
      <c r="E1111" s="983"/>
      <c r="F1111" s="983"/>
      <c r="G1111" s="186"/>
    </row>
    <row r="1112" spans="1:7" ht="12.75" customHeight="1">
      <c r="A1112" s="205"/>
      <c r="B1112" s="205"/>
      <c r="C1112" s="205"/>
      <c r="D1112" s="416"/>
      <c r="E1112" s="186"/>
      <c r="F1112" s="186"/>
      <c r="G1112" s="186"/>
    </row>
    <row r="1113" spans="1:7" ht="14.25" customHeight="1">
      <c r="A1113" s="269"/>
      <c r="B1113" s="604" t="s">
        <v>48</v>
      </c>
      <c r="C1113" s="205"/>
      <c r="D1113" s="1006" t="s">
        <v>1532</v>
      </c>
      <c r="E1113" s="983"/>
      <c r="F1113" s="983"/>
      <c r="G1113" s="186"/>
    </row>
    <row r="1114" spans="1:7" ht="12.75" customHeight="1">
      <c r="A1114" s="205"/>
      <c r="B1114" s="205"/>
      <c r="C1114" s="205"/>
      <c r="D1114" s="983"/>
      <c r="E1114" s="983"/>
      <c r="F1114" s="983"/>
      <c r="G1114" s="186"/>
    </row>
    <row r="1115" spans="1:7" ht="12.75" customHeight="1">
      <c r="A1115" s="205"/>
      <c r="B1115" s="205"/>
      <c r="C1115" s="205"/>
      <c r="D1115" s="186"/>
      <c r="E1115" s="186"/>
      <c r="F1115" s="186"/>
      <c r="G1115" s="186"/>
    </row>
    <row r="1116" spans="1:7" ht="14.25" customHeight="1">
      <c r="A1116" s="269"/>
      <c r="B1116" s="604" t="s">
        <v>48</v>
      </c>
      <c r="C1116" s="205"/>
      <c r="D1116" s="1006" t="s">
        <v>1533</v>
      </c>
      <c r="E1116" s="983"/>
      <c r="F1116" s="983"/>
      <c r="G1116" s="186"/>
    </row>
    <row r="1117" spans="1:7" ht="12.75" customHeight="1">
      <c r="A1117" s="205"/>
      <c r="B1117" s="205"/>
      <c r="C1117" s="205"/>
      <c r="D1117" s="983"/>
      <c r="E1117" s="983"/>
      <c r="F1117" s="983"/>
      <c r="G1117" s="186"/>
    </row>
    <row r="1118" spans="1:7" ht="12.75" customHeight="1">
      <c r="A1118" s="205"/>
      <c r="B1118" s="205"/>
      <c r="C1118" s="205"/>
      <c r="E1118" s="186"/>
      <c r="F1118" s="186"/>
      <c r="G1118" s="186"/>
    </row>
    <row r="1119" spans="1:7" ht="12.75" customHeight="1">
      <c r="A1119" s="205"/>
      <c r="B1119" s="205"/>
      <c r="C1119" s="205"/>
      <c r="D1119" s="1008" t="s">
        <v>1534</v>
      </c>
      <c r="E1119" s="983"/>
      <c r="F1119" s="983"/>
      <c r="G1119" s="186"/>
    </row>
    <row r="1120" spans="1:7" ht="12.75" customHeight="1">
      <c r="A1120" s="205"/>
      <c r="B1120" s="205"/>
      <c r="C1120" s="205"/>
      <c r="D1120" s="190"/>
      <c r="E1120" s="186"/>
      <c r="F1120" s="186"/>
      <c r="G1120" s="186"/>
    </row>
    <row r="1121" spans="1:7" ht="14.25" customHeight="1">
      <c r="A1121" s="269"/>
      <c r="B1121" s="604" t="s">
        <v>48</v>
      </c>
      <c r="C1121" s="205"/>
      <c r="D1121" s="1006" t="s">
        <v>1535</v>
      </c>
      <c r="E1121" s="983"/>
      <c r="F1121" s="983"/>
      <c r="G1121" s="186"/>
    </row>
    <row r="1122" spans="1:7" ht="12.75" customHeight="1">
      <c r="A1122" s="205"/>
      <c r="B1122" s="205"/>
      <c r="C1122" s="205"/>
      <c r="D1122" s="983"/>
      <c r="E1122" s="983"/>
      <c r="F1122" s="983"/>
      <c r="G1122" s="186"/>
    </row>
    <row r="1123" spans="1:7" ht="12.75" customHeight="1">
      <c r="A1123" s="205"/>
      <c r="B1123" s="205"/>
      <c r="C1123" s="205"/>
      <c r="D1123" s="983"/>
      <c r="E1123" s="983"/>
      <c r="F1123" s="983"/>
      <c r="G1123" s="186"/>
    </row>
    <row r="1124" spans="1:7" ht="12.75" customHeight="1">
      <c r="A1124" s="205"/>
      <c r="B1124" s="205"/>
      <c r="C1124" s="205"/>
      <c r="D1124" s="983"/>
      <c r="E1124" s="983"/>
      <c r="F1124" s="983"/>
      <c r="G1124" s="186"/>
    </row>
    <row r="1125" spans="1:7" ht="12.75" customHeight="1">
      <c r="A1125" s="205"/>
      <c r="B1125" s="205"/>
      <c r="C1125" s="205"/>
      <c r="D1125" s="983"/>
      <c r="E1125" s="983"/>
      <c r="F1125" s="983"/>
      <c r="G1125" s="186"/>
    </row>
    <row r="1126" spans="1:7" ht="12.75" customHeight="1">
      <c r="A1126" s="205"/>
      <c r="B1126" s="205"/>
      <c r="C1126" s="205"/>
      <c r="D1126" s="983"/>
      <c r="E1126" s="983"/>
      <c r="F1126" s="983"/>
      <c r="G1126" s="186"/>
    </row>
    <row r="1127" spans="1:7" ht="12.75" customHeight="1">
      <c r="A1127" s="205"/>
      <c r="B1127" s="205"/>
      <c r="C1127" s="205"/>
      <c r="D1127" s="983"/>
      <c r="E1127" s="983"/>
      <c r="F1127" s="983"/>
      <c r="G1127" s="186"/>
    </row>
    <row r="1128" spans="1:7" ht="12.75" customHeight="1">
      <c r="A1128" s="205"/>
      <c r="B1128" s="205"/>
      <c r="C1128" s="205"/>
      <c r="D1128" s="186"/>
      <c r="E1128" s="186"/>
      <c r="F1128" s="186"/>
      <c r="G1128" s="186"/>
    </row>
    <row r="1129" spans="1:7" ht="14.25" customHeight="1">
      <c r="A1129" s="269"/>
      <c r="B1129" s="604" t="s">
        <v>48</v>
      </c>
      <c r="C1129" s="205"/>
      <c r="D1129" s="1006" t="s">
        <v>1536</v>
      </c>
      <c r="E1129" s="983"/>
      <c r="F1129" s="983"/>
      <c r="G1129" s="186"/>
    </row>
    <row r="1130" spans="1:7" ht="12.75" customHeight="1">
      <c r="A1130" s="205"/>
      <c r="B1130" s="205"/>
      <c r="C1130" s="205"/>
      <c r="D1130" s="983"/>
      <c r="E1130" s="983"/>
      <c r="F1130" s="983"/>
      <c r="G1130" s="186"/>
    </row>
    <row r="1131" spans="1:7" ht="12.75" customHeight="1">
      <c r="A1131" s="205"/>
      <c r="B1131" s="205"/>
      <c r="C1131" s="205"/>
      <c r="D1131" s="983"/>
      <c r="E1131" s="983"/>
      <c r="F1131" s="983"/>
      <c r="G1131" s="186"/>
    </row>
    <row r="1132" spans="1:7" ht="12.75" customHeight="1">
      <c r="A1132" s="205"/>
      <c r="B1132" s="205"/>
      <c r="C1132" s="205"/>
      <c r="D1132" s="983"/>
      <c r="E1132" s="983"/>
      <c r="F1132" s="983"/>
      <c r="G1132" s="186"/>
    </row>
    <row r="1133" spans="1:7" ht="12.75" customHeight="1">
      <c r="A1133" s="205"/>
      <c r="B1133" s="205"/>
      <c r="C1133" s="205"/>
      <c r="D1133" s="983"/>
      <c r="E1133" s="983"/>
      <c r="F1133" s="983"/>
      <c r="G1133" s="186"/>
    </row>
    <row r="1134" spans="1:7" ht="12.75" customHeight="1">
      <c r="A1134" s="205"/>
      <c r="B1134" s="205"/>
      <c r="C1134" s="205"/>
      <c r="D1134" s="983"/>
      <c r="E1134" s="983"/>
      <c r="F1134" s="983"/>
      <c r="G1134" s="186"/>
    </row>
    <row r="1135" spans="1:7" ht="12.75" customHeight="1">
      <c r="A1135" s="205"/>
      <c r="B1135" s="205"/>
      <c r="C1135" s="205"/>
      <c r="D1135" s="983"/>
      <c r="E1135" s="983"/>
      <c r="F1135" s="983"/>
      <c r="G1135" s="186"/>
    </row>
    <row r="1136" spans="1:7" ht="12.75" customHeight="1">
      <c r="A1136" s="205"/>
      <c r="B1136" s="205"/>
      <c r="C1136" s="205"/>
      <c r="D1136" s="24"/>
      <c r="E1136" s="24"/>
      <c r="F1136" s="24"/>
      <c r="G1136" s="186"/>
    </row>
    <row r="1137" spans="1:7" ht="12.4" customHeight="1">
      <c r="A1137" s="205"/>
      <c r="B1137" s="604" t="s">
        <v>48</v>
      </c>
      <c r="C1137" s="205"/>
      <c r="D1137" s="1026" t="s">
        <v>1537</v>
      </c>
      <c r="E1137" s="983"/>
      <c r="F1137" s="983"/>
      <c r="G1137" s="186"/>
    </row>
    <row r="1138" spans="1:7" ht="12.4" customHeight="1">
      <c r="A1138" s="205"/>
      <c r="B1138" s="205"/>
      <c r="C1138" s="205"/>
      <c r="D1138" s="983"/>
      <c r="E1138" s="983"/>
      <c r="F1138" s="983"/>
      <c r="G1138" s="186"/>
    </row>
    <row r="1139" spans="1:7" ht="12.75" customHeight="1">
      <c r="A1139" s="205"/>
      <c r="B1139" s="205"/>
      <c r="C1139" s="205"/>
      <c r="D1139" s="983"/>
      <c r="E1139" s="983"/>
      <c r="F1139" s="983"/>
      <c r="G1139" s="186"/>
    </row>
    <row r="1140" spans="1:7" ht="12.75" customHeight="1">
      <c r="A1140" s="205"/>
      <c r="B1140" s="205"/>
      <c r="C1140" s="205"/>
      <c r="D1140" s="648"/>
      <c r="E1140" s="648"/>
      <c r="F1140" s="648"/>
      <c r="G1140" s="186"/>
    </row>
    <row r="1141" spans="1:7" ht="12.75" customHeight="1">
      <c r="D1141" s="1008" t="s">
        <v>1538</v>
      </c>
      <c r="E1141" s="983"/>
      <c r="F1141" s="983"/>
    </row>
    <row r="1142" spans="1:7" ht="12.75" customHeight="1">
      <c r="D1142" s="190"/>
    </row>
    <row r="1143" spans="1:7" ht="14.25" customHeight="1">
      <c r="A1143" s="269"/>
      <c r="B1143" s="604" t="s">
        <v>48</v>
      </c>
      <c r="D1143" s="1006" t="s">
        <v>1539</v>
      </c>
      <c r="E1143" s="983"/>
      <c r="F1143" s="983"/>
    </row>
    <row r="1144" spans="1:7" ht="12.75" customHeight="1">
      <c r="D1144" s="983"/>
      <c r="E1144" s="983"/>
      <c r="F1144" s="983"/>
    </row>
    <row r="1145" spans="1:7" ht="12.75" customHeight="1"/>
    <row r="1146" spans="1:7" ht="14.25" customHeight="1">
      <c r="A1146" s="269"/>
      <c r="B1146" s="604" t="s">
        <v>48</v>
      </c>
      <c r="D1146" s="1006" t="s">
        <v>1540</v>
      </c>
      <c r="E1146" s="983"/>
      <c r="F1146" s="983"/>
    </row>
    <row r="1147" spans="1:7" ht="12.75" customHeight="1">
      <c r="D1147" s="983"/>
      <c r="E1147" s="983"/>
      <c r="F1147" s="983"/>
    </row>
    <row r="1148" spans="1:7" ht="12.75" customHeight="1"/>
    <row r="1149" spans="1:7" ht="12.75" customHeight="1">
      <c r="D1149" s="1008" t="s">
        <v>1541</v>
      </c>
      <c r="E1149" s="983"/>
      <c r="F1149" s="983"/>
    </row>
    <row r="1150" spans="1:7" ht="12.75" customHeight="1">
      <c r="D1150" s="190"/>
    </row>
    <row r="1151" spans="1:7" ht="14.25" customHeight="1">
      <c r="A1151" s="269"/>
      <c r="B1151" s="604" t="s">
        <v>48</v>
      </c>
      <c r="D1151" s="1002" t="s">
        <v>1542</v>
      </c>
      <c r="E1151" s="983"/>
      <c r="F1151" s="983"/>
    </row>
    <row r="1152" spans="1:7" ht="12.75" customHeight="1"/>
    <row r="1153" spans="1:6" ht="14.25" customHeight="1">
      <c r="A1153" s="269"/>
      <c r="B1153" s="604" t="s">
        <v>48</v>
      </c>
      <c r="D1153" s="1006" t="s">
        <v>1543</v>
      </c>
      <c r="E1153" s="983"/>
      <c r="F1153" s="983"/>
    </row>
    <row r="1154" spans="1:6" ht="14.25" customHeight="1">
      <c r="A1154" s="269"/>
      <c r="B1154" s="269"/>
      <c r="D1154" s="983"/>
      <c r="E1154" s="983"/>
      <c r="F1154" s="983"/>
    </row>
    <row r="1155" spans="1:6" ht="14.25" customHeight="1">
      <c r="A1155" s="269"/>
      <c r="B1155" s="269"/>
      <c r="D1155" s="24"/>
      <c r="E1155" s="24"/>
      <c r="F1155" s="24"/>
    </row>
    <row r="1156" spans="1:6" ht="12.75" customHeight="1">
      <c r="D1156" s="1008" t="s">
        <v>1544</v>
      </c>
      <c r="E1156" s="983"/>
      <c r="F1156" s="983"/>
    </row>
    <row r="1157" spans="1:6" ht="12.75" customHeight="1">
      <c r="D1157" s="190"/>
    </row>
    <row r="1158" spans="1:6" ht="14.45" customHeight="1">
      <c r="A1158" s="269"/>
      <c r="B1158" s="604" t="s">
        <v>48</v>
      </c>
      <c r="D1158" s="981" t="s">
        <v>1545</v>
      </c>
      <c r="E1158" s="983"/>
      <c r="F1158" s="983"/>
    </row>
    <row r="1159" spans="1:6" ht="14.25" customHeight="1">
      <c r="A1159" s="269"/>
      <c r="B1159" s="269"/>
      <c r="D1159" s="983"/>
      <c r="E1159" s="983"/>
      <c r="F1159" s="983"/>
    </row>
    <row r="1160" spans="1:6" ht="14.25" customHeight="1">
      <c r="A1160" s="269"/>
      <c r="B1160" s="269"/>
      <c r="D1160" s="983"/>
      <c r="E1160" s="983"/>
      <c r="F1160" s="983"/>
    </row>
    <row r="1161" spans="1:6" ht="14.25" customHeight="1">
      <c r="A1161" s="269"/>
      <c r="B1161" s="269"/>
      <c r="D1161" s="983"/>
      <c r="E1161" s="983"/>
      <c r="F1161" s="983"/>
    </row>
    <row r="1162" spans="1:6" ht="14.25" customHeight="1">
      <c r="A1162" s="269"/>
      <c r="B1162" s="269"/>
      <c r="D1162" s="983"/>
      <c r="E1162" s="983"/>
      <c r="F1162" s="983"/>
    </row>
    <row r="1163" spans="1:6" ht="14.25" customHeight="1">
      <c r="A1163" s="269"/>
      <c r="B1163" s="269"/>
      <c r="D1163" s="983"/>
      <c r="E1163" s="983"/>
      <c r="F1163" s="983"/>
    </row>
    <row r="1164" spans="1:6" ht="14.25" customHeight="1">
      <c r="A1164" s="269"/>
      <c r="B1164" s="269"/>
      <c r="D1164" s="983"/>
      <c r="E1164" s="983"/>
      <c r="F1164" s="983"/>
    </row>
    <row r="1165" spans="1:6" ht="14.25" customHeight="1">
      <c r="A1165" s="269"/>
      <c r="B1165" s="269"/>
      <c r="D1165" s="983"/>
      <c r="E1165" s="983"/>
      <c r="F1165" s="983"/>
    </row>
    <row r="1166" spans="1:6" ht="14.25" customHeight="1">
      <c r="A1166" s="269"/>
      <c r="B1166" s="269"/>
      <c r="D1166" s="983"/>
      <c r="E1166" s="983"/>
      <c r="F1166" s="983"/>
    </row>
    <row r="1167" spans="1:6" ht="14.25" customHeight="1">
      <c r="A1167" s="269"/>
      <c r="B1167" s="269"/>
      <c r="D1167" s="983"/>
      <c r="E1167" s="983"/>
      <c r="F1167" s="983"/>
    </row>
    <row r="1168" spans="1:6" ht="14.25" customHeight="1">
      <c r="A1168" s="269"/>
      <c r="B1168" s="269"/>
      <c r="D1168" s="983"/>
      <c r="E1168" s="983"/>
      <c r="F1168" s="983"/>
    </row>
    <row r="1169" spans="1:7" ht="14.25" customHeight="1">
      <c r="A1169" s="269"/>
      <c r="B1169" s="269"/>
      <c r="D1169" s="983"/>
      <c r="E1169" s="983"/>
      <c r="F1169" s="983"/>
    </row>
    <row r="1170" spans="1:7" ht="14.25" customHeight="1">
      <c r="A1170" s="269"/>
      <c r="B1170" s="269"/>
      <c r="D1170" s="983"/>
      <c r="E1170" s="983"/>
      <c r="F1170" s="983"/>
    </row>
    <row r="1171" spans="1:7" ht="38.25" customHeight="1">
      <c r="A1171" s="269"/>
      <c r="B1171" s="269"/>
      <c r="D1171" s="983"/>
      <c r="E1171" s="983"/>
      <c r="F1171" s="983"/>
    </row>
    <row r="1172" spans="1:7" ht="12.75" customHeight="1"/>
    <row r="1173" spans="1:7" ht="12.75" customHeight="1">
      <c r="A1173" s="1001" t="s">
        <v>1546</v>
      </c>
      <c r="B1173" s="973"/>
      <c r="C1173" s="973"/>
      <c r="D1173" s="973"/>
      <c r="E1173" s="973"/>
      <c r="F1173" s="973"/>
      <c r="G1173" s="973"/>
    </row>
    <row r="1174" spans="1:7" ht="12.75" customHeight="1">
      <c r="A1174" s="44"/>
      <c r="B1174" s="44"/>
    </row>
    <row r="1175" spans="1:7" ht="12.75" customHeight="1">
      <c r="C1175" s="205"/>
      <c r="D1175" s="1008" t="s">
        <v>1547</v>
      </c>
      <c r="E1175" s="983"/>
      <c r="F1175" s="983"/>
    </row>
    <row r="1176" spans="1:7" ht="12.75" customHeight="1">
      <c r="A1176" s="188"/>
      <c r="B1176" s="188"/>
      <c r="C1176" s="188"/>
      <c r="D1176" s="1043" t="s">
        <v>1548</v>
      </c>
      <c r="E1176" s="983"/>
      <c r="F1176" s="983"/>
    </row>
    <row r="1177" spans="1:7" ht="12.75" customHeight="1">
      <c r="A1177" s="188"/>
      <c r="B1177" s="188"/>
      <c r="C1177" s="188"/>
      <c r="F1177" s="186"/>
    </row>
    <row r="1178" spans="1:7" ht="13.7" customHeight="1">
      <c r="B1178" s="604" t="s">
        <v>48</v>
      </c>
      <c r="D1178" s="1041" t="s">
        <v>1549</v>
      </c>
      <c r="E1178" s="983"/>
      <c r="F1178" s="983"/>
    </row>
    <row r="1179" spans="1:7" ht="12.75" customHeight="1">
      <c r="D1179" s="983"/>
      <c r="E1179" s="983"/>
      <c r="F1179" s="983"/>
    </row>
    <row r="1180" spans="1:7" ht="12.75" customHeight="1">
      <c r="D1180" s="15"/>
      <c r="E1180" s="918" t="s">
        <v>1550</v>
      </c>
      <c r="F1180" s="15"/>
    </row>
    <row r="1181" spans="1:7" ht="12.75" customHeight="1">
      <c r="D1181" s="15"/>
      <c r="E1181" s="15"/>
      <c r="F1181" s="15"/>
    </row>
    <row r="1182" spans="1:7" ht="12.75" customHeight="1">
      <c r="D1182" s="984" t="s">
        <v>1551</v>
      </c>
      <c r="E1182" s="983"/>
      <c r="F1182" s="983"/>
    </row>
    <row r="1183" spans="1:7" ht="12.75" customHeight="1">
      <c r="A1183" s="189"/>
      <c r="B1183" s="189"/>
      <c r="C1183" s="189"/>
      <c r="D1183" s="983"/>
      <c r="E1183" s="983"/>
      <c r="F1183" s="983"/>
    </row>
    <row r="1184" spans="1:7" ht="14.45" customHeight="1">
      <c r="A1184" s="189"/>
      <c r="B1184" s="189"/>
      <c r="C1184" s="189"/>
      <c r="D1184" s="983"/>
      <c r="E1184" s="983"/>
      <c r="F1184" s="983"/>
    </row>
    <row r="1185" spans="1:6" ht="12.75" customHeight="1">
      <c r="A1185" s="189"/>
      <c r="B1185" s="189"/>
      <c r="C1185" s="189"/>
      <c r="D1185" s="104"/>
      <c r="E1185" s="104"/>
      <c r="F1185" s="104"/>
    </row>
    <row r="1186" spans="1:6" ht="12.75" customHeight="1">
      <c r="A1186" s="189"/>
      <c r="B1186" s="604" t="s">
        <v>48</v>
      </c>
      <c r="C1186" s="189"/>
      <c r="D1186" s="1006" t="s">
        <v>1552</v>
      </c>
      <c r="E1186" s="983"/>
      <c r="F1186" s="983"/>
    </row>
    <row r="1187" spans="1:6" ht="12.75" customHeight="1">
      <c r="A1187" s="189"/>
      <c r="B1187" s="189"/>
      <c r="C1187" s="189"/>
      <c r="D1187" s="983"/>
      <c r="E1187" s="983"/>
      <c r="F1187" s="983"/>
    </row>
    <row r="1188" spans="1:6" ht="12.75" customHeight="1">
      <c r="A1188" s="189"/>
      <c r="B1188" s="189"/>
      <c r="C1188" s="189"/>
      <c r="D1188" s="983"/>
      <c r="E1188" s="983"/>
      <c r="F1188" s="983"/>
    </row>
    <row r="1189" spans="1:6" ht="12.75" customHeight="1">
      <c r="A1189" s="189"/>
      <c r="B1189" s="189"/>
      <c r="C1189" s="189"/>
      <c r="D1189" s="983"/>
      <c r="E1189" s="983"/>
      <c r="F1189" s="983"/>
    </row>
    <row r="1190" spans="1:6" ht="12.75" customHeight="1">
      <c r="A1190" s="189"/>
      <c r="B1190" s="189"/>
      <c r="C1190" s="189"/>
      <c r="D1190" s="24"/>
      <c r="E1190" s="24"/>
      <c r="F1190" s="24"/>
    </row>
    <row r="1191" spans="1:6" ht="12.75" customHeight="1">
      <c r="A1191" s="189"/>
      <c r="B1191" s="604" t="s">
        <v>48</v>
      </c>
      <c r="C1191" s="189"/>
      <c r="D1191" s="981" t="s">
        <v>1553</v>
      </c>
      <c r="E1191" s="983"/>
      <c r="F1191" s="983"/>
    </row>
    <row r="1192" spans="1:6" ht="12.75" customHeight="1">
      <c r="A1192" s="189"/>
      <c r="B1192" s="189"/>
      <c r="C1192" s="189"/>
      <c r="D1192" s="983"/>
      <c r="E1192" s="983"/>
      <c r="F1192" s="983"/>
    </row>
    <row r="1193" spans="1:6" ht="12.75" customHeight="1">
      <c r="A1193" s="189"/>
      <c r="B1193" s="189"/>
      <c r="C1193" s="189"/>
      <c r="D1193" s="24"/>
      <c r="E1193" s="24"/>
      <c r="F1193" s="24"/>
    </row>
    <row r="1194" spans="1:6" ht="14.25" customHeight="1">
      <c r="A1194" s="269"/>
      <c r="B1194" s="604" t="s">
        <v>48</v>
      </c>
      <c r="D1194" s="1002" t="s">
        <v>1554</v>
      </c>
      <c r="E1194" s="983"/>
      <c r="F1194" s="983"/>
    </row>
    <row r="1195" spans="1:6" ht="12.75" customHeight="1"/>
    <row r="1196" spans="1:6" ht="14.25" customHeight="1">
      <c r="A1196" s="269"/>
      <c r="B1196" s="604" t="s">
        <v>48</v>
      </c>
      <c r="D1196" s="1002" t="s">
        <v>1555</v>
      </c>
      <c r="E1196" s="983"/>
      <c r="F1196" s="983"/>
    </row>
    <row r="1197" spans="1:6" ht="12.75" customHeight="1">
      <c r="D1197" s="44"/>
    </row>
    <row r="1198" spans="1:6" ht="14.25" customHeight="1">
      <c r="A1198" s="269"/>
      <c r="B1198" s="604" t="s">
        <v>48</v>
      </c>
      <c r="D1198" s="1002" t="s">
        <v>1556</v>
      </c>
      <c r="E1198" s="983"/>
      <c r="F1198" s="983"/>
    </row>
    <row r="1199" spans="1:6" ht="12.75" customHeight="1">
      <c r="D1199" s="44"/>
    </row>
    <row r="1200" spans="1:6" ht="14.25" customHeight="1">
      <c r="A1200" s="269"/>
      <c r="B1200" s="604" t="s">
        <v>48</v>
      </c>
      <c r="D1200" s="1006" t="s">
        <v>1557</v>
      </c>
      <c r="E1200" s="983"/>
      <c r="F1200" s="983"/>
    </row>
    <row r="1201" spans="1:7" ht="14.25" customHeight="1">
      <c r="A1201" s="269"/>
      <c r="B1201" s="269"/>
      <c r="D1201" s="983"/>
      <c r="E1201" s="983"/>
      <c r="F1201" s="983"/>
    </row>
    <row r="1202" spans="1:7" ht="14.25" customHeight="1">
      <c r="A1202" s="269"/>
      <c r="B1202" s="269"/>
      <c r="D1202" s="44"/>
    </row>
    <row r="1203" spans="1:7" s="445" customFormat="1" ht="14.25" customHeight="1">
      <c r="A1203" s="287"/>
      <c r="B1203" s="604" t="s">
        <v>48</v>
      </c>
      <c r="C1203" s="288"/>
      <c r="D1203" s="1024" t="s">
        <v>1558</v>
      </c>
      <c r="E1203" s="1017"/>
      <c r="F1203" s="1017"/>
      <c r="G1203" s="290"/>
    </row>
    <row r="1204" spans="1:7" s="445" customFormat="1" ht="12.75" customHeight="1">
      <c r="A1204" s="288"/>
      <c r="B1204" s="288"/>
      <c r="C1204" s="288"/>
      <c r="D1204" s="1017"/>
      <c r="E1204" s="1017"/>
      <c r="F1204" s="1017"/>
      <c r="G1204" s="290"/>
    </row>
    <row r="1205" spans="1:7" s="445" customFormat="1" ht="12.75" customHeight="1">
      <c r="A1205" s="288"/>
      <c r="B1205" s="288"/>
      <c r="C1205" s="288"/>
      <c r="D1205" s="289"/>
      <c r="E1205" s="290"/>
      <c r="F1205" s="290"/>
      <c r="G1205" s="290"/>
    </row>
    <row r="1206" spans="1:7" s="445" customFormat="1" ht="14.25" customHeight="1">
      <c r="A1206" s="287"/>
      <c r="B1206" s="604" t="s">
        <v>48</v>
      </c>
      <c r="C1206" s="288"/>
      <c r="D1206" s="1013" t="s">
        <v>1559</v>
      </c>
      <c r="E1206" s="1017"/>
      <c r="F1206" s="1017"/>
      <c r="G1206" s="290"/>
    </row>
    <row r="1207" spans="1:7" s="445" customFormat="1" ht="12.75" customHeight="1">
      <c r="A1207" s="288"/>
      <c r="B1207" s="288"/>
      <c r="C1207" s="288"/>
      <c r="D1207" s="289"/>
      <c r="E1207" s="290"/>
      <c r="F1207" s="290"/>
      <c r="G1207" s="290"/>
    </row>
    <row r="1208" spans="1:7" ht="14.25" customHeight="1">
      <c r="A1208" s="269"/>
      <c r="B1208" s="604" t="s">
        <v>48</v>
      </c>
      <c r="D1208" s="1002" t="s">
        <v>1560</v>
      </c>
      <c r="E1208" s="983"/>
      <c r="F1208" s="983"/>
    </row>
    <row r="1209" spans="1:7" ht="14.25" customHeight="1">
      <c r="A1209" s="269"/>
      <c r="B1209" s="269"/>
      <c r="D1209" s="44"/>
    </row>
    <row r="1210" spans="1:7" ht="14.25" customHeight="1">
      <c r="A1210" s="269"/>
      <c r="B1210" s="604" t="s">
        <v>48</v>
      </c>
      <c r="D1210" s="1006" t="s">
        <v>1561</v>
      </c>
      <c r="E1210" s="983"/>
      <c r="F1210" s="983"/>
    </row>
    <row r="1211" spans="1:7" ht="14.25" customHeight="1">
      <c r="A1211" s="269"/>
      <c r="B1211" s="269"/>
      <c r="D1211" s="983"/>
      <c r="E1211" s="983"/>
      <c r="F1211" s="983"/>
    </row>
    <row r="1212" spans="1:7" ht="12.75" customHeight="1"/>
    <row r="1213" spans="1:7" ht="12.75" customHeight="1">
      <c r="A1213" s="1001" t="s">
        <v>1562</v>
      </c>
      <c r="B1213" s="973"/>
      <c r="C1213" s="973"/>
      <c r="D1213" s="973"/>
      <c r="E1213" s="973"/>
      <c r="F1213" s="973"/>
      <c r="G1213" s="973"/>
    </row>
    <row r="1214" spans="1:7" ht="12.75" customHeight="1"/>
    <row r="1215" spans="1:7" ht="12.75" customHeight="1">
      <c r="A1215" s="1001" t="s">
        <v>1563</v>
      </c>
      <c r="B1215" s="973"/>
      <c r="C1215" s="973"/>
      <c r="D1215" s="973"/>
      <c r="E1215" s="973"/>
      <c r="F1215" s="973"/>
      <c r="G1215" s="973"/>
    </row>
    <row r="1216" spans="1:7" ht="12.75" customHeight="1"/>
    <row r="1217" spans="1:7" ht="12.75" customHeight="1">
      <c r="D1217" s="1004" t="s">
        <v>1564</v>
      </c>
      <c r="E1217" s="983"/>
      <c r="F1217" s="983"/>
    </row>
    <row r="1218" spans="1:7" ht="12.75" customHeight="1">
      <c r="D1218" s="1007" t="s">
        <v>1565</v>
      </c>
      <c r="E1218" s="983"/>
      <c r="F1218" s="983"/>
    </row>
    <row r="1219" spans="1:7" ht="12.75" customHeight="1">
      <c r="A1219" s="188"/>
      <c r="B1219" s="188"/>
      <c r="C1219" s="188"/>
    </row>
    <row r="1220" spans="1:7" ht="14.25" customHeight="1">
      <c r="A1220" s="269"/>
      <c r="B1220" s="269"/>
      <c r="C1220" s="189"/>
      <c r="D1220" s="1004" t="s">
        <v>1566</v>
      </c>
      <c r="E1220" s="983"/>
      <c r="F1220" s="983"/>
    </row>
    <row r="1221" spans="1:7" ht="12.75" customHeight="1">
      <c r="B1221" s="604" t="s">
        <v>48</v>
      </c>
      <c r="D1221" s="1013" t="s">
        <v>1567</v>
      </c>
      <c r="E1221" s="983"/>
      <c r="F1221" s="983"/>
    </row>
    <row r="1222" spans="1:7" ht="12.75" customHeight="1">
      <c r="D1222" s="1007" t="s">
        <v>1568</v>
      </c>
      <c r="E1222" s="983"/>
      <c r="F1222" s="983"/>
    </row>
    <row r="1223" spans="1:7" ht="12.75" customHeight="1"/>
    <row r="1224" spans="1:7" ht="12.75" customHeight="1">
      <c r="A1224" s="1001" t="s">
        <v>1569</v>
      </c>
      <c r="B1224" s="973"/>
      <c r="C1224" s="973"/>
      <c r="D1224" s="973"/>
      <c r="E1224" s="973"/>
      <c r="F1224" s="973"/>
      <c r="G1224" s="973"/>
    </row>
    <row r="1225" spans="1:7" ht="12.75" customHeight="1">
      <c r="A1225" s="44"/>
      <c r="B1225" s="44"/>
    </row>
    <row r="1226" spans="1:7" ht="12.75" customHeight="1">
      <c r="A1226" s="44"/>
      <c r="B1226" s="44"/>
      <c r="D1226" s="1008" t="s">
        <v>1570</v>
      </c>
      <c r="E1226" s="983"/>
      <c r="F1226" s="983"/>
    </row>
    <row r="1227" spans="1:7" ht="12.75" customHeight="1">
      <c r="A1227" s="44"/>
      <c r="B1227" s="44"/>
      <c r="D1227" s="1002" t="s">
        <v>1571</v>
      </c>
      <c r="E1227" s="983"/>
      <c r="F1227" s="983"/>
    </row>
    <row r="1228" spans="1:7" ht="12.75" customHeight="1">
      <c r="A1228" s="44"/>
      <c r="B1228" s="44"/>
    </row>
    <row r="1229" spans="1:7" ht="14.25" customHeight="1">
      <c r="A1229" s="269"/>
      <c r="B1229" s="604" t="s">
        <v>48</v>
      </c>
      <c r="D1229" s="999" t="s">
        <v>1572</v>
      </c>
      <c r="E1229" s="983"/>
      <c r="F1229" s="983"/>
    </row>
    <row r="1230" spans="1:7" ht="12.75" customHeight="1">
      <c r="D1230" s="1002" t="s">
        <v>1308</v>
      </c>
      <c r="E1230" s="983"/>
      <c r="F1230" s="983"/>
    </row>
    <row r="1231" spans="1:7" ht="12.75" customHeight="1">
      <c r="E1231" s="1010" t="s">
        <v>1573</v>
      </c>
      <c r="F1231" s="983"/>
    </row>
    <row r="1232" spans="1:7" ht="12.75" customHeight="1">
      <c r="D1232" s="3"/>
    </row>
    <row r="1233" spans="1:6" ht="12.75" customHeight="1">
      <c r="D1233" s="1042" t="s">
        <v>1574</v>
      </c>
      <c r="E1233" s="983"/>
      <c r="F1233" s="983"/>
    </row>
    <row r="1234" spans="1:6" ht="12.75" customHeight="1">
      <c r="B1234" s="604" t="s">
        <v>48</v>
      </c>
      <c r="D1234" s="981" t="s">
        <v>1575</v>
      </c>
      <c r="E1234" s="983"/>
      <c r="F1234" s="983"/>
    </row>
    <row r="1235" spans="1:6" ht="12.75" customHeight="1">
      <c r="D1235" s="983"/>
      <c r="E1235" s="983"/>
      <c r="F1235" s="983"/>
    </row>
    <row r="1236" spans="1:6" ht="12.75" customHeight="1">
      <c r="D1236" s="181" t="s">
        <v>1576</v>
      </c>
    </row>
    <row r="1237" spans="1:6" ht="13.7" customHeight="1">
      <c r="D1237" s="981" t="s">
        <v>1577</v>
      </c>
      <c r="E1237" s="983"/>
      <c r="F1237" s="983"/>
    </row>
    <row r="1238" spans="1:6" ht="12.75" customHeight="1">
      <c r="D1238" s="983"/>
      <c r="E1238" s="983"/>
      <c r="F1238" s="983"/>
    </row>
    <row r="1239" spans="1:6" ht="12.75" customHeight="1">
      <c r="D1239" s="983"/>
      <c r="E1239" s="983"/>
      <c r="F1239" s="983"/>
    </row>
    <row r="1240" spans="1:6" ht="12.75" customHeight="1">
      <c r="D1240" s="983"/>
      <c r="E1240" s="983"/>
      <c r="F1240" s="983"/>
    </row>
    <row r="1241" spans="1:6" ht="12.75" customHeight="1">
      <c r="D1241" s="1010" t="s">
        <v>1578</v>
      </c>
      <c r="E1241" s="983"/>
      <c r="F1241" s="983"/>
    </row>
    <row r="1242" spans="1:6" ht="12.75" customHeight="1">
      <c r="B1242" s="604" t="s">
        <v>48</v>
      </c>
      <c r="D1242" s="999" t="s">
        <v>1579</v>
      </c>
      <c r="E1242" s="983"/>
      <c r="F1242" s="983"/>
    </row>
    <row r="1243" spans="1:6" ht="12.75" customHeight="1"/>
    <row r="1244" spans="1:6" ht="12.75" customHeight="1">
      <c r="D1244" s="1011" t="s">
        <v>1580</v>
      </c>
      <c r="E1244" s="983"/>
      <c r="F1244" s="983"/>
    </row>
    <row r="1245" spans="1:6" ht="12.75" customHeight="1">
      <c r="D1245" s="3" t="s">
        <v>1581</v>
      </c>
    </row>
    <row r="1246" spans="1:6" ht="14.45" customHeight="1">
      <c r="A1246" s="269"/>
      <c r="B1246" s="604" t="s">
        <v>48</v>
      </c>
      <c r="D1246" s="1006" t="s">
        <v>1582</v>
      </c>
      <c r="E1246" s="983"/>
      <c r="F1246" s="983"/>
    </row>
    <row r="1247" spans="1:6" ht="14.25" customHeight="1">
      <c r="A1247" s="269"/>
      <c r="B1247" s="269"/>
      <c r="D1247" s="983"/>
      <c r="E1247" s="983"/>
      <c r="F1247" s="983"/>
    </row>
    <row r="1248" spans="1:6" ht="14.25" customHeight="1">
      <c r="A1248" s="269"/>
      <c r="B1248" s="269"/>
      <c r="D1248" s="983"/>
      <c r="E1248" s="983"/>
      <c r="F1248" s="983"/>
    </row>
    <row r="1249" spans="1:7" ht="14.25" customHeight="1">
      <c r="A1249" s="269"/>
      <c r="B1249" s="269"/>
    </row>
    <row r="1250" spans="1:7" ht="14.25" customHeight="1">
      <c r="A1250" s="269"/>
      <c r="B1250" s="269"/>
      <c r="D1250" s="416" t="s">
        <v>1583</v>
      </c>
      <c r="E1250" s="416"/>
      <c r="F1250" s="416"/>
    </row>
    <row r="1251" spans="1:7" ht="14.25" customHeight="1">
      <c r="A1251" s="269"/>
      <c r="B1251" s="604" t="s">
        <v>48</v>
      </c>
      <c r="D1251" s="1006" t="s">
        <v>1584</v>
      </c>
      <c r="E1251" s="983"/>
      <c r="F1251" s="983"/>
    </row>
    <row r="1252" spans="1:7" ht="14.25" customHeight="1">
      <c r="A1252" s="269"/>
      <c r="B1252" s="269"/>
      <c r="D1252" s="983"/>
      <c r="E1252" s="983"/>
      <c r="F1252" s="983"/>
    </row>
    <row r="1253" spans="1:7" ht="14.25" customHeight="1">
      <c r="A1253" s="269"/>
      <c r="B1253" s="269"/>
      <c r="D1253" s="983"/>
      <c r="E1253" s="983"/>
      <c r="F1253" s="983"/>
    </row>
    <row r="1254" spans="1:7" ht="14.25" customHeight="1">
      <c r="A1254" s="269"/>
      <c r="B1254" s="269"/>
      <c r="D1254" s="983"/>
      <c r="E1254" s="983"/>
      <c r="F1254" s="983"/>
    </row>
    <row r="1255" spans="1:7" ht="14.25" customHeight="1">
      <c r="A1255" s="269"/>
      <c r="B1255" s="269"/>
      <c r="D1255" s="983"/>
      <c r="E1255" s="983"/>
      <c r="F1255" s="983"/>
    </row>
    <row r="1256" spans="1:7" ht="12.75" customHeight="1">
      <c r="A1256" s="44"/>
      <c r="B1256" s="44"/>
    </row>
    <row r="1257" spans="1:7" ht="12.75" customHeight="1">
      <c r="A1257" s="1001" t="s">
        <v>1585</v>
      </c>
      <c r="B1257" s="973"/>
      <c r="C1257" s="973"/>
      <c r="D1257" s="973"/>
      <c r="E1257" s="973"/>
      <c r="F1257" s="973"/>
      <c r="G1257" s="973"/>
    </row>
    <row r="1258" spans="1:7" ht="12.75" customHeight="1">
      <c r="A1258" s="44"/>
      <c r="B1258" s="44"/>
    </row>
    <row r="1259" spans="1:7" ht="12.75" customHeight="1">
      <c r="A1259" s="44"/>
      <c r="B1259" s="44"/>
      <c r="D1259" s="1003" t="s">
        <v>1586</v>
      </c>
      <c r="E1259" s="983"/>
      <c r="F1259" s="983"/>
    </row>
    <row r="1260" spans="1:7" ht="12.75" customHeight="1">
      <c r="A1260" s="266"/>
      <c r="B1260" s="266"/>
      <c r="C1260" s="266"/>
      <c r="D1260" s="999" t="s">
        <v>1587</v>
      </c>
      <c r="E1260" s="983"/>
      <c r="F1260" s="983"/>
      <c r="G1260" s="267"/>
    </row>
    <row r="1261" spans="1:7" ht="10.5" customHeight="1"/>
    <row r="1262" spans="1:7" ht="14.25" customHeight="1">
      <c r="A1262" s="269"/>
      <c r="B1262" s="604" t="s">
        <v>48</v>
      </c>
      <c r="D1262" s="999" t="s">
        <v>1588</v>
      </c>
      <c r="E1262" s="983"/>
      <c r="F1262" s="983"/>
    </row>
    <row r="1263" spans="1:7" ht="12.75" customHeight="1">
      <c r="E1263" s="1010" t="s">
        <v>1589</v>
      </c>
      <c r="F1263" s="983"/>
    </row>
    <row r="1264" spans="1:7" ht="12.75" customHeight="1">
      <c r="D1264" s="102"/>
      <c r="E1264" s="102"/>
      <c r="F1264" s="102"/>
    </row>
    <row r="1265" ht="13.7" customHeight="1"/>
    <row r="1266" ht="13.7" customHeight="1"/>
    <row r="1267" ht="13.7" customHeight="1"/>
    <row r="1268" ht="13.7" customHeight="1"/>
    <row r="1269" ht="13.7" customHeight="1"/>
    <row r="1270" ht="13.7" customHeight="1"/>
    <row r="1271" ht="13.7" customHeight="1"/>
    <row r="1272" ht="13.7" customHeight="1"/>
    <row r="1273" ht="13.7" customHeight="1"/>
    <row r="1274" ht="13.7" customHeight="1"/>
    <row r="1275" ht="13.7" customHeight="1"/>
    <row r="1276" ht="13.7" customHeight="1"/>
    <row r="1277" ht="13.7" customHeight="1"/>
    <row r="1278" ht="13.7" customHeight="1"/>
    <row r="1279" ht="13.7" customHeight="1"/>
    <row r="1280"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14:F121"/>
    <mergeCell ref="D879:F880"/>
    <mergeCell ref="D676:F677"/>
    <mergeCell ref="D899:F899"/>
    <mergeCell ref="D770:F770"/>
    <mergeCell ref="D862:F862"/>
    <mergeCell ref="D488:F502"/>
    <mergeCell ref="D865:F873"/>
    <mergeCell ref="D438:F441"/>
    <mergeCell ref="D683:F683"/>
    <mergeCell ref="D149:F163"/>
    <mergeCell ref="D684:F684"/>
    <mergeCell ref="D513:F513"/>
    <mergeCell ref="D854:F855"/>
    <mergeCell ref="D549:F549"/>
    <mergeCell ref="D269:F269"/>
    <mergeCell ref="D707:F707"/>
    <mergeCell ref="D303:F304"/>
    <mergeCell ref="D206:F206"/>
    <mergeCell ref="D503:F507"/>
    <mergeCell ref="D570:F571"/>
    <mergeCell ref="D253:F253"/>
    <mergeCell ref="A1213:G1213"/>
    <mergeCell ref="D1096:F1098"/>
    <mergeCell ref="D564:F565"/>
    <mergeCell ref="D971:F972"/>
    <mergeCell ref="D276:F276"/>
    <mergeCell ref="D509:F509"/>
    <mergeCell ref="D945:F953"/>
    <mergeCell ref="D1102:F1104"/>
    <mergeCell ref="D716:F716"/>
    <mergeCell ref="D1014:F1014"/>
    <mergeCell ref="D881:F886"/>
    <mergeCell ref="D341:F341"/>
    <mergeCell ref="A1173:G1173"/>
    <mergeCell ref="E903:F903"/>
    <mergeCell ref="A681:G681"/>
    <mergeCell ref="D1208:F1208"/>
    <mergeCell ref="D1106:F1108"/>
    <mergeCell ref="D1194:F1194"/>
    <mergeCell ref="D999:F1000"/>
    <mergeCell ref="A701:G701"/>
    <mergeCell ref="D918:F918"/>
    <mergeCell ref="D580:F581"/>
    <mergeCell ref="D955:F961"/>
    <mergeCell ref="D777:F782"/>
    <mergeCell ref="D80:F82"/>
    <mergeCell ref="A181:G181"/>
    <mergeCell ref="D288:F292"/>
    <mergeCell ref="D259:F259"/>
    <mergeCell ref="D1044:F1046"/>
    <mergeCell ref="D201:F201"/>
    <mergeCell ref="D209:F226"/>
    <mergeCell ref="D1060:F1062"/>
    <mergeCell ref="D559:F559"/>
    <mergeCell ref="D188:F188"/>
    <mergeCell ref="D524:F524"/>
    <mergeCell ref="D963:F966"/>
    <mergeCell ref="D1052:F1054"/>
    <mergeCell ref="D651:F651"/>
    <mergeCell ref="D233:F236"/>
    <mergeCell ref="D859:F859"/>
    <mergeCell ref="D666:F667"/>
    <mergeCell ref="D533:F536"/>
    <mergeCell ref="D264:F267"/>
    <mergeCell ref="D229:F229"/>
    <mergeCell ref="D442:F442"/>
    <mergeCell ref="A557:G557"/>
    <mergeCell ref="D190:F190"/>
    <mergeCell ref="D905:F906"/>
    <mergeCell ref="D25:F26"/>
    <mergeCell ref="A4:G4"/>
    <mergeCell ref="D381:F381"/>
    <mergeCell ref="D514:F514"/>
    <mergeCell ref="D1203:F1204"/>
    <mergeCell ref="D679:F679"/>
    <mergeCell ref="D308:F308"/>
    <mergeCell ref="D1244:F1244"/>
    <mergeCell ref="D606:F606"/>
    <mergeCell ref="D813:F815"/>
    <mergeCell ref="D274:F274"/>
    <mergeCell ref="D1010:F1010"/>
    <mergeCell ref="D1068:F1078"/>
    <mergeCell ref="D177:F179"/>
    <mergeCell ref="D583:F583"/>
    <mergeCell ref="D640:F643"/>
    <mergeCell ref="D1012:F1012"/>
    <mergeCell ref="E919:F919"/>
    <mergeCell ref="A800:G800"/>
    <mergeCell ref="D277:F280"/>
    <mergeCell ref="D195:F198"/>
    <mergeCell ref="D803:F803"/>
    <mergeCell ref="D908:F909"/>
    <mergeCell ref="D892:F895"/>
    <mergeCell ref="D1259:F1259"/>
    <mergeCell ref="D596:F596"/>
    <mergeCell ref="D586:F594"/>
    <mergeCell ref="D1196:F1196"/>
    <mergeCell ref="E240:F240"/>
    <mergeCell ref="D28:F32"/>
    <mergeCell ref="D89:F89"/>
    <mergeCell ref="D101:F113"/>
    <mergeCell ref="D1251:F1255"/>
    <mergeCell ref="D937:F943"/>
    <mergeCell ref="D1149:F1149"/>
    <mergeCell ref="D90:F90"/>
    <mergeCell ref="D261:F261"/>
    <mergeCell ref="D712:F714"/>
    <mergeCell ref="D519:F522"/>
    <mergeCell ref="D611:F611"/>
    <mergeCell ref="D1176:F1176"/>
    <mergeCell ref="D686:F691"/>
    <mergeCell ref="D833:F837"/>
    <mergeCell ref="D1030:F1032"/>
    <mergeCell ref="D809:F811"/>
    <mergeCell ref="D989:F993"/>
    <mergeCell ref="D1234:F1235"/>
    <mergeCell ref="D796:F798"/>
    <mergeCell ref="D14:F14"/>
    <mergeCell ref="D207:F207"/>
    <mergeCell ref="D256:F256"/>
    <mergeCell ref="D826:F831"/>
    <mergeCell ref="D299:F299"/>
    <mergeCell ref="A87:G87"/>
    <mergeCell ref="D1262:F1262"/>
    <mergeCell ref="D1028:F1028"/>
    <mergeCell ref="D693:F693"/>
    <mergeCell ref="D1153:F1154"/>
    <mergeCell ref="D694:F698"/>
    <mergeCell ref="D325:F325"/>
    <mergeCell ref="D1151:F1151"/>
    <mergeCell ref="A926:G926"/>
    <mergeCell ref="D917:F917"/>
    <mergeCell ref="D1233:F1233"/>
    <mergeCell ref="D717:F717"/>
    <mergeCell ref="E230:F230"/>
    <mergeCell ref="D618:F621"/>
    <mergeCell ref="D1040:F1042"/>
    <mergeCell ref="D1034:F1036"/>
    <mergeCell ref="D648:F648"/>
    <mergeCell ref="D1016:F1020"/>
    <mergeCell ref="D476:F476"/>
    <mergeCell ref="A10:G10"/>
    <mergeCell ref="D444:F474"/>
    <mergeCell ref="D612:F612"/>
    <mergeCell ref="D1217:F1217"/>
    <mergeCell ref="D122:F128"/>
    <mergeCell ref="D481:F483"/>
    <mergeCell ref="D251:F251"/>
    <mergeCell ref="D746:F748"/>
    <mergeCell ref="D343:F343"/>
    <mergeCell ref="A547:G547"/>
    <mergeCell ref="D345:F345"/>
    <mergeCell ref="D774:F774"/>
    <mergeCell ref="D1129:F1135"/>
    <mergeCell ref="D1143:F1144"/>
    <mergeCell ref="D699:F699"/>
    <mergeCell ref="A772:G772"/>
    <mergeCell ref="D328:F329"/>
    <mergeCell ref="D254:F254"/>
    <mergeCell ref="D775:F775"/>
    <mergeCell ref="D1178:F1179"/>
    <mergeCell ref="D1116:F1117"/>
    <mergeCell ref="D652:F652"/>
    <mergeCell ref="D839:F842"/>
    <mergeCell ref="D888:F888"/>
    <mergeCell ref="A5:G5"/>
    <mergeCell ref="D340:F340"/>
    <mergeCell ref="D1141:F1141"/>
    <mergeCell ref="E1231:F1231"/>
    <mergeCell ref="D597:F599"/>
    <mergeCell ref="D429:F430"/>
    <mergeCell ref="D727:F728"/>
    <mergeCell ref="D805:F807"/>
    <mergeCell ref="D164:F164"/>
    <mergeCell ref="D633:F633"/>
    <mergeCell ref="D560:F560"/>
    <mergeCell ref="D1182:F1184"/>
    <mergeCell ref="D294:F296"/>
    <mergeCell ref="D241:F241"/>
    <mergeCell ref="D228:F228"/>
    <mergeCell ref="D396:F399"/>
    <mergeCell ref="D73:F75"/>
    <mergeCell ref="D1092:F1094"/>
    <mergeCell ref="D562:F562"/>
    <mergeCell ref="D860:F860"/>
    <mergeCell ref="D793:F794"/>
    <mergeCell ref="D243:F243"/>
    <mergeCell ref="E191:F193"/>
    <mergeCell ref="D1218:F1218"/>
    <mergeCell ref="D1241:F1241"/>
    <mergeCell ref="A609:G609"/>
    <mergeCell ref="D172:F175"/>
    <mergeCell ref="D273:F273"/>
    <mergeCell ref="E718:F718"/>
    <mergeCell ref="D1137:F1139"/>
    <mergeCell ref="D636:F637"/>
    <mergeCell ref="D1198:F1198"/>
    <mergeCell ref="D673:F674"/>
    <mergeCell ref="D551:F552"/>
    <mergeCell ref="D326:F326"/>
    <mergeCell ref="D720:F726"/>
    <mergeCell ref="D526:F527"/>
    <mergeCell ref="D1237:F1240"/>
    <mergeCell ref="D704:F704"/>
    <mergeCell ref="D1080:F1080"/>
    <mergeCell ref="D1200:F1201"/>
    <mergeCell ref="D1210:F1211"/>
    <mergeCell ref="A1224:G1224"/>
    <mergeCell ref="D1230:F1230"/>
    <mergeCell ref="D300:F300"/>
    <mergeCell ref="D183:F183"/>
    <mergeCell ref="A857:G857"/>
    <mergeCell ref="D730:F742"/>
    <mergeCell ref="D21:F22"/>
    <mergeCell ref="D910:F915"/>
    <mergeCell ref="D1022:F1026"/>
    <mergeCell ref="D315:F317"/>
    <mergeCell ref="D363:F371"/>
    <mergeCell ref="D1175:F1175"/>
    <mergeCell ref="D1048:F1050"/>
    <mergeCell ref="D889:F889"/>
    <mergeCell ref="D199:F199"/>
    <mergeCell ref="D516:F517"/>
    <mergeCell ref="D186:F186"/>
    <mergeCell ref="D246:F250"/>
    <mergeCell ref="D976:F981"/>
    <mergeCell ref="D649:F649"/>
    <mergeCell ref="D322:F323"/>
    <mergeCell ref="D614:F616"/>
    <mergeCell ref="D1056:F1058"/>
    <mergeCell ref="A203:G203"/>
    <mergeCell ref="D331:F333"/>
    <mergeCell ref="D851:F852"/>
    <mergeCell ref="D77:F78"/>
    <mergeCell ref="D130:F134"/>
    <mergeCell ref="A306:G306"/>
    <mergeCell ref="D310:F310"/>
    <mergeCell ref="D1242:F1242"/>
    <mergeCell ref="D601:F604"/>
    <mergeCell ref="D902:F902"/>
    <mergeCell ref="D383:F383"/>
    <mergeCell ref="A1215:G1215"/>
    <mergeCell ref="D1005:F1008"/>
    <mergeCell ref="D1100:F1100"/>
    <mergeCell ref="D669:F671"/>
    <mergeCell ref="D12:F13"/>
    <mergeCell ref="D708:F708"/>
    <mergeCell ref="D1146:F1147"/>
    <mergeCell ref="D1186:F1189"/>
    <mergeCell ref="D166:F170"/>
    <mergeCell ref="D538:F539"/>
    <mergeCell ref="E245:F245"/>
    <mergeCell ref="D1111:F1111"/>
    <mergeCell ref="D1158:F1171"/>
    <mergeCell ref="D567:F568"/>
    <mergeCell ref="D1119:F1119"/>
    <mergeCell ref="D92:F100"/>
    <mergeCell ref="D664:F664"/>
    <mergeCell ref="E255:F255"/>
    <mergeCell ref="D335:F336"/>
    <mergeCell ref="D900:F900"/>
    <mergeCell ref="D68:F70"/>
    <mergeCell ref="D626:F627"/>
    <mergeCell ref="D928:F928"/>
    <mergeCell ref="D1260:F1260"/>
    <mergeCell ref="D347:F361"/>
    <mergeCell ref="A7:G8"/>
    <mergeCell ref="D573:F575"/>
    <mergeCell ref="D822:F824"/>
    <mergeCell ref="D1064:F1066"/>
    <mergeCell ref="A338:G338"/>
    <mergeCell ref="D763:F769"/>
    <mergeCell ref="D995:F997"/>
    <mergeCell ref="A511:G511"/>
    <mergeCell ref="D231:F231"/>
    <mergeCell ref="D529:F529"/>
    <mergeCell ref="D485:F486"/>
    <mergeCell ref="D1110:F1110"/>
    <mergeCell ref="D784:F787"/>
    <mergeCell ref="D1082:F1085"/>
    <mergeCell ref="D136:F147"/>
    <mergeCell ref="D543:F545"/>
    <mergeCell ref="D817:F821"/>
    <mergeCell ref="D754:F756"/>
    <mergeCell ref="A662:G662"/>
    <mergeCell ref="D37:F44"/>
    <mergeCell ref="D282:F286"/>
    <mergeCell ref="D380:F380"/>
    <mergeCell ref="D1206:F1206"/>
    <mergeCell ref="D875:F877"/>
    <mergeCell ref="D34:F35"/>
    <mergeCell ref="D16:F18"/>
    <mergeCell ref="D705:F705"/>
    <mergeCell ref="D577:F578"/>
    <mergeCell ref="D59:F63"/>
    <mergeCell ref="D239:F239"/>
    <mergeCell ref="D184:F184"/>
    <mergeCell ref="D401:F409"/>
    <mergeCell ref="D974:F974"/>
    <mergeCell ref="D931:F935"/>
    <mergeCell ref="D921:F924"/>
    <mergeCell ref="D657:F658"/>
    <mergeCell ref="D1038:F1038"/>
    <mergeCell ref="D311:F313"/>
    <mergeCell ref="D52:F57"/>
    <mergeCell ref="D844:F849"/>
    <mergeCell ref="A271:G271"/>
    <mergeCell ref="D84:F85"/>
    <mergeCell ref="D584:F584"/>
    <mergeCell ref="E1263:F1263"/>
    <mergeCell ref="E260:F260"/>
    <mergeCell ref="D634:F634"/>
    <mergeCell ref="D554:F555"/>
    <mergeCell ref="A531:G531"/>
    <mergeCell ref="D983:F987"/>
    <mergeCell ref="D1221:F1221"/>
    <mergeCell ref="D929:F929"/>
    <mergeCell ref="D654:F655"/>
    <mergeCell ref="A631:G631"/>
    <mergeCell ref="D629:F629"/>
    <mergeCell ref="D410:F427"/>
    <mergeCell ref="E863:F863"/>
    <mergeCell ref="D1121:F1127"/>
    <mergeCell ref="D623:F624"/>
    <mergeCell ref="D1229:F1229"/>
    <mergeCell ref="D1156:F1156"/>
    <mergeCell ref="D750:F752"/>
    <mergeCell ref="D743:F744"/>
    <mergeCell ref="D1226:F1226"/>
    <mergeCell ref="D1087:F1090"/>
    <mergeCell ref="D1113:F1114"/>
    <mergeCell ref="A1257:G1257"/>
    <mergeCell ref="D1246:F1248"/>
    <mergeCell ref="A2:G2"/>
    <mergeCell ref="D802:F802"/>
    <mergeCell ref="E890:F890"/>
    <mergeCell ref="D660:F660"/>
    <mergeCell ref="D432:F437"/>
    <mergeCell ref="D238:F238"/>
    <mergeCell ref="A646:G646"/>
    <mergeCell ref="D1227:F1227"/>
    <mergeCell ref="D205:F205"/>
    <mergeCell ref="A320:G320"/>
    <mergeCell ref="D1220:F1220"/>
    <mergeCell ref="D789:F791"/>
    <mergeCell ref="D758:F761"/>
    <mergeCell ref="D64:F66"/>
    <mergeCell ref="D968:F969"/>
    <mergeCell ref="D1222:F1222"/>
    <mergeCell ref="D703:F703"/>
    <mergeCell ref="D1191:F1192"/>
    <mergeCell ref="D385:F394"/>
    <mergeCell ref="D258:F258"/>
    <mergeCell ref="D373:F377"/>
    <mergeCell ref="D478:F479"/>
    <mergeCell ref="D46:F50"/>
    <mergeCell ref="D1002:F1003"/>
  </mergeCells>
  <dataValidations count="2">
    <dataValidation type="list" allowBlank="1" showInputMessage="1" showErrorMessage="1" sqref="B16 B21 B25 B28 B34 B37 B46 B52 B59 B64 B68 B73 B77 B80 B84 B92 B101 B114 B122 B130 B136 B149 B166 B172 B177 B186 B188 B190 B195 B201 B228 B233 B238 B243 B253 B258 B263 B269 B277 B282 B294 B299 B303 B311 B315 B328 B331 B335 B343 B345 B347 B363 B373 B383 B385 B396 B429 B432 B438 B444 B476 B481 B485 B488 B492 B495 B499 B501 B503 B509 B516 B519 B524 B526 B529 B533 B538 B541 B551 B554 B562 B564 B567 B570 B573 B577 B580 B583 B596 B601 B606 B614 B618 B623 B626 B629 B636 B640 B652 B654 B657 B660 B666 B673 B676 B679 B686 B693 B707 B712 B716 B720 B727 B730 B750 B754 B758 B763 B777 B784 B789 B793 B796 B805 B809 B813 B817 B826 B833 B839 B844 B851 B854 B862 B865 B875 B879 B888 B892 B902 B905 B908 B917 B921 B931 B937 B945 B955 B963 B971 B976 B983 B989 B995 B999 B1002 B1005 B1010 B1012 B1016 B1022 B1030 B1034 B1040 B1044 B1048 B1052 B1056 B1060 B1064 B1068 B1082 B1087 B1092 B1096 B1102 B1106 B1113 B1116 B1121 B1129 B1137 B1143 B1146 B1151 B1153 B1158 B1178 B1186 B1191 B1194 B1196 B1198 B1200 B1203 B1206 B1208 B1210 B1221 B1229 B1234 B1242 B1246 B1251 B1262" xr:uid="{00000000-0002-0000-0200-000000000000}">
      <formula1>$I$2:$I$5</formula1>
    </dataValidation>
    <dataValidation type="list" allowBlank="1" showInputMessage="1" showErrorMessage="1" sqref="B743 B746" xr:uid="{00000000-0002-0000-0200-000001000000}">
      <formula1>$I$3:$I$6</formula1>
    </dataValidation>
  </dataValidations>
  <hyperlinks>
    <hyperlink ref="D164" r:id="rId1" xr:uid="{00000000-0004-0000-0200-000000000000}"/>
    <hyperlink ref="D199" r:id="rId2" xr:uid="{00000000-0004-0000-0200-000001000000}"/>
    <hyperlink ref="D442" r:id="rId3" xr:uid="{00000000-0004-0000-0200-000002000000}"/>
    <hyperlink ref="D699" r:id="rId4" xr:uid="{00000000-0004-0000-0200-000003000000}"/>
    <hyperlink ref="D770" r:id="rId5" xr:uid="{00000000-0004-0000-0200-000004000000}"/>
    <hyperlink ref="D1236" r:id="rId6" xr:uid="{00000000-0004-0000-0200-000005000000}"/>
  </hyperlinks>
  <printOptions horizontalCentered="1"/>
  <pageMargins left="0.7" right="0.5" top="1" bottom="1" header="0.5" footer="0.5"/>
  <pageSetup scale="97" fitToHeight="0" orientation="portrait"/>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788" workbookViewId="0">
      <selection activeCell="AP821" sqref="AP82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J1" s="181"/>
      <c r="AS1" s="9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55" customFormat="1" ht="18.75" customHeight="1">
      <c r="A9" s="1153" t="s">
        <v>0</v>
      </c>
      <c r="B9" s="1154"/>
      <c r="C9" s="1154"/>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row>
    <row r="10" spans="1:46" s="654" customFormat="1" ht="12.95" customHeight="1">
      <c r="A10" s="1214" t="s">
        <v>1</v>
      </c>
      <c r="B10" s="1215"/>
      <c r="C10" s="1215"/>
      <c r="D10" s="1215"/>
      <c r="E10" s="1215"/>
      <c r="F10" s="1215"/>
      <c r="G10" s="1215"/>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row>
    <row r="11" spans="1:46" s="41" customFormat="1" ht="12.95" customHeight="1">
      <c r="A11" s="1155" t="s">
        <v>2</v>
      </c>
      <c r="B11" s="1156"/>
      <c r="C11" s="1156"/>
      <c r="D11" s="1156"/>
      <c r="E11" s="1156"/>
      <c r="F11" s="1156"/>
      <c r="G11" s="1156"/>
      <c r="H11" s="1156"/>
      <c r="I11" s="1156"/>
      <c r="J11" s="1156"/>
      <c r="K11" s="1156"/>
      <c r="L11" s="1156"/>
      <c r="M11" s="1156"/>
      <c r="N11" s="1156"/>
      <c r="O11" s="1156"/>
      <c r="P11" s="1156"/>
      <c r="Q11" s="1156"/>
      <c r="R11" s="1156"/>
      <c r="S11" s="1156"/>
      <c r="T11" s="1156"/>
      <c r="U11" s="1156"/>
      <c r="V11" s="1156"/>
      <c r="W11" s="1156"/>
      <c r="X11" s="1156"/>
      <c r="Y11" s="1156"/>
      <c r="Z11" s="1156"/>
      <c r="AA11" s="1156"/>
      <c r="AB11" s="1156"/>
      <c r="AC11" s="1156"/>
      <c r="AD11" s="1156"/>
      <c r="AE11" s="1156"/>
      <c r="AF11" s="1156"/>
      <c r="AG11" s="1156"/>
      <c r="AH11" s="1156"/>
      <c r="AI11" s="1156"/>
      <c r="AJ11" s="1156"/>
      <c r="AK11" s="1156"/>
      <c r="AL11" s="1156"/>
      <c r="AM11" s="1156"/>
      <c r="AN11" s="1156"/>
      <c r="AO11" s="1156"/>
      <c r="AP11" s="1156"/>
      <c r="AQ11" s="1156"/>
      <c r="AR11" s="1156"/>
      <c r="AS11" s="1156"/>
      <c r="AT11" s="1156"/>
    </row>
    <row r="12" spans="1:46" ht="12.95" customHeight="1">
      <c r="A12" s="1245" t="s">
        <v>3</v>
      </c>
      <c r="B12" s="976"/>
      <c r="C12" s="111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111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4</v>
      </c>
      <c r="C15" s="5"/>
      <c r="D15" s="5"/>
      <c r="E15" s="5"/>
      <c r="F15" s="5"/>
      <c r="G15" s="5"/>
      <c r="H15" s="1199" t="s">
        <v>5</v>
      </c>
      <c r="I15" s="1060"/>
      <c r="J15" s="1060"/>
      <c r="K15" s="1060"/>
      <c r="L15" s="1060"/>
      <c r="M15" s="1060"/>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row>
    <row r="16" spans="1:46" ht="12.95" customHeight="1"/>
    <row r="17" spans="1:46" ht="12.95" customHeight="1">
      <c r="A17" s="63" t="s">
        <v>6</v>
      </c>
      <c r="C17" s="5"/>
      <c r="D17" s="5"/>
      <c r="E17" s="5"/>
      <c r="F17" s="5"/>
      <c r="G17" s="5"/>
      <c r="H17" s="1117" t="s">
        <v>2411</v>
      </c>
      <c r="I17" s="1060"/>
      <c r="J17" s="1060"/>
      <c r="K17" s="1060"/>
      <c r="L17" s="1060"/>
      <c r="M17" s="1060"/>
      <c r="N17" s="1060"/>
      <c r="O17" s="1060"/>
      <c r="P17" s="1060"/>
      <c r="Q17" s="1060"/>
      <c r="R17" s="1060"/>
      <c r="S17" s="1060"/>
      <c r="T17" s="1060"/>
      <c r="U17" s="1060"/>
      <c r="V17" s="1060"/>
      <c r="W17" s="1060"/>
      <c r="X17" s="1060"/>
      <c r="Y17" s="1060"/>
      <c r="Z17" s="1060"/>
      <c r="AA17" s="1060"/>
      <c r="AB17" s="1060"/>
      <c r="AC17" s="1060"/>
      <c r="AD17" s="1060"/>
      <c r="AE17" s="1060"/>
      <c r="AF17" s="1060"/>
      <c r="AG17" s="1060"/>
      <c r="AH17" s="1060"/>
      <c r="AI17" s="1060"/>
      <c r="AJ17" s="1060"/>
    </row>
    <row r="18" spans="1:46" ht="12.95" customHeight="1"/>
    <row r="19" spans="1:46" ht="12.95" customHeight="1">
      <c r="A19" s="995" t="s">
        <v>7</v>
      </c>
      <c r="B19" s="976"/>
      <c r="C19" s="1113"/>
      <c r="D19" s="976"/>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976"/>
    </row>
    <row r="20" spans="1:46" ht="12.95" customHeight="1">
      <c r="A20" s="1241" t="s">
        <v>8</v>
      </c>
      <c r="B20" s="976"/>
      <c r="C20" s="111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c r="AL20" s="97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9</v>
      </c>
      <c r="B22" s="976"/>
      <c r="C22" s="111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c r="AL22" s="976"/>
      <c r="AM22" s="976"/>
      <c r="AN22" s="976"/>
      <c r="AO22" s="976"/>
      <c r="AP22" s="976"/>
      <c r="AQ22" s="976"/>
      <c r="AR22" s="976"/>
      <c r="AS22" s="976"/>
      <c r="AT22" s="976"/>
    </row>
    <row r="23" spans="1:46" ht="12.95" customHeight="1">
      <c r="A23" s="976"/>
      <c r="B23" s="976"/>
      <c r="C23" s="111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976"/>
      <c r="AT23" s="97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208">
        <f>ROUND('Basis &amp; Credits'!AB55,0)</f>
        <v>2500000</v>
      </c>
      <c r="N25" s="1093"/>
      <c r="O25" s="1093"/>
      <c r="P25" s="1093"/>
      <c r="Q25" s="1093"/>
      <c r="R25" s="5" t="s">
        <v>10</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208">
        <f>'Basis &amp; Credits'!AB76</f>
        <v>0</v>
      </c>
      <c r="N27" s="1093"/>
      <c r="O27" s="1093"/>
      <c r="P27" s="1093"/>
      <c r="Q27" s="1093"/>
      <c r="R27" s="5" t="s">
        <v>11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0" customFormat="1" ht="12.95" customHeight="1">
      <c r="A29" s="984" t="s">
        <v>12</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0"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0"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17" customFormat="1" ht="12.95" hidden="1" customHeight="1">
      <c r="A33" s="310" t="s">
        <v>13</v>
      </c>
      <c r="C33" s="100"/>
      <c r="D33" s="100"/>
      <c r="E33" s="100"/>
      <c r="F33" s="100"/>
      <c r="G33" s="100"/>
      <c r="H33" s="100"/>
      <c r="I33" s="100"/>
      <c r="J33" s="100"/>
      <c r="K33" s="100"/>
      <c r="L33" s="100"/>
      <c r="M33" s="100"/>
      <c r="N33" s="100"/>
      <c r="O33" s="1066" t="s">
        <v>14</v>
      </c>
      <c r="P33" s="1060"/>
      <c r="Q33" s="1238" t="s">
        <v>15</v>
      </c>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row>
    <row r="34" spans="1:46" ht="12.95" hidden="1" customHeight="1">
      <c r="A34" s="992" t="s">
        <v>16</v>
      </c>
      <c r="B34" s="976"/>
      <c r="C34" s="1113"/>
      <c r="D34" s="976"/>
      <c r="E34" s="976"/>
      <c r="F34" s="976"/>
      <c r="G34" s="976"/>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976"/>
      <c r="AR34" s="976"/>
      <c r="AS34" s="976"/>
      <c r="AT34" s="976"/>
    </row>
    <row r="35" spans="1:46" ht="12.95" hidden="1" customHeight="1">
      <c r="A35" s="976"/>
      <c r="B35" s="976"/>
      <c r="C35" s="1113"/>
      <c r="D35" s="976"/>
      <c r="E35" s="976"/>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c r="AP35" s="976"/>
      <c r="AQ35" s="976"/>
      <c r="AR35" s="976"/>
      <c r="AS35" s="976"/>
      <c r="AT35" s="976"/>
    </row>
    <row r="36" spans="1:46" ht="12.95" hidden="1" customHeight="1">
      <c r="A36" s="976"/>
      <c r="B36" s="976"/>
      <c r="C36" s="1113"/>
      <c r="D36" s="976"/>
      <c r="E36" s="976"/>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c r="AP36" s="976"/>
      <c r="AQ36" s="976"/>
      <c r="AR36" s="976"/>
      <c r="AS36" s="976"/>
      <c r="AT36" s="976"/>
    </row>
    <row r="37" spans="1:46" ht="12.95" hidden="1" customHeight="1">
      <c r="A37" s="976"/>
      <c r="B37" s="976"/>
      <c r="C37" s="1113"/>
      <c r="D37" s="976"/>
      <c r="E37" s="976"/>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6"/>
      <c r="AQ37" s="976"/>
      <c r="AR37" s="976"/>
      <c r="AS37" s="976"/>
      <c r="AT37" s="976"/>
    </row>
    <row r="38" spans="1:46" ht="12.95" hidden="1" customHeight="1">
      <c r="AM38" s="19"/>
    </row>
    <row r="39" spans="1:46" s="770" customFormat="1" ht="12.95" customHeight="1">
      <c r="A39" s="984" t="s">
        <v>17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0"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0"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0"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0"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0"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0"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0"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0" customFormat="1" ht="12.95" customHeight="1">
      <c r="A48" s="984" t="s">
        <v>18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0"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19</v>
      </c>
      <c r="B51" s="976"/>
      <c r="C51" s="1113"/>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2.95" customHeight="1">
      <c r="A52" s="976"/>
      <c r="B52" s="976"/>
      <c r="C52" s="1113"/>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2.95" customHeight="1">
      <c r="A53" s="976"/>
      <c r="B53" s="976"/>
      <c r="C53" s="1113"/>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2.95" customHeight="1">
      <c r="A54" s="976"/>
      <c r="B54" s="976"/>
      <c r="C54" s="1113"/>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8" customHeight="1">
      <c r="A55" s="976"/>
      <c r="B55" s="976"/>
      <c r="C55" s="1113"/>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23</v>
      </c>
      <c r="B68" s="976"/>
      <c r="C68" s="1113"/>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2.95" customHeight="1">
      <c r="A69" s="976"/>
      <c r="B69" s="976"/>
      <c r="C69" s="1113"/>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2.95" customHeight="1">
      <c r="A70" s="976"/>
      <c r="B70" s="976"/>
      <c r="C70" s="1113"/>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0" customFormat="1" ht="12.95" customHeight="1">
      <c r="A74" s="984" t="s">
        <v>25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0"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26</v>
      </c>
      <c r="B77" s="976"/>
      <c r="C77" s="1113"/>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2.95" customHeight="1">
      <c r="A78" s="976"/>
      <c r="B78" s="976"/>
      <c r="C78" s="1113"/>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2.95" customHeight="1">
      <c r="A79" s="976"/>
      <c r="B79" s="976"/>
      <c r="C79" s="1113"/>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27</v>
      </c>
      <c r="B81" s="976"/>
      <c r="C81" s="1113"/>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2.95" customHeight="1">
      <c r="A82" s="976"/>
      <c r="B82" s="976"/>
      <c r="C82" s="1113"/>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2.95" customHeight="1">
      <c r="A83" s="976"/>
      <c r="B83" s="976"/>
      <c r="C83" s="1113"/>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0" customFormat="1" ht="12.95" customHeight="1">
      <c r="A85" s="984" t="s">
        <v>28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0"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AM87" s="19"/>
    </row>
    <row r="88" spans="1:16384" s="208" customFormat="1" ht="12.95" customHeight="1">
      <c r="A88" s="984" t="s">
        <v>29</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4"/>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4"/>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4"/>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4"/>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4"/>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4"/>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4"/>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4"/>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4"/>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4"/>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4"/>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4"/>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4"/>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4"/>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4"/>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4"/>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4"/>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4"/>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4"/>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4"/>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4"/>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4"/>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4"/>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4"/>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4"/>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4"/>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4"/>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4"/>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4"/>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4"/>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4"/>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4"/>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4"/>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4"/>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4"/>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4"/>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4"/>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4"/>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4"/>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4"/>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4"/>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4"/>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4"/>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4"/>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4"/>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4"/>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4"/>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4"/>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4"/>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4"/>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4"/>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4"/>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4"/>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4"/>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4"/>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4"/>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4"/>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4"/>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4"/>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4"/>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4"/>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4"/>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4"/>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4"/>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4"/>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4"/>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4"/>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4"/>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4"/>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4"/>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4"/>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4"/>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4"/>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4"/>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4"/>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4"/>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4"/>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4"/>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4"/>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4"/>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4"/>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4"/>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4"/>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4"/>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4"/>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4"/>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4"/>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4"/>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4"/>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4"/>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4"/>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4"/>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4"/>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4"/>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4"/>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4"/>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4"/>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4"/>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4"/>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4"/>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4"/>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4"/>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4"/>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4"/>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4"/>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4"/>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4"/>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4"/>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4"/>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4"/>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4"/>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4"/>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4"/>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4"/>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4"/>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4"/>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4"/>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4"/>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4"/>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4"/>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4"/>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4"/>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4"/>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4"/>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4"/>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4"/>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4"/>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4"/>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4"/>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4"/>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4"/>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4"/>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4"/>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4"/>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4"/>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4"/>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4"/>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4"/>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4"/>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4"/>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4"/>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4"/>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4"/>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4"/>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4"/>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4"/>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4"/>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4"/>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4"/>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4"/>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4"/>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4"/>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4"/>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4"/>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4"/>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4"/>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4"/>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4"/>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4"/>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4"/>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4"/>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4"/>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4"/>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4"/>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4"/>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4"/>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4"/>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4"/>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4"/>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4"/>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4"/>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4"/>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4"/>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4"/>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4"/>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4"/>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4"/>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4"/>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4"/>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4"/>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4"/>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4"/>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4"/>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4"/>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4"/>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4"/>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4"/>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4"/>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4"/>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4"/>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4"/>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4"/>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4"/>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4"/>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4"/>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4"/>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4"/>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4"/>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4"/>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4"/>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4"/>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4"/>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4"/>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4"/>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4"/>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4"/>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4"/>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4"/>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4"/>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4"/>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4"/>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4"/>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4"/>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4"/>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4"/>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4"/>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4"/>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4"/>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4"/>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4"/>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4"/>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4"/>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4"/>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4"/>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4"/>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4"/>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4"/>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4"/>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4"/>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4"/>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4"/>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4"/>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4"/>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4"/>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4"/>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4"/>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4"/>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4"/>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4"/>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4"/>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4"/>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4"/>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4"/>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4"/>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4"/>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4"/>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4"/>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4"/>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4"/>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4"/>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4"/>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4"/>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4"/>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4"/>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4"/>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4"/>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4"/>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4"/>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4"/>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4"/>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4"/>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4"/>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4"/>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4"/>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4"/>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4"/>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4"/>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4"/>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4"/>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4"/>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4"/>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4"/>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4"/>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4"/>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4"/>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4"/>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4"/>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4"/>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4"/>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4"/>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4"/>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4"/>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4"/>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4"/>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4"/>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4"/>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4"/>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4"/>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4"/>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4"/>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4"/>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4"/>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4"/>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4"/>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4"/>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4"/>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4"/>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4"/>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4"/>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4"/>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4"/>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4"/>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4"/>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4"/>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4"/>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4"/>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4"/>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4"/>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4"/>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4"/>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4"/>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4"/>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4"/>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4"/>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4"/>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4"/>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4"/>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4"/>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4"/>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4"/>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4"/>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4"/>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4"/>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4"/>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4"/>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4"/>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4"/>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4"/>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4"/>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4"/>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4"/>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4"/>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4"/>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4"/>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4"/>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4"/>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4"/>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4"/>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4"/>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4"/>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4"/>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4"/>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4"/>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4"/>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4"/>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4"/>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4"/>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4"/>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4"/>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4"/>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4"/>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4"/>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4"/>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4"/>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4"/>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4"/>
      <c r="XEX88" s="981"/>
      <c r="XEY88" s="981"/>
      <c r="XEZ88" s="981"/>
      <c r="XFA88" s="981"/>
      <c r="XFB88" s="981"/>
      <c r="XFC88" s="981"/>
      <c r="XFD88" s="981"/>
    </row>
    <row r="89" spans="1:16384" s="208" customFormat="1" ht="14.45"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297" t="s">
        <v>30</v>
      </c>
      <c r="B91" s="976"/>
      <c r="C91" s="1113"/>
      <c r="D91" s="976"/>
      <c r="E91" s="976"/>
      <c r="F91" s="976"/>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row>
    <row r="92" spans="1:16384" ht="12.95" customHeight="1">
      <c r="A92" s="976"/>
      <c r="B92" s="976"/>
      <c r="C92" s="1113"/>
      <c r="D92" s="976"/>
      <c r="E92" s="976"/>
      <c r="F92" s="976"/>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row>
    <row r="93" spans="1:16384" ht="12.95" customHeight="1">
      <c r="A93" s="976"/>
      <c r="B93" s="976"/>
      <c r="C93" s="1113"/>
      <c r="D93" s="976"/>
      <c r="E93" s="976"/>
      <c r="F93" s="976"/>
      <c r="G93" s="976"/>
      <c r="H93" s="976"/>
      <c r="I93" s="976"/>
      <c r="J93" s="976"/>
      <c r="K93" s="976"/>
      <c r="L93" s="976"/>
      <c r="M93" s="976"/>
      <c r="N93" s="976"/>
      <c r="O93" s="976"/>
      <c r="P93" s="976"/>
      <c r="Q93" s="97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row>
    <row r="94" spans="1:16384" ht="12.95" customHeight="1">
      <c r="A94" s="976"/>
      <c r="B94" s="976"/>
      <c r="C94" s="1113"/>
      <c r="D94" s="976"/>
      <c r="E94" s="976"/>
      <c r="F94" s="976"/>
      <c r="G94" s="976"/>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row>
    <row r="95" spans="1:16384" ht="12.95" customHeight="1">
      <c r="A95" s="976"/>
      <c r="B95" s="976"/>
      <c r="C95" s="1113"/>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row>
    <row r="96" spans="1:16384" ht="12.95" customHeight="1">
      <c r="A96" s="976"/>
      <c r="B96" s="976"/>
      <c r="C96" s="1113"/>
      <c r="D96" s="976"/>
      <c r="E96" s="976"/>
      <c r="F96" s="976"/>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976"/>
      <c r="AM96" s="976"/>
      <c r="AN96" s="976"/>
      <c r="AO96" s="976"/>
      <c r="AP96" s="976"/>
      <c r="AQ96" s="976"/>
      <c r="AR96" s="976"/>
      <c r="AS96" s="976"/>
      <c r="AT96" s="976"/>
    </row>
    <row r="97" spans="1:46" ht="12.95" customHeight="1">
      <c r="A97" s="976"/>
      <c r="B97" s="976"/>
      <c r="C97" s="1113"/>
      <c r="D97" s="976"/>
      <c r="E97" s="976"/>
      <c r="F97" s="976"/>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6"/>
      <c r="AQ97" s="976"/>
      <c r="AR97" s="976"/>
      <c r="AS97" s="976"/>
      <c r="AT97" s="976"/>
    </row>
    <row r="98" spans="1:46" ht="12.95" customHeight="1">
      <c r="A98" s="976"/>
      <c r="B98" s="976"/>
      <c r="C98" s="1113"/>
      <c r="D98" s="976"/>
      <c r="E98" s="976"/>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6"/>
      <c r="AQ98" s="976"/>
      <c r="AR98" s="976"/>
      <c r="AS98" s="976"/>
      <c r="AT98" s="976"/>
    </row>
    <row r="99" spans="1:46" ht="12.95" customHeight="1">
      <c r="A99" s="976"/>
      <c r="B99" s="976"/>
      <c r="C99" s="1113"/>
      <c r="D99" s="97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c r="AL99" s="976"/>
      <c r="AM99" s="976"/>
      <c r="AN99" s="976"/>
      <c r="AO99" s="976"/>
      <c r="AP99" s="976"/>
      <c r="AQ99" s="976"/>
      <c r="AR99" s="976"/>
      <c r="AS99" s="976"/>
      <c r="AT99" s="976"/>
    </row>
    <row r="100" spans="1:46" ht="19.899999999999999" customHeight="1">
      <c r="A100" s="976"/>
      <c r="B100" s="976"/>
      <c r="C100" s="1113"/>
      <c r="D100" s="976"/>
      <c r="E100" s="976"/>
      <c r="F100" s="976"/>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c r="AL100" s="976"/>
      <c r="AM100" s="976"/>
      <c r="AN100" s="976"/>
      <c r="AO100" s="976"/>
      <c r="AP100" s="976"/>
      <c r="AQ100" s="976"/>
      <c r="AR100" s="976"/>
      <c r="AS100" s="976"/>
      <c r="AT100" s="976"/>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31</v>
      </c>
      <c r="B102" s="976"/>
      <c r="C102" s="1113"/>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2.95" customHeight="1">
      <c r="A103" s="976"/>
      <c r="B103" s="976"/>
      <c r="C103" s="1113"/>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2.95" customHeight="1">
      <c r="A104" s="976"/>
      <c r="B104" s="976"/>
      <c r="C104" s="1113"/>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2.95" customHeight="1">
      <c r="A105" s="976"/>
      <c r="B105" s="976"/>
      <c r="C105" s="1113"/>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297" t="s">
        <v>32</v>
      </c>
      <c r="B107" s="976"/>
      <c r="C107" s="1113"/>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6"/>
      <c r="AQ107" s="976"/>
      <c r="AR107" s="976"/>
      <c r="AS107" s="976"/>
      <c r="AT107" s="976"/>
    </row>
    <row r="108" spans="1:46" ht="12.95" customHeight="1">
      <c r="A108" s="976"/>
      <c r="B108" s="976"/>
      <c r="C108" s="1113"/>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6"/>
      <c r="AL108" s="976"/>
      <c r="AM108" s="976"/>
      <c r="AN108" s="976"/>
      <c r="AO108" s="976"/>
      <c r="AP108" s="976"/>
      <c r="AQ108" s="976"/>
      <c r="AR108" s="976"/>
      <c r="AS108" s="976"/>
      <c r="AT108" s="97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33</v>
      </c>
      <c r="B110" s="976"/>
      <c r="C110" s="1113"/>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2.95" customHeight="1">
      <c r="A111" s="976"/>
      <c r="B111" s="976"/>
      <c r="C111" s="1113"/>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34</v>
      </c>
      <c r="E115" s="41"/>
      <c r="F115" s="41"/>
      <c r="G115" s="1128">
        <v>7</v>
      </c>
      <c r="H115" s="1060"/>
      <c r="I115" s="41" t="s">
        <v>35</v>
      </c>
      <c r="J115" s="41"/>
      <c r="L115" s="1152" t="s">
        <v>36</v>
      </c>
      <c r="M115" s="1060"/>
      <c r="N115" s="1060"/>
      <c r="O115" s="41" t="s">
        <v>37</v>
      </c>
      <c r="P115" s="41"/>
      <c r="Q115" s="41"/>
      <c r="R115" s="41"/>
      <c r="S115" s="100"/>
      <c r="T115" s="100"/>
      <c r="U115" s="100"/>
      <c r="V115" s="100"/>
      <c r="W115" s="100"/>
      <c r="X115" s="41" t="s">
        <v>38</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39</v>
      </c>
      <c r="AA116" s="41"/>
      <c r="AB116" s="41"/>
      <c r="AC116" s="41"/>
      <c r="AD116" s="41"/>
      <c r="AE116" s="41"/>
      <c r="AF116" s="41"/>
      <c r="AG116" s="41"/>
      <c r="AH116" s="41"/>
      <c r="AI116" s="41"/>
      <c r="AJ116" s="41"/>
      <c r="AK116" s="41"/>
    </row>
    <row r="117" spans="1:39" ht="12.95" customHeight="1">
      <c r="A117" s="310"/>
      <c r="C117" s="1152" t="s">
        <v>40</v>
      </c>
      <c r="D117" s="1060"/>
      <c r="E117" s="1060"/>
      <c r="F117" s="1060"/>
      <c r="G117" s="1060"/>
      <c r="H117" s="1060"/>
      <c r="I117" s="1060"/>
      <c r="J117" s="1060"/>
      <c r="K117" s="1060"/>
      <c r="L117" s="307" t="s">
        <v>41</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1" t="s">
        <v>42</v>
      </c>
      <c r="Z118" s="1060"/>
      <c r="AA118" s="1060"/>
      <c r="AB118" s="1060"/>
      <c r="AC118" s="1060"/>
      <c r="AD118" s="1060"/>
      <c r="AE118" s="1060"/>
      <c r="AF118" s="1060"/>
      <c r="AG118" s="1060"/>
      <c r="AH118" s="1060"/>
      <c r="AI118" s="1060"/>
      <c r="AJ118" s="1060"/>
      <c r="AK118" s="106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43</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1" t="s">
        <v>44</v>
      </c>
      <c r="Z121" s="1060"/>
      <c r="AA121" s="1060"/>
      <c r="AB121" s="1060"/>
      <c r="AC121" s="1060"/>
      <c r="AD121" s="1060"/>
      <c r="AE121" s="1060"/>
      <c r="AF121" s="1060"/>
      <c r="AG121" s="1060"/>
      <c r="AH121" s="1060"/>
      <c r="AI121" s="1060"/>
      <c r="AJ121" s="1060"/>
      <c r="AK121" s="106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45</v>
      </c>
      <c r="AA122" s="41"/>
      <c r="AB122" s="41"/>
      <c r="AC122" s="41"/>
      <c r="AD122" s="41"/>
      <c r="AE122" s="41"/>
      <c r="AF122" s="41"/>
      <c r="AG122" s="41"/>
      <c r="AH122" s="41"/>
      <c r="AI122" s="41"/>
      <c r="AJ122" s="41"/>
      <c r="AK122" s="41"/>
      <c r="AL122" s="19"/>
    </row>
    <row r="123" spans="1:39" ht="12.95" customHeight="1"/>
    <row r="124" spans="1:39" ht="12.95" customHeight="1">
      <c r="A124" s="100"/>
    </row>
    <row r="125" spans="1:39" ht="12.95" customHeight="1">
      <c r="A125" s="100"/>
      <c r="V125" s="41"/>
      <c r="W125" s="41"/>
      <c r="AL125" s="41"/>
    </row>
    <row r="126" spans="1:39" ht="12.95" customHeight="1">
      <c r="A126" s="41"/>
      <c r="B126" s="41"/>
      <c r="AL126" s="41"/>
    </row>
    <row r="127" spans="1:39" ht="12.95" customHeight="1">
      <c r="A127" s="41"/>
      <c r="B127" s="41"/>
      <c r="AL127" s="41"/>
    </row>
    <row r="128" spans="1:39" ht="12.95" customHeight="1">
      <c r="A128" s="41"/>
      <c r="B128" s="41"/>
      <c r="S128" s="41"/>
      <c r="T128" s="41"/>
      <c r="U128" s="41"/>
      <c r="V128" s="41"/>
      <c r="W128" s="41"/>
      <c r="AL128" s="41"/>
    </row>
    <row r="129" spans="1:56" ht="12.95" customHeight="1">
      <c r="A129" s="41"/>
      <c r="B129" s="41"/>
      <c r="S129" s="41"/>
      <c r="T129" s="41"/>
      <c r="U129" s="41"/>
      <c r="V129" s="41"/>
      <c r="W129" s="41"/>
      <c r="AL129" s="41"/>
    </row>
    <row r="130" spans="1:56" ht="12.95" customHeight="1">
      <c r="A130" s="41"/>
      <c r="B130" s="41"/>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AL136" s="486"/>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46</v>
      </c>
      <c r="O156" s="1061" t="s">
        <v>47</v>
      </c>
      <c r="P156" s="1060"/>
      <c r="Q156" s="1060"/>
      <c r="R156" s="1060"/>
      <c r="S156" s="1060"/>
      <c r="T156" s="1060"/>
      <c r="U156" s="1060"/>
      <c r="V156" s="1060"/>
      <c r="W156" s="1060"/>
      <c r="X156" s="1060"/>
      <c r="Y156" s="1060"/>
      <c r="Z156" s="1060"/>
      <c r="AA156" s="1060"/>
      <c r="AB156" s="1060"/>
      <c r="AC156" s="1060"/>
      <c r="AD156" s="1060"/>
      <c r="AE156" s="1060"/>
      <c r="AF156" s="1060"/>
      <c r="AG156" s="1060"/>
      <c r="AH156" s="1060"/>
      <c r="BT156" t="s">
        <v>48</v>
      </c>
    </row>
    <row r="157" spans="1:72" ht="12.95" customHeight="1">
      <c r="D157" s="337" t="s">
        <v>49</v>
      </c>
      <c r="O157" s="1126" t="s">
        <v>2412</v>
      </c>
      <c r="P157" s="1063"/>
      <c r="Q157" s="1063"/>
      <c r="R157" s="1063"/>
      <c r="S157" s="1063"/>
      <c r="T157" s="1063"/>
      <c r="U157" s="1063"/>
      <c r="V157" s="1063"/>
      <c r="W157" s="1063"/>
      <c r="X157" s="1063"/>
      <c r="Y157" s="1063"/>
      <c r="Z157" s="1063"/>
      <c r="AA157" s="1063"/>
      <c r="AB157" s="1063"/>
      <c r="AC157" s="1063"/>
      <c r="AD157" s="1063"/>
      <c r="AE157" s="1063"/>
      <c r="AF157" s="1063"/>
      <c r="AG157" s="1063"/>
      <c r="AH157" s="1063"/>
      <c r="AI157" t="s">
        <v>51</v>
      </c>
      <c r="BN157" s="30" t="s">
        <v>52</v>
      </c>
      <c r="BT157" t="s">
        <v>53</v>
      </c>
    </row>
    <row r="158" spans="1:72" ht="12.95" customHeight="1">
      <c r="D158" s="12" t="s">
        <v>54</v>
      </c>
      <c r="F158" s="12"/>
      <c r="G158" s="12"/>
      <c r="H158" s="12"/>
      <c r="I158" s="12"/>
      <c r="J158" s="12"/>
      <c r="K158" s="12"/>
      <c r="L158" s="12"/>
      <c r="M158" s="12"/>
      <c r="N158" s="12"/>
      <c r="O158" s="1285" t="s">
        <v>50</v>
      </c>
      <c r="P158" s="1063"/>
      <c r="Q158" s="1063"/>
      <c r="R158" s="1063"/>
      <c r="S158" s="1063"/>
      <c r="T158" s="1063"/>
      <c r="U158" s="1063"/>
      <c r="V158" s="1063"/>
      <c r="W158" s="1063"/>
      <c r="X158" s="1063"/>
      <c r="Y158" s="1063"/>
      <c r="Z158" s="1063"/>
      <c r="AA158" s="1063"/>
      <c r="AB158" s="1063"/>
      <c r="AC158" s="1063"/>
      <c r="AD158" s="1063"/>
      <c r="AE158" s="1063"/>
      <c r="AF158" s="1063"/>
      <c r="AG158" s="1063"/>
      <c r="AH158" s="1063"/>
      <c r="BN158" s="30" t="s">
        <v>55</v>
      </c>
      <c r="BT158" t="s">
        <v>56</v>
      </c>
    </row>
    <row r="159" spans="1:72" ht="12.95" customHeight="1">
      <c r="D159" t="s">
        <v>57</v>
      </c>
      <c r="O159" s="1059" t="s">
        <v>58</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30" t="s">
        <v>59</v>
      </c>
      <c r="BT159" t="s">
        <v>60</v>
      </c>
    </row>
    <row r="160" spans="1:72" ht="12.95" customHeight="1">
      <c r="D160" t="s">
        <v>61</v>
      </c>
      <c r="O160" s="1061" t="s">
        <v>47</v>
      </c>
      <c r="P160" s="1060"/>
      <c r="Q160" s="1060"/>
      <c r="R160" s="1060"/>
      <c r="S160" s="1060"/>
      <c r="T160" s="1060"/>
      <c r="U160" s="1060"/>
      <c r="V160" s="1060"/>
      <c r="W160" s="1060"/>
      <c r="X160" s="1060"/>
      <c r="Y160" s="12"/>
      <c r="Z160" s="12"/>
      <c r="AA160" s="12"/>
      <c r="AB160" s="12"/>
      <c r="AC160" s="12"/>
      <c r="AD160" s="12"/>
      <c r="AE160" s="12"/>
      <c r="AF160" s="12"/>
      <c r="BN160" s="30" t="s">
        <v>62</v>
      </c>
      <c r="BT160" t="s">
        <v>63</v>
      </c>
    </row>
    <row r="161" spans="1:72" ht="12.95" customHeight="1">
      <c r="D161" t="s">
        <v>64</v>
      </c>
      <c r="O161" s="1266" t="s">
        <v>65</v>
      </c>
      <c r="P161" s="1060"/>
      <c r="Q161" s="1060"/>
      <c r="R161" s="1060"/>
      <c r="S161" s="13"/>
      <c r="T161" s="13"/>
      <c r="U161" s="13"/>
      <c r="V161" s="13"/>
      <c r="W161" s="13"/>
      <c r="X161" s="13"/>
      <c r="Y161" s="13"/>
      <c r="Z161" s="13"/>
      <c r="AA161" s="13"/>
      <c r="AB161" s="13"/>
      <c r="AC161" s="13"/>
      <c r="AD161" s="13"/>
      <c r="AE161" s="13"/>
      <c r="AF161" s="13"/>
      <c r="BJ161" t="s">
        <v>14</v>
      </c>
      <c r="BN161" s="30" t="s">
        <v>66</v>
      </c>
      <c r="BT161" t="s">
        <v>67</v>
      </c>
    </row>
    <row r="162" spans="1:72" ht="12.95" customHeight="1">
      <c r="D162" t="s">
        <v>68</v>
      </c>
      <c r="O162" s="1166" t="s">
        <v>69</v>
      </c>
      <c r="P162" s="1060"/>
      <c r="Q162" s="1060"/>
      <c r="R162" s="1060"/>
      <c r="S162" s="1060"/>
      <c r="T162" s="1060"/>
      <c r="V162" s="177" t="s">
        <v>70</v>
      </c>
      <c r="W162" s="1174"/>
      <c r="X162" s="1060"/>
      <c r="Y162" s="14"/>
      <c r="Z162" s="14"/>
      <c r="AA162" s="14"/>
      <c r="AB162" s="14"/>
      <c r="AC162" s="14"/>
      <c r="AD162" s="14"/>
      <c r="AE162" s="14"/>
      <c r="AF162" s="14"/>
      <c r="BJ162" t="s">
        <v>71</v>
      </c>
      <c r="BN162" s="30" t="s">
        <v>72</v>
      </c>
      <c r="BT162" t="s">
        <v>73</v>
      </c>
    </row>
    <row r="163" spans="1:72" ht="12.95" customHeight="1">
      <c r="D163" t="s">
        <v>74</v>
      </c>
      <c r="O163" s="1166" t="s">
        <v>2413</v>
      </c>
      <c r="P163" s="1060"/>
      <c r="Q163" s="1060"/>
      <c r="R163" s="1060"/>
      <c r="S163" s="1060"/>
      <c r="T163" s="1060"/>
      <c r="U163" s="14"/>
      <c r="V163" s="14"/>
      <c r="W163" s="14"/>
      <c r="X163" s="14"/>
      <c r="Y163" s="14"/>
      <c r="Z163" s="14"/>
      <c r="AA163" s="14"/>
      <c r="AB163" s="14"/>
      <c r="AC163" s="14"/>
      <c r="AD163" s="14"/>
      <c r="AE163" s="14"/>
      <c r="AF163" s="14"/>
      <c r="BN163" s="30" t="s">
        <v>75</v>
      </c>
      <c r="BT163" t="s">
        <v>76</v>
      </c>
    </row>
    <row r="164" spans="1:72" ht="12.95" customHeight="1">
      <c r="D164" t="s">
        <v>77</v>
      </c>
      <c r="O164" s="1217" t="s">
        <v>2414</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78</v>
      </c>
      <c r="BT164" t="s">
        <v>79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80</v>
      </c>
      <c r="BT165" t="s">
        <v>81</v>
      </c>
    </row>
    <row r="166" spans="1:72" ht="12.95" customHeight="1">
      <c r="C166" s="34" t="s">
        <v>51</v>
      </c>
      <c r="D166" t="s">
        <v>82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83</v>
      </c>
      <c r="BT166" t="s">
        <v>84</v>
      </c>
    </row>
    <row r="167" spans="1:72" ht="12.95" customHeight="1">
      <c r="C167" s="34"/>
      <c r="D167" s="1037" t="s">
        <v>85</v>
      </c>
      <c r="E167" s="1038"/>
      <c r="F167" s="1038"/>
      <c r="G167" s="1038"/>
      <c r="H167" s="1038"/>
      <c r="I167" s="1038"/>
      <c r="J167" s="1038"/>
      <c r="K167" s="1038"/>
      <c r="L167" s="1038"/>
      <c r="M167" s="1038"/>
      <c r="N167" s="1038"/>
      <c r="O167" s="1038"/>
      <c r="P167" s="1038"/>
      <c r="Q167" s="1038"/>
      <c r="R167" s="1038"/>
      <c r="S167" s="1038"/>
      <c r="T167" s="1038"/>
      <c r="U167" s="1038"/>
      <c r="V167" s="1038"/>
      <c r="W167" s="1038"/>
      <c r="X167" s="1038"/>
      <c r="Y167" s="1038"/>
      <c r="Z167" s="261"/>
      <c r="AA167" s="259"/>
      <c r="AB167" s="259"/>
      <c r="AC167" s="259"/>
      <c r="AD167" s="259"/>
      <c r="AE167" s="259"/>
      <c r="AF167" s="259"/>
      <c r="AG167" s="259"/>
      <c r="AH167" s="259"/>
      <c r="BN167" s="30" t="s">
        <v>86</v>
      </c>
      <c r="BT167" t="s">
        <v>87</v>
      </c>
    </row>
    <row r="168" spans="1:72" ht="12.95" customHeight="1">
      <c r="BN168" s="30" t="s">
        <v>88</v>
      </c>
      <c r="BT168" t="s">
        <v>89</v>
      </c>
    </row>
    <row r="169" spans="1:72" s="951" customFormat="1" ht="12.95" customHeight="1">
      <c r="A169" s="1150" t="s">
        <v>90</v>
      </c>
      <c r="B169" s="1159"/>
      <c r="C169" s="1159"/>
      <c r="D169" s="1159"/>
      <c r="E169" s="1159"/>
      <c r="F169" s="1159"/>
      <c r="G169" s="1159"/>
      <c r="H169" s="1159"/>
      <c r="I169" s="1159"/>
      <c r="J169" s="1159"/>
      <c r="K169" s="1159"/>
      <c r="L169" s="1159"/>
      <c r="M169" s="1159"/>
      <c r="N169" s="1159"/>
      <c r="O169" s="1159"/>
      <c r="P169" s="1159"/>
      <c r="Q169" s="1159"/>
      <c r="R169" s="1159"/>
      <c r="S169" s="1159"/>
      <c r="T169" s="1159"/>
      <c r="U169" s="1159"/>
      <c r="V169" s="1159"/>
      <c r="W169" s="1159"/>
      <c r="X169" s="1159"/>
      <c r="Y169" s="1159"/>
      <c r="Z169" s="1159"/>
      <c r="AA169" s="1159"/>
      <c r="AB169" s="1159"/>
      <c r="AC169" s="1159"/>
      <c r="AD169" s="1159"/>
      <c r="AE169" s="1159"/>
      <c r="AF169" s="1159"/>
      <c r="AG169" s="1159"/>
      <c r="AH169" s="1159"/>
      <c r="AI169" s="1159"/>
      <c r="AJ169" s="1159"/>
      <c r="AK169" s="1159"/>
      <c r="AL169" s="1159"/>
      <c r="AM169" s="1159"/>
      <c r="AN169" s="1159"/>
      <c r="AO169" s="1159"/>
      <c r="AP169" s="1159"/>
      <c r="AQ169" s="1159"/>
      <c r="AR169" s="1159"/>
      <c r="AS169" s="1159"/>
      <c r="AT169" s="1159"/>
      <c r="BN169" s="264" t="s">
        <v>91</v>
      </c>
      <c r="BT169" t="s">
        <v>92</v>
      </c>
    </row>
    <row r="170" spans="1:72" s="951" customFormat="1" ht="12.95" customHeight="1">
      <c r="A170" s="1159"/>
      <c r="B170" s="1159"/>
      <c r="C170" s="1159"/>
      <c r="D170" s="1159"/>
      <c r="E170" s="1159"/>
      <c r="F170" s="1159"/>
      <c r="G170" s="1159"/>
      <c r="H170" s="1159"/>
      <c r="I170" s="1159"/>
      <c r="J170" s="1159"/>
      <c r="K170" s="1159"/>
      <c r="L170" s="1159"/>
      <c r="M170" s="1159"/>
      <c r="N170" s="1159"/>
      <c r="O170" s="1159"/>
      <c r="P170" s="1159"/>
      <c r="Q170" s="1159"/>
      <c r="R170" s="1159"/>
      <c r="S170" s="1159"/>
      <c r="T170" s="1159"/>
      <c r="U170" s="1159"/>
      <c r="V170" s="1159"/>
      <c r="W170" s="1159"/>
      <c r="X170" s="1159"/>
      <c r="Y170" s="1159"/>
      <c r="Z170" s="1159"/>
      <c r="AA170" s="1159"/>
      <c r="AB170" s="1159"/>
      <c r="AC170" s="1159"/>
      <c r="AD170" s="1159"/>
      <c r="AE170" s="1159"/>
      <c r="AF170" s="1159"/>
      <c r="AG170" s="1159"/>
      <c r="AH170" s="1159"/>
      <c r="AI170" s="1159"/>
      <c r="AJ170" s="1159"/>
      <c r="AK170" s="1159"/>
      <c r="AL170" s="1159"/>
      <c r="AM170" s="1159"/>
      <c r="AN170" s="1159"/>
      <c r="AO170" s="1159"/>
      <c r="AP170" s="1159"/>
      <c r="AQ170" s="1159"/>
      <c r="AR170" s="1159"/>
      <c r="AS170" s="1159"/>
      <c r="AT170" s="1159"/>
      <c r="BN170" s="264" t="s">
        <v>93</v>
      </c>
      <c r="BT170" t="s">
        <v>94</v>
      </c>
    </row>
    <row r="171" spans="1:72" ht="12.95" customHeight="1">
      <c r="BN171" s="30" t="s">
        <v>95</v>
      </c>
      <c r="BT171" t="s">
        <v>96</v>
      </c>
    </row>
    <row r="172" spans="1:72" ht="12.95" customHeight="1">
      <c r="A172" s="3" t="s">
        <v>97</v>
      </c>
      <c r="C172" s="3" t="s">
        <v>98</v>
      </c>
      <c r="BN172" s="30" t="s">
        <v>99</v>
      </c>
      <c r="BT172" t="s">
        <v>100</v>
      </c>
    </row>
    <row r="173" spans="1:72" ht="12.95" customHeight="1">
      <c r="C173" s="31"/>
      <c r="D173" t="s">
        <v>101</v>
      </c>
      <c r="J173" s="1260" t="s">
        <v>102</v>
      </c>
      <c r="K173" s="1060"/>
      <c r="L173" s="1060"/>
      <c r="M173" s="1060"/>
      <c r="N173" s="1060"/>
      <c r="O173" s="1060"/>
      <c r="P173" s="1060"/>
      <c r="Q173" s="1060"/>
      <c r="R173" s="1060"/>
      <c r="S173" s="1060"/>
      <c r="U173" s="32"/>
      <c r="X173" s="32"/>
      <c r="BN173" s="30" t="s">
        <v>103</v>
      </c>
      <c r="BT173" t="s">
        <v>104</v>
      </c>
    </row>
    <row r="174" spans="1:72" ht="12.95" customHeight="1">
      <c r="C174" s="31"/>
      <c r="D174" t="s">
        <v>105</v>
      </c>
      <c r="U174" s="1066"/>
      <c r="V174" s="1060"/>
      <c r="BN174" s="30" t="s">
        <v>106</v>
      </c>
      <c r="BT174" t="s">
        <v>107</v>
      </c>
    </row>
    <row r="175" spans="1:72" ht="12.95" customHeight="1">
      <c r="C175" s="12"/>
      <c r="D175" s="33"/>
      <c r="E175" t="s">
        <v>108</v>
      </c>
      <c r="O175" s="34"/>
      <c r="P175" t="s">
        <v>109</v>
      </c>
      <c r="T175" s="34" t="s">
        <v>110</v>
      </c>
      <c r="U175" s="1307"/>
      <c r="V175" s="1063"/>
      <c r="W175" s="1" t="s">
        <v>111</v>
      </c>
      <c r="X175" s="1225"/>
      <c r="Y175" s="1060"/>
      <c r="BN175" s="30" t="s">
        <v>112</v>
      </c>
      <c r="BT175" t="s">
        <v>113</v>
      </c>
    </row>
    <row r="176" spans="1:72" ht="12.95" customHeight="1">
      <c r="C176" s="31"/>
      <c r="D176" t="s">
        <v>114</v>
      </c>
      <c r="U176" s="1066"/>
      <c r="V176" s="1060"/>
      <c r="BN176" s="30" t="s">
        <v>115</v>
      </c>
      <c r="BT176" t="s">
        <v>116</v>
      </c>
    </row>
    <row r="177" spans="1:72" ht="12.95" customHeight="1">
      <c r="C177" s="31"/>
      <c r="D177" s="358" t="s">
        <v>117</v>
      </c>
      <c r="BN177" s="30" t="s">
        <v>118</v>
      </c>
      <c r="BT177" t="s">
        <v>119</v>
      </c>
    </row>
    <row r="178" spans="1:72" ht="12.95" customHeight="1">
      <c r="C178" s="31"/>
      <c r="E178" s="358" t="s">
        <v>109</v>
      </c>
      <c r="F178" s="358"/>
      <c r="G178" s="358"/>
      <c r="I178" s="931" t="s">
        <v>110</v>
      </c>
      <c r="J178" s="1310"/>
      <c r="K178" s="1060"/>
      <c r="L178" s="367" t="s">
        <v>111</v>
      </c>
      <c r="M178" s="1180"/>
      <c r="N178" s="1060"/>
      <c r="O178" s="358"/>
      <c r="P178" s="358"/>
      <c r="Q178" s="358"/>
      <c r="R178" s="358"/>
      <c r="U178" s="358" t="s">
        <v>120</v>
      </c>
      <c r="V178" s="358"/>
      <c r="W178" s="358"/>
      <c r="X178" s="358"/>
      <c r="Y178" s="358"/>
      <c r="Z178" s="358"/>
      <c r="AA178" s="358"/>
      <c r="AB178" s="358"/>
      <c r="AD178" s="1313"/>
      <c r="AE178" s="1060"/>
      <c r="AF178" s="1060"/>
      <c r="AG178" s="1060"/>
      <c r="AH178" s="1060"/>
      <c r="BN178" s="30" t="s">
        <v>121</v>
      </c>
      <c r="BT178" t="s">
        <v>122</v>
      </c>
    </row>
    <row r="179" spans="1:72" ht="12.95" customHeight="1">
      <c r="C179" s="31"/>
      <c r="BN179" s="30" t="s">
        <v>123</v>
      </c>
      <c r="BT179" t="s">
        <v>124</v>
      </c>
    </row>
    <row r="180" spans="1:72" ht="12.95" customHeight="1">
      <c r="C180" s="12"/>
      <c r="D180" s="41" t="s">
        <v>125</v>
      </c>
      <c r="O180" s="358"/>
      <c r="P180" s="358"/>
      <c r="Q180" s="358"/>
      <c r="R180" s="358"/>
      <c r="Y180" s="1066"/>
      <c r="Z180" s="1060"/>
      <c r="BN180" s="30" t="s">
        <v>126</v>
      </c>
      <c r="BT180" t="s">
        <v>127</v>
      </c>
    </row>
    <row r="181" spans="1:72" ht="12.95" customHeight="1">
      <c r="C181" s="12"/>
      <c r="D181" s="35"/>
      <c r="E181" s="358" t="s">
        <v>128</v>
      </c>
      <c r="R181" s="358"/>
      <c r="BN181" s="30" t="s">
        <v>129</v>
      </c>
      <c r="BT181" t="s">
        <v>130</v>
      </c>
    </row>
    <row r="182" spans="1:72" ht="12.95" customHeight="1">
      <c r="C182" s="12"/>
      <c r="D182" s="35"/>
      <c r="BN182" s="30" t="s">
        <v>131</v>
      </c>
      <c r="BT182" t="s">
        <v>132</v>
      </c>
    </row>
    <row r="183" spans="1:72" ht="12.95" customHeight="1">
      <c r="A183" s="3" t="s">
        <v>133</v>
      </c>
      <c r="C183" s="3" t="s">
        <v>134</v>
      </c>
      <c r="BN183" s="30" t="s">
        <v>135</v>
      </c>
      <c r="BT183" t="s">
        <v>136</v>
      </c>
    </row>
    <row r="184" spans="1:72" ht="12.95" customHeight="1">
      <c r="C184" s="29"/>
      <c r="D184" t="s">
        <v>137</v>
      </c>
      <c r="I184" s="1127" t="str">
        <f>H17</f>
        <v>Pacific Avenue Apartments</v>
      </c>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BC184" t="s">
        <v>138</v>
      </c>
      <c r="BN184" s="30" t="s">
        <v>139</v>
      </c>
      <c r="BT184" t="s">
        <v>140</v>
      </c>
    </row>
    <row r="185" spans="1:72" ht="12.95" customHeight="1">
      <c r="C185" s="29"/>
      <c r="D185" t="s">
        <v>141</v>
      </c>
      <c r="I185" s="1068" t="s">
        <v>142</v>
      </c>
      <c r="J185" s="1063"/>
      <c r="K185" s="1063"/>
      <c r="L185" s="1063"/>
      <c r="M185" s="1063"/>
      <c r="N185" s="1063"/>
      <c r="O185" s="1063"/>
      <c r="P185" s="1063"/>
      <c r="Q185" s="1063"/>
      <c r="R185" s="1063"/>
      <c r="S185" s="1063"/>
      <c r="T185" s="1063"/>
      <c r="U185" s="1063"/>
      <c r="V185" s="1063"/>
      <c r="W185" s="1063"/>
      <c r="X185" s="1063"/>
      <c r="Y185" s="1063"/>
      <c r="Z185" s="1063"/>
      <c r="AA185" s="1063"/>
      <c r="AB185" s="1063"/>
      <c r="AC185" s="1063"/>
      <c r="AD185" s="1063"/>
      <c r="AE185" s="1063"/>
      <c r="BC185" s="41" t="s">
        <v>143</v>
      </c>
      <c r="BN185" s="30" t="s">
        <v>144</v>
      </c>
      <c r="BT185" t="s">
        <v>145</v>
      </c>
    </row>
    <row r="186" spans="1:72" ht="12.95" customHeight="1">
      <c r="C186" s="29"/>
      <c r="E186" t="s">
        <v>146</v>
      </c>
      <c r="BN186" s="30" t="s">
        <v>147</v>
      </c>
      <c r="BT186" t="s">
        <v>148</v>
      </c>
    </row>
    <row r="187" spans="1:72" ht="12.95" customHeight="1">
      <c r="C187" s="29"/>
      <c r="E187" s="1216"/>
      <c r="F187" s="1038"/>
      <c r="G187" s="1038"/>
      <c r="H187" s="1038"/>
      <c r="I187" s="1038"/>
      <c r="J187" s="1038"/>
      <c r="K187" s="1038"/>
      <c r="L187" s="1038"/>
      <c r="M187" s="1038"/>
      <c r="N187" s="1038"/>
      <c r="O187" s="1038"/>
      <c r="P187" s="1038"/>
      <c r="Q187" s="1038"/>
      <c r="R187" s="1038"/>
      <c r="S187" s="1038"/>
      <c r="T187" s="1038"/>
      <c r="U187" s="1038"/>
      <c r="V187" s="1038"/>
      <c r="W187" s="1038"/>
      <c r="X187" s="1038"/>
      <c r="Y187" s="1038"/>
      <c r="Z187" s="1038"/>
      <c r="AA187" s="1038"/>
      <c r="AB187" s="1038"/>
      <c r="AC187" s="1038"/>
      <c r="AD187" s="1038"/>
      <c r="AE187" s="1038"/>
      <c r="BN187" s="30" t="s">
        <v>149</v>
      </c>
      <c r="BT187" t="s">
        <v>150</v>
      </c>
    </row>
    <row r="188" spans="1:72" ht="12.95" customHeight="1">
      <c r="C188" s="29"/>
      <c r="E188" s="1060"/>
      <c r="F188" s="1060"/>
      <c r="G188" s="1060"/>
      <c r="H188" s="1060"/>
      <c r="I188" s="1060"/>
      <c r="J188" s="1060"/>
      <c r="K188" s="1060"/>
      <c r="L188" s="1060"/>
      <c r="M188" s="1060"/>
      <c r="N188" s="1060"/>
      <c r="O188" s="1060"/>
      <c r="P188" s="1060"/>
      <c r="Q188" s="1060"/>
      <c r="R188" s="1060"/>
      <c r="S188" s="1060"/>
      <c r="T188" s="1060"/>
      <c r="U188" s="1060"/>
      <c r="V188" s="1060"/>
      <c r="W188" s="1060"/>
      <c r="X188" s="1060"/>
      <c r="Y188" s="1060"/>
      <c r="Z188" s="1060"/>
      <c r="AA188" s="1060"/>
      <c r="AB188" s="1060"/>
      <c r="AC188" s="1060"/>
      <c r="AD188" s="1060"/>
      <c r="AE188" s="1060"/>
      <c r="BN188" s="30" t="s">
        <v>151</v>
      </c>
      <c r="BT188" t="s">
        <v>152</v>
      </c>
    </row>
    <row r="189" spans="1:72" ht="12.95" customHeight="1">
      <c r="C189" s="29"/>
      <c r="D189" t="s">
        <v>153</v>
      </c>
      <c r="I189" s="1059" t="s">
        <v>47</v>
      </c>
      <c r="J189" s="1060"/>
      <c r="K189" s="1060"/>
      <c r="L189" s="1060"/>
      <c r="M189" s="1060"/>
      <c r="N189" s="1060"/>
      <c r="O189" s="1060"/>
      <c r="P189" s="1060"/>
      <c r="Q189" t="s">
        <v>154</v>
      </c>
      <c r="T189" s="1059" t="s">
        <v>47</v>
      </c>
      <c r="U189" s="1060"/>
      <c r="V189" s="1060"/>
      <c r="W189" s="1060"/>
      <c r="X189" s="1060"/>
      <c r="Y189" s="1060"/>
      <c r="Z189" s="1060"/>
      <c r="AA189" s="1060"/>
      <c r="AB189" s="1060"/>
      <c r="AC189" s="1060"/>
      <c r="AD189" s="1060"/>
      <c r="AE189" s="1060"/>
      <c r="BC189" t="s">
        <v>48</v>
      </c>
      <c r="BH189" s="41" t="s">
        <v>155</v>
      </c>
      <c r="BN189" s="30" t="s">
        <v>156</v>
      </c>
      <c r="BT189" t="s">
        <v>157</v>
      </c>
    </row>
    <row r="190" spans="1:72" ht="12.95" customHeight="1">
      <c r="C190" s="29"/>
      <c r="D190" t="s">
        <v>158</v>
      </c>
      <c r="I190" s="1068" t="s">
        <v>65</v>
      </c>
      <c r="J190" s="1063"/>
      <c r="K190" s="1063"/>
      <c r="L190" s="1063"/>
      <c r="M190" s="1063"/>
      <c r="N190" s="1063"/>
      <c r="O190" t="s">
        <v>159</v>
      </c>
      <c r="T190" s="1273">
        <v>1007</v>
      </c>
      <c r="U190" s="1063"/>
      <c r="V190" s="1063"/>
      <c r="W190" s="1063"/>
      <c r="X190" s="1063"/>
      <c r="Y190" s="1063"/>
      <c r="Z190" s="1063"/>
      <c r="AA190" s="1063"/>
      <c r="AB190" s="1063"/>
      <c r="AC190" s="1063"/>
      <c r="AD190" s="1063"/>
      <c r="AE190" s="1063"/>
      <c r="BC190" t="s">
        <v>160</v>
      </c>
      <c r="BH190" t="s">
        <v>160</v>
      </c>
      <c r="BN190" s="30" t="s">
        <v>161</v>
      </c>
      <c r="BT190" t="s">
        <v>162</v>
      </c>
    </row>
    <row r="191" spans="1:72" ht="12.95" customHeight="1">
      <c r="C191" s="29"/>
      <c r="D191" t="s">
        <v>163</v>
      </c>
      <c r="N191" s="1219" t="s">
        <v>2415</v>
      </c>
      <c r="O191" s="1038"/>
      <c r="P191" s="1038"/>
      <c r="Q191" s="1038"/>
      <c r="R191" s="1038"/>
      <c r="S191" s="1038"/>
      <c r="T191" s="1038"/>
      <c r="U191" s="1038"/>
      <c r="V191" s="1038"/>
      <c r="W191" s="1038"/>
      <c r="X191" s="1038"/>
      <c r="Y191" s="1038"/>
      <c r="Z191" s="1038"/>
      <c r="AA191" s="1038"/>
      <c r="AB191" s="1038"/>
      <c r="AC191" s="1038"/>
      <c r="AD191" s="1038"/>
      <c r="AE191" s="1038"/>
      <c r="BC191" t="s">
        <v>164</v>
      </c>
      <c r="BH191" t="s">
        <v>164</v>
      </c>
      <c r="BN191" s="30" t="s">
        <v>165</v>
      </c>
      <c r="BT191" t="s">
        <v>166</v>
      </c>
    </row>
    <row r="192" spans="1:72" ht="12.95" customHeight="1">
      <c r="C192" s="29"/>
      <c r="M192" s="49"/>
      <c r="N192" s="1060"/>
      <c r="O192" s="1060"/>
      <c r="P192" s="1060"/>
      <c r="Q192" s="1060"/>
      <c r="R192" s="1060"/>
      <c r="S192" s="1060"/>
      <c r="T192" s="1060"/>
      <c r="U192" s="1060"/>
      <c r="V192" s="1060"/>
      <c r="W192" s="1060"/>
      <c r="X192" s="1060"/>
      <c r="Y192" s="1060"/>
      <c r="Z192" s="1060"/>
      <c r="AA192" s="1060"/>
      <c r="AB192" s="1060"/>
      <c r="AC192" s="1060"/>
      <c r="AD192" s="1060"/>
      <c r="AE192" s="1060"/>
      <c r="BC192" t="s">
        <v>167</v>
      </c>
      <c r="BH192" t="s">
        <v>168</v>
      </c>
      <c r="BN192" s="30" t="s">
        <v>169</v>
      </c>
      <c r="BT192" t="s">
        <v>170</v>
      </c>
    </row>
    <row r="193" spans="1:73" ht="12.95" customHeight="1">
      <c r="C193" s="29"/>
      <c r="D193" t="s">
        <v>171</v>
      </c>
      <c r="T193" s="1066" t="s">
        <v>71</v>
      </c>
      <c r="U193" s="1060"/>
      <c r="W193" s="41" t="s">
        <v>172</v>
      </c>
      <c r="AA193" s="1278">
        <v>2026</v>
      </c>
      <c r="AB193" s="1063"/>
      <c r="AC193" s="1063"/>
      <c r="BC193" t="s">
        <v>173</v>
      </c>
      <c r="BH193" s="5" t="s">
        <v>174</v>
      </c>
      <c r="BN193" s="30" t="s">
        <v>175</v>
      </c>
      <c r="BT193" t="s">
        <v>176</v>
      </c>
    </row>
    <row r="194" spans="1:73" ht="12.95" customHeight="1">
      <c r="C194" s="29"/>
      <c r="D194" t="s">
        <v>177</v>
      </c>
      <c r="T194" s="1207" t="s">
        <v>71</v>
      </c>
      <c r="U194" s="1063"/>
      <c r="W194" t="s">
        <v>178</v>
      </c>
      <c r="AI194" s="1066" t="s">
        <v>14</v>
      </c>
      <c r="AJ194" s="1060"/>
      <c r="AX194" s="5" t="s">
        <v>155</v>
      </c>
      <c r="BC194" t="s">
        <v>168</v>
      </c>
      <c r="BN194" s="30" t="s">
        <v>179</v>
      </c>
      <c r="BT194" t="s">
        <v>180</v>
      </c>
    </row>
    <row r="195" spans="1:73" ht="12.95" customHeight="1">
      <c r="C195" s="29"/>
      <c r="D195" s="41" t="s">
        <v>181</v>
      </c>
      <c r="T195" s="1207" t="s">
        <v>14</v>
      </c>
      <c r="U195" s="1063"/>
      <c r="X195" s="791" t="s">
        <v>182</v>
      </c>
      <c r="AX195" s="5" t="s">
        <v>183</v>
      </c>
      <c r="BN195" s="30" t="s">
        <v>184</v>
      </c>
      <c r="BT195" t="s">
        <v>185</v>
      </c>
    </row>
    <row r="196" spans="1:73" ht="12.95" customHeight="1">
      <c r="C196" s="29"/>
      <c r="D196" s="5" t="s">
        <v>186</v>
      </c>
      <c r="T196" s="1207" t="s">
        <v>14</v>
      </c>
      <c r="U196" s="1063"/>
      <c r="AK196" s="1322"/>
      <c r="AL196" s="1038"/>
      <c r="AX196" s="41" t="s">
        <v>187</v>
      </c>
      <c r="BN196" s="30" t="s">
        <v>188</v>
      </c>
      <c r="BT196" t="s">
        <v>189</v>
      </c>
    </row>
    <row r="197" spans="1:73" ht="12.95" customHeight="1">
      <c r="C197" s="29"/>
      <c r="D197" s="41" t="s">
        <v>190</v>
      </c>
      <c r="T197" s="1066" t="s">
        <v>14</v>
      </c>
      <c r="U197" s="1060"/>
      <c r="AX197" s="5" t="s">
        <v>191</v>
      </c>
      <c r="BC197" t="s">
        <v>48</v>
      </c>
      <c r="BN197" s="30" t="s">
        <v>192</v>
      </c>
      <c r="BT197" t="s">
        <v>193</v>
      </c>
    </row>
    <row r="198" spans="1:73" ht="12.95" customHeight="1">
      <c r="C198" s="29"/>
      <c r="D198" s="41" t="s">
        <v>194</v>
      </c>
      <c r="W198" s="1237" t="s">
        <v>14</v>
      </c>
      <c r="X198" s="1060"/>
      <c r="AX198" s="5" t="s">
        <v>195</v>
      </c>
      <c r="BC198" s="41" t="s">
        <v>155</v>
      </c>
      <c r="BN198" s="30" t="s">
        <v>196</v>
      </c>
      <c r="BT198" t="s">
        <v>197</v>
      </c>
    </row>
    <row r="199" spans="1:73" ht="12.95" customHeight="1">
      <c r="C199" s="29"/>
      <c r="L199" s="307"/>
      <c r="M199" s="307"/>
      <c r="N199" s="307"/>
      <c r="O199" s="307"/>
      <c r="P199" s="307"/>
      <c r="Q199" s="913" t="s">
        <v>198</v>
      </c>
      <c r="R199" s="1117" t="s">
        <v>199</v>
      </c>
      <c r="S199" s="1060"/>
      <c r="T199" s="1060"/>
      <c r="U199" s="1060"/>
      <c r="V199" s="1060"/>
      <c r="W199" s="1060"/>
      <c r="X199" s="1060"/>
      <c r="Y199" s="1060"/>
      <c r="Z199" s="1060"/>
      <c r="AA199" s="1060"/>
      <c r="AB199" s="1060"/>
      <c r="AH199" s="1"/>
      <c r="AI199" s="1"/>
      <c r="AX199" s="5" t="s">
        <v>200</v>
      </c>
      <c r="BC199" s="41" t="s">
        <v>201</v>
      </c>
      <c r="BN199" s="30" t="s">
        <v>202</v>
      </c>
      <c r="BO199" s="39"/>
      <c r="BP199" s="40"/>
      <c r="BQ199" s="40"/>
      <c r="BR199" s="40"/>
      <c r="BS199" s="40"/>
      <c r="BT199" s="40" t="s">
        <v>203</v>
      </c>
    </row>
    <row r="200" spans="1:73" ht="12.95" customHeight="1">
      <c r="C200" s="29"/>
      <c r="AC200" s="34" t="s">
        <v>204</v>
      </c>
      <c r="AD200" s="969" t="s">
        <v>205</v>
      </c>
      <c r="AH200" s="1"/>
      <c r="AI200" s="1"/>
      <c r="AX200" s="41" t="s">
        <v>206</v>
      </c>
      <c r="BC200" s="5" t="s">
        <v>207</v>
      </c>
      <c r="BN200" s="264" t="s">
        <v>208</v>
      </c>
      <c r="BO200" s="21"/>
      <c r="BP200" s="40"/>
      <c r="BQ200" s="40"/>
      <c r="BR200" s="40"/>
      <c r="BS200" s="40"/>
      <c r="BT200" s="40" t="s">
        <v>47</v>
      </c>
    </row>
    <row r="201" spans="1:73" ht="12.95" customHeight="1">
      <c r="C201" s="29"/>
      <c r="AX201" s="41" t="s">
        <v>209</v>
      </c>
      <c r="BC201" s="41" t="s">
        <v>210</v>
      </c>
      <c r="BN201" s="30" t="s">
        <v>211</v>
      </c>
      <c r="BO201" s="21"/>
      <c r="BP201" s="40"/>
      <c r="BQ201" s="40"/>
      <c r="BR201" s="40"/>
      <c r="BS201" s="40"/>
      <c r="BT201" s="40" t="s">
        <v>212</v>
      </c>
    </row>
    <row r="202" spans="1:73" ht="12.95" customHeight="1">
      <c r="A202" s="3" t="s">
        <v>213</v>
      </c>
      <c r="C202" s="3" t="s">
        <v>214</v>
      </c>
      <c r="AX202" s="5" t="s">
        <v>215</v>
      </c>
      <c r="BC202" t="s">
        <v>216</v>
      </c>
      <c r="BN202" s="30" t="s">
        <v>217</v>
      </c>
      <c r="BT202" s="40" t="s">
        <v>218</v>
      </c>
      <c r="BU202" s="21"/>
    </row>
    <row r="203" spans="1:73" ht="12.95" customHeight="1">
      <c r="D203" s="1127" t="str">
        <f>IF(AND(M25&gt;0,M27&gt;0),"Federal and State","Federal Only")</f>
        <v>Federal Only</v>
      </c>
      <c r="E203" s="1093"/>
      <c r="F203" s="1093"/>
      <c r="G203" s="1093"/>
      <c r="H203" s="1093"/>
      <c r="I203" s="1093"/>
      <c r="J203" s="1093"/>
      <c r="K203" s="1093"/>
      <c r="L203" s="1093"/>
      <c r="M203" s="1093"/>
      <c r="P203" s="1259">
        <f>M25</f>
        <v>2500000</v>
      </c>
      <c r="Q203" s="1093"/>
      <c r="R203" s="1093"/>
      <c r="S203" s="1093"/>
      <c r="T203" s="1093"/>
      <c r="U203" s="1093"/>
      <c r="W203" s="1259">
        <f>M27</f>
        <v>0</v>
      </c>
      <c r="X203" s="1093"/>
      <c r="Y203" s="1093"/>
      <c r="Z203" s="1093"/>
      <c r="AA203" s="1093"/>
      <c r="AB203" s="1093"/>
      <c r="AV203" t="s">
        <v>155</v>
      </c>
      <c r="AX203" s="5" t="s">
        <v>173</v>
      </c>
      <c r="BC203" t="s">
        <v>219</v>
      </c>
      <c r="BN203" s="30" t="s">
        <v>220</v>
      </c>
      <c r="BT203" s="40" t="s">
        <v>221</v>
      </c>
      <c r="BU203" s="21"/>
    </row>
    <row r="204" spans="1:73" ht="12.95" customHeight="1">
      <c r="C204" s="29"/>
      <c r="P204" s="1136" t="s">
        <v>222</v>
      </c>
      <c r="Q204" s="1073"/>
      <c r="R204" s="1073"/>
      <c r="S204" s="1073"/>
      <c r="T204" s="1073"/>
      <c r="U204" s="1073"/>
      <c r="V204" s="36"/>
      <c r="W204" s="1136" t="s">
        <v>223</v>
      </c>
      <c r="X204" s="1073"/>
      <c r="Y204" s="1073"/>
      <c r="Z204" s="1073"/>
      <c r="AA204" s="1073"/>
      <c r="AB204" s="1073"/>
      <c r="AV204" t="s">
        <v>71</v>
      </c>
      <c r="AX204" s="5" t="s">
        <v>167</v>
      </c>
      <c r="BC204" t="s">
        <v>224</v>
      </c>
      <c r="BN204" s="30" t="s">
        <v>225</v>
      </c>
      <c r="BT204" s="40" t="s">
        <v>226</v>
      </c>
      <c r="BU204" s="21"/>
    </row>
    <row r="205" spans="1:73" ht="12.95" customHeight="1" thickBot="1">
      <c r="D205" s="462" t="s">
        <v>227</v>
      </c>
      <c r="E205" s="37"/>
      <c r="F205" s="37"/>
      <c r="G205" s="37"/>
      <c r="H205" s="37"/>
      <c r="I205" s="37"/>
      <c r="J205" s="37"/>
      <c r="K205" s="37"/>
      <c r="L205" s="37"/>
      <c r="M205" s="37"/>
      <c r="N205" s="37"/>
      <c r="O205" s="37"/>
      <c r="P205" s="37"/>
      <c r="AV205" t="s">
        <v>14</v>
      </c>
      <c r="AX205" s="5" t="s">
        <v>228</v>
      </c>
      <c r="BC205" t="s">
        <v>229</v>
      </c>
      <c r="BN205" s="30" t="s">
        <v>230</v>
      </c>
      <c r="BT205" s="40" t="s">
        <v>231</v>
      </c>
    </row>
    <row r="206" spans="1:73" ht="12.95" customHeight="1">
      <c r="X206" s="794"/>
      <c r="Y206" s="795"/>
      <c r="Z206" s="795"/>
      <c r="AA206" s="795"/>
      <c r="AB206" s="795"/>
      <c r="AC206" s="795"/>
      <c r="AD206" s="795"/>
      <c r="AE206" s="795"/>
      <c r="AF206" s="795"/>
      <c r="AG206" s="795"/>
      <c r="AH206" s="795"/>
      <c r="AI206" s="795"/>
      <c r="AJ206" s="795"/>
      <c r="AK206" s="796"/>
      <c r="BC206" t="s">
        <v>232</v>
      </c>
      <c r="BN206" s="30" t="s">
        <v>233</v>
      </c>
      <c r="BT206" s="40" t="s">
        <v>234</v>
      </c>
    </row>
    <row r="207" spans="1:73" ht="12.95" customHeight="1">
      <c r="A207" s="3" t="s">
        <v>235</v>
      </c>
      <c r="C207" s="3" t="s">
        <v>236</v>
      </c>
      <c r="X207" s="797"/>
      <c r="Y207" s="906"/>
      <c r="Z207" s="798"/>
      <c r="AA207" s="798"/>
      <c r="AB207" s="798"/>
      <c r="AC207" s="798"/>
      <c r="AD207" s="798"/>
      <c r="AE207" s="798"/>
      <c r="AF207" s="798"/>
      <c r="AG207" s="798"/>
      <c r="AH207" s="798"/>
      <c r="AI207" s="798"/>
      <c r="AJ207" s="798"/>
      <c r="AK207" s="799"/>
      <c r="BC207" s="178" t="s">
        <v>237</v>
      </c>
      <c r="BN207" s="30" t="s">
        <v>238</v>
      </c>
      <c r="BT207" s="40" t="s">
        <v>239</v>
      </c>
    </row>
    <row r="208" spans="1:73" ht="12.95" customHeight="1">
      <c r="C208" s="29"/>
      <c r="D208" s="1061" t="s">
        <v>240</v>
      </c>
      <c r="E208" s="1060"/>
      <c r="F208" s="1060"/>
      <c r="G208" s="1060"/>
      <c r="H208" s="1060"/>
      <c r="I208" s="1060"/>
      <c r="J208" s="1060"/>
      <c r="K208" s="1060"/>
      <c r="L208" s="1060"/>
      <c r="M208" s="1060"/>
      <c r="X208" s="797"/>
      <c r="Y208" s="907"/>
      <c r="Z208" s="798"/>
      <c r="AA208" s="798"/>
      <c r="AB208" s="798"/>
      <c r="AC208" s="798"/>
      <c r="AD208" s="798"/>
      <c r="AE208" s="798"/>
      <c r="AF208" s="798"/>
      <c r="AG208" s="798"/>
      <c r="AH208" s="798"/>
      <c r="AI208" s="798"/>
      <c r="AJ208" s="798"/>
      <c r="AK208" s="799"/>
      <c r="BC208" t="s">
        <v>241</v>
      </c>
      <c r="BN208" s="30" t="s">
        <v>242</v>
      </c>
      <c r="BT208" s="40" t="s">
        <v>243</v>
      </c>
    </row>
    <row r="209" spans="1:72" ht="12.95" customHeight="1">
      <c r="C209" s="12"/>
      <c r="X209" s="797"/>
      <c r="Y209" s="907"/>
      <c r="Z209" s="798"/>
      <c r="AA209" s="798"/>
      <c r="AB209" s="798"/>
      <c r="AC209" s="798"/>
      <c r="AD209" s="798"/>
      <c r="AE209" s="798"/>
      <c r="AF209" s="798"/>
      <c r="AG209" s="798"/>
      <c r="AH209" s="798"/>
      <c r="AI209" s="798"/>
      <c r="AJ209" s="798"/>
      <c r="AK209" s="799"/>
      <c r="BC209" t="s">
        <v>244</v>
      </c>
      <c r="BN209" s="30" t="s">
        <v>245</v>
      </c>
      <c r="BT209" s="40" t="s">
        <v>246</v>
      </c>
    </row>
    <row r="210" spans="1:72" ht="12.95" customHeight="1">
      <c r="A210" s="3" t="s">
        <v>247</v>
      </c>
      <c r="C210" s="3" t="s">
        <v>248</v>
      </c>
      <c r="X210" s="797"/>
      <c r="Y210" s="907"/>
      <c r="Z210" s="798"/>
      <c r="AA210" s="798"/>
      <c r="AB210" s="798"/>
      <c r="AC210" s="798"/>
      <c r="AD210" s="798"/>
      <c r="AE210" s="798"/>
      <c r="AF210" s="798"/>
      <c r="AG210" s="798"/>
      <c r="AH210" s="798"/>
      <c r="AI210" s="798"/>
      <c r="AJ210" s="798"/>
      <c r="AK210" s="799"/>
      <c r="BC210" t="s">
        <v>249</v>
      </c>
      <c r="BN210" s="30" t="s">
        <v>250</v>
      </c>
      <c r="BT210" s="40" t="s">
        <v>251</v>
      </c>
    </row>
    <row r="211" spans="1:72" ht="12.95" customHeight="1">
      <c r="C211" s="29"/>
      <c r="D211" s="1117" t="s">
        <v>155</v>
      </c>
      <c r="E211" s="1060"/>
      <c r="F211" s="1060"/>
      <c r="G211" s="1060"/>
      <c r="H211" s="1060"/>
      <c r="I211" s="1060"/>
      <c r="J211" s="1060"/>
      <c r="K211" s="1060"/>
      <c r="L211" s="1060"/>
      <c r="M211" s="1060"/>
      <c r="N211" s="1060"/>
      <c r="O211" s="1060"/>
      <c r="P211" s="1060"/>
      <c r="X211" s="797"/>
      <c r="Y211" s="1177" t="s">
        <v>14</v>
      </c>
      <c r="Z211" s="1093"/>
      <c r="AA211" s="798"/>
      <c r="AB211" s="798"/>
      <c r="AC211" s="798"/>
      <c r="AD211" s="798"/>
      <c r="AE211" s="798"/>
      <c r="AF211" s="798"/>
      <c r="AG211" s="798"/>
      <c r="AH211" s="798"/>
      <c r="AI211" s="798"/>
      <c r="AJ211" s="798"/>
      <c r="AK211" s="799"/>
      <c r="BN211" s="30" t="s">
        <v>252</v>
      </c>
      <c r="BT211" s="40" t="s">
        <v>253</v>
      </c>
    </row>
    <row r="212" spans="1:72" ht="12.95" customHeight="1" thickBot="1">
      <c r="X212" s="802"/>
      <c r="Y212" s="800"/>
      <c r="Z212" s="800"/>
      <c r="AA212" s="800"/>
      <c r="AB212" s="800"/>
      <c r="AC212" s="800"/>
      <c r="AD212" s="800"/>
      <c r="AE212" s="800"/>
      <c r="AF212" s="800"/>
      <c r="AG212" s="800"/>
      <c r="AH212" s="800"/>
      <c r="AI212" s="800"/>
      <c r="AJ212" s="800"/>
      <c r="AK212" s="801"/>
      <c r="AX212" t="s">
        <v>48</v>
      </c>
      <c r="BC212" t="s">
        <v>48</v>
      </c>
      <c r="BN212" s="30" t="s">
        <v>254</v>
      </c>
      <c r="BT212" s="40" t="s">
        <v>255</v>
      </c>
    </row>
    <row r="213" spans="1:72" ht="12.95" customHeight="1">
      <c r="A213" s="3" t="s">
        <v>256</v>
      </c>
      <c r="C213" s="3" t="s">
        <v>257</v>
      </c>
      <c r="AX213" t="s">
        <v>258</v>
      </c>
      <c r="BC213" t="s">
        <v>259</v>
      </c>
      <c r="BN213" s="30" t="s">
        <v>260</v>
      </c>
      <c r="BT213" s="40" t="s">
        <v>261</v>
      </c>
    </row>
    <row r="214" spans="1:72" ht="12.95" customHeight="1">
      <c r="C214" s="29"/>
      <c r="D214" s="1265" t="s">
        <v>164</v>
      </c>
      <c r="E214" s="1060"/>
      <c r="F214" s="1060"/>
      <c r="G214" s="1060"/>
      <c r="H214" s="1060"/>
      <c r="I214" s="1060"/>
      <c r="J214" s="1060"/>
      <c r="AX214" t="s">
        <v>199</v>
      </c>
      <c r="BC214" t="s">
        <v>263</v>
      </c>
      <c r="BN214" s="30" t="s">
        <v>264</v>
      </c>
      <c r="BT214" s="40" t="s">
        <v>265</v>
      </c>
    </row>
    <row r="215" spans="1:72" ht="12.95" customHeight="1">
      <c r="D215" s="35"/>
      <c r="E215" s="41" t="s">
        <v>266</v>
      </c>
      <c r="S215" s="1331">
        <v>0</v>
      </c>
      <c r="T215" s="1060"/>
      <c r="V215" s="1250">
        <f>IFERROR(S215/AG441,"")</f>
        <v>0</v>
      </c>
      <c r="W215" s="974"/>
      <c r="AX215" t="s">
        <v>267</v>
      </c>
      <c r="BC215" t="s">
        <v>268</v>
      </c>
    </row>
    <row r="216" spans="1:72" ht="12.95" customHeight="1">
      <c r="D216" s="35"/>
      <c r="E216" s="929" t="s">
        <v>269</v>
      </c>
      <c r="AX216" t="s">
        <v>270</v>
      </c>
      <c r="BC216" t="s">
        <v>271</v>
      </c>
    </row>
    <row r="217" spans="1:72" ht="12.95" customHeight="1">
      <c r="E217" s="1283" t="s">
        <v>155</v>
      </c>
      <c r="F217" s="1038"/>
      <c r="G217" s="1038"/>
      <c r="H217" s="1038"/>
      <c r="I217" s="1038"/>
      <c r="J217" s="1038"/>
      <c r="K217" s="1038"/>
      <c r="L217" s="1038"/>
      <c r="M217" s="1038"/>
      <c r="N217" s="1038"/>
      <c r="O217" s="1038"/>
      <c r="P217" s="1038"/>
      <c r="Q217" s="1038"/>
      <c r="R217" s="1038"/>
      <c r="S217" s="1038"/>
      <c r="T217" s="1038"/>
      <c r="U217" s="1038"/>
      <c r="V217" s="1038"/>
      <c r="W217" s="1038"/>
      <c r="X217" s="1038"/>
      <c r="Y217" s="1038"/>
      <c r="Z217" s="1038"/>
      <c r="AA217" s="49"/>
      <c r="AB217" s="49"/>
      <c r="AC217" s="49"/>
      <c r="AD217" s="49"/>
      <c r="AE217" s="49"/>
      <c r="AF217" s="49"/>
      <c r="AX217" s="41" t="s">
        <v>272</v>
      </c>
      <c r="BC217" t="s">
        <v>273</v>
      </c>
    </row>
    <row r="218" spans="1:72" ht="12.95" customHeight="1">
      <c r="E218" s="41" t="s">
        <v>274</v>
      </c>
      <c r="AA218" s="49"/>
      <c r="AC218" s="1145"/>
      <c r="AD218" s="1060"/>
      <c r="AE218" s="1060"/>
      <c r="AF218" s="1060"/>
      <c r="AG218" s="1060"/>
      <c r="AH218" s="1060"/>
      <c r="AI218" s="1060"/>
      <c r="AJ218" s="1060"/>
      <c r="AK218" s="1060"/>
      <c r="AL218" s="1060"/>
      <c r="AM218" s="1060"/>
      <c r="BC218" t="s">
        <v>275</v>
      </c>
      <c r="BI218" s="39"/>
    </row>
    <row r="219" spans="1:72" ht="12.95" customHeight="1">
      <c r="E219" s="41" t="s">
        <v>276</v>
      </c>
      <c r="AA219" s="49"/>
      <c r="AC219" s="1145"/>
      <c r="AD219" s="1060"/>
      <c r="AE219" s="1060"/>
      <c r="AF219" s="1060"/>
      <c r="AG219" s="1060"/>
      <c r="AH219" s="1060"/>
      <c r="AI219" s="1060"/>
      <c r="AJ219" s="1060"/>
      <c r="AK219" s="1060"/>
      <c r="AL219" s="1060"/>
      <c r="AM219" s="1060"/>
      <c r="BC219" t="s">
        <v>277</v>
      </c>
      <c r="BI219" s="21"/>
    </row>
    <row r="220" spans="1:72" s="21" customFormat="1" ht="12.95" customHeight="1">
      <c r="AJ220" s="5"/>
      <c r="AM220" s="38"/>
      <c r="AN220" s="38"/>
      <c r="BC220" t="s">
        <v>278</v>
      </c>
    </row>
    <row r="221" spans="1:72" s="21" customFormat="1" ht="12.95" customHeight="1">
      <c r="A221" s="3" t="s">
        <v>279</v>
      </c>
      <c r="C221" s="3" t="s">
        <v>280</v>
      </c>
      <c r="AM221" s="38"/>
      <c r="AN221" s="38"/>
    </row>
    <row r="222" spans="1:72" s="21" customFormat="1" ht="12.95" customHeight="1">
      <c r="D222" t="s">
        <v>281</v>
      </c>
      <c r="AM222" s="38"/>
      <c r="AN222" s="38"/>
    </row>
    <row r="223" spans="1:72" ht="12.95" customHeight="1">
      <c r="A223" s="21"/>
      <c r="D223" s="1117" t="s">
        <v>282</v>
      </c>
      <c r="E223" s="1060"/>
      <c r="F223" s="1060"/>
      <c r="G223" s="1060"/>
      <c r="H223" s="1060"/>
      <c r="I223" s="1060"/>
      <c r="J223" s="1060"/>
      <c r="K223" s="1060"/>
      <c r="L223" s="1060"/>
      <c r="M223" s="1060"/>
      <c r="N223" s="1060"/>
      <c r="O223" s="1060"/>
      <c r="P223" s="1060"/>
      <c r="Q223" s="1060"/>
      <c r="R223" s="1060"/>
      <c r="S223" s="1060"/>
      <c r="T223" s="1060"/>
      <c r="U223" s="1060"/>
      <c r="V223" s="1060"/>
      <c r="W223" s="1060"/>
      <c r="X223" s="1060"/>
      <c r="Y223" s="1060"/>
      <c r="Z223" s="1060"/>
      <c r="AA223" s="1060"/>
      <c r="AB223" s="1060"/>
      <c r="AC223" s="1060"/>
      <c r="AD223" s="1060"/>
      <c r="AE223" s="1060"/>
      <c r="AF223" s="1060"/>
      <c r="AG223" s="1060"/>
      <c r="AH223" s="1060"/>
      <c r="AI223" s="1060"/>
      <c r="AJ223" s="21"/>
      <c r="AK223" s="21"/>
      <c r="AL223" s="21"/>
    </row>
    <row r="224" spans="1:72" ht="12.95" customHeight="1">
      <c r="AJ224" s="5"/>
    </row>
    <row r="225" spans="1:59" ht="12.95" customHeight="1">
      <c r="D225" t="s">
        <v>283</v>
      </c>
      <c r="O225" s="1066" t="s">
        <v>284</v>
      </c>
      <c r="P225" s="1060"/>
    </row>
    <row r="226" spans="1:59" ht="12.95" customHeight="1">
      <c r="D226" t="s">
        <v>285</v>
      </c>
      <c r="O226" s="1066" t="s">
        <v>286</v>
      </c>
      <c r="P226" s="1060"/>
      <c r="BB226" s="5" t="s">
        <v>287</v>
      </c>
      <c r="BG226" s="407">
        <f>IF(AND(AND($M$251="for profit",$M$259="for profit",$M$267="nonprofit")),2,0)</f>
        <v>0</v>
      </c>
    </row>
    <row r="227" spans="1:59" ht="12.95" customHeight="1">
      <c r="D227" t="s">
        <v>288</v>
      </c>
      <c r="O227" s="1066" t="s">
        <v>289</v>
      </c>
      <c r="P227" s="1060"/>
      <c r="BB227" s="5" t="s">
        <v>287</v>
      </c>
      <c r="BG227" s="407">
        <f>IF(AND(AND($M$251="for profit",$M$259="nonprofit",$M$267="for profit")),2,0)</f>
        <v>0</v>
      </c>
    </row>
    <row r="228" spans="1:59" ht="12.95" customHeight="1">
      <c r="D228" t="s">
        <v>204</v>
      </c>
      <c r="BB228" t="s">
        <v>287</v>
      </c>
      <c r="BG228" s="407">
        <f>IF(AND(AND($M$251="nonprofit",$M$259="for profit",$M$267="for profit")),2,0)</f>
        <v>0</v>
      </c>
    </row>
    <row r="229" spans="1:59" ht="12.95" customHeight="1">
      <c r="D229" s="357" t="s">
        <v>290</v>
      </c>
      <c r="U229" s="357" t="s">
        <v>291</v>
      </c>
      <c r="BB229" t="s">
        <v>287</v>
      </c>
      <c r="BG229" s="407">
        <f>IF(AND(AND($M$251="for profit",$M$259="nonprofit",$M$267="(select one)")),2,0)</f>
        <v>0</v>
      </c>
    </row>
    <row r="230" spans="1:59" ht="12.95" customHeight="1">
      <c r="BB230" t="s">
        <v>287</v>
      </c>
      <c r="BG230" s="408">
        <f>IF(AND(AND($M$251="nonprofit",$M$259="for profit",$M$267="(select one)")),2,0)</f>
        <v>2</v>
      </c>
    </row>
    <row r="231" spans="1:59" ht="12.95" customHeight="1">
      <c r="A231" s="1150" t="s">
        <v>292</v>
      </c>
      <c r="B231" s="976"/>
      <c r="C231" s="1113"/>
      <c r="D231" s="976"/>
      <c r="E231" s="976"/>
      <c r="F231" s="976"/>
      <c r="G231" s="976"/>
      <c r="H231" s="976"/>
      <c r="I231" s="976"/>
      <c r="J231" s="976"/>
      <c r="K231" s="976"/>
      <c r="L231" s="976"/>
      <c r="M231" s="976"/>
      <c r="N231" s="976"/>
      <c r="O231" s="976"/>
      <c r="P231" s="976"/>
      <c r="Q231" s="976"/>
      <c r="R231" s="976"/>
      <c r="S231" s="976"/>
      <c r="T231" s="976"/>
      <c r="U231" s="976"/>
      <c r="V231" s="976"/>
      <c r="W231" s="976"/>
      <c r="X231" s="976"/>
      <c r="Y231" s="976"/>
      <c r="Z231" s="976"/>
      <c r="AA231" s="976"/>
      <c r="AB231" s="976"/>
      <c r="AC231" s="976"/>
      <c r="AD231" s="976"/>
      <c r="AE231" s="976"/>
      <c r="AF231" s="976"/>
      <c r="AG231" s="976"/>
      <c r="AH231" s="976"/>
      <c r="AI231" s="976"/>
      <c r="AJ231" s="976"/>
      <c r="AK231" s="976"/>
      <c r="AL231" s="976"/>
      <c r="AM231" s="976"/>
      <c r="AN231" s="976"/>
      <c r="AO231" s="976"/>
      <c r="AP231" s="976"/>
      <c r="AQ231" s="976"/>
      <c r="AR231" s="976"/>
      <c r="AS231" s="976"/>
      <c r="AT231" s="976"/>
    </row>
    <row r="232" spans="1:59" ht="12.95" customHeight="1">
      <c r="A232" s="976"/>
      <c r="B232" s="976"/>
      <c r="C232" s="1113"/>
      <c r="D232" s="976"/>
      <c r="E232" s="976"/>
      <c r="F232" s="976"/>
      <c r="G232" s="976"/>
      <c r="H232" s="976"/>
      <c r="I232" s="976"/>
      <c r="J232" s="976"/>
      <c r="K232" s="976"/>
      <c r="L232" s="976"/>
      <c r="M232" s="976"/>
      <c r="N232" s="976"/>
      <c r="O232" s="976"/>
      <c r="P232" s="976"/>
      <c r="Q232" s="976"/>
      <c r="R232" s="976"/>
      <c r="S232" s="976"/>
      <c r="T232" s="976"/>
      <c r="U232" s="976"/>
      <c r="V232" s="976"/>
      <c r="W232" s="976"/>
      <c r="X232" s="976"/>
      <c r="Y232" s="976"/>
      <c r="Z232" s="976"/>
      <c r="AA232" s="976"/>
      <c r="AB232" s="976"/>
      <c r="AC232" s="976"/>
      <c r="AD232" s="976"/>
      <c r="AE232" s="976"/>
      <c r="AF232" s="976"/>
      <c r="AG232" s="976"/>
      <c r="AH232" s="976"/>
      <c r="AI232" s="976"/>
      <c r="AJ232" s="976"/>
      <c r="AK232" s="976"/>
      <c r="AL232" s="976"/>
      <c r="AM232" s="976"/>
      <c r="AN232" s="976"/>
      <c r="AO232" s="976"/>
      <c r="AP232" s="976"/>
      <c r="AQ232" s="976"/>
      <c r="AR232" s="976"/>
      <c r="AS232" s="976"/>
      <c r="AT232" s="976"/>
      <c r="BB232" s="3" t="s">
        <v>287</v>
      </c>
      <c r="BC232" s="3"/>
      <c r="BD232" s="3"/>
      <c r="BE232" s="3"/>
      <c r="BF232" s="3"/>
      <c r="BG232" s="191">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287</v>
      </c>
      <c r="BC233" s="3"/>
      <c r="BD233" s="3"/>
      <c r="BE233" s="3"/>
      <c r="BF233" s="3"/>
      <c r="BG233" s="191">
        <f>IF(AND(AND($M$251="nonprofit",$M$259="for profit",$M$267="nonprofit")),2,0)</f>
        <v>0</v>
      </c>
    </row>
    <row r="234" spans="1:59" ht="12.95" customHeight="1">
      <c r="A234" s="3" t="s">
        <v>97</v>
      </c>
      <c r="B234" s="5"/>
      <c r="C234" s="3" t="s">
        <v>293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287</v>
      </c>
      <c r="BC234" s="3"/>
      <c r="BD234" s="3"/>
      <c r="BE234" s="3"/>
      <c r="BF234" s="3"/>
      <c r="BG234" s="89">
        <f>IF(AND(AND($M$251="for profit",$M$259="nonprofit",$M$267="nonprofit")),2,0)</f>
        <v>0</v>
      </c>
    </row>
    <row r="235" spans="1:59" ht="12.95" customHeight="1">
      <c r="D235" s="5" t="s">
        <v>294</v>
      </c>
      <c r="E235" s="5"/>
      <c r="F235" s="5"/>
      <c r="G235" s="5"/>
      <c r="H235" s="5"/>
      <c r="I235" s="5"/>
      <c r="J235" s="5"/>
      <c r="K235" s="5"/>
      <c r="M235" s="1236" t="str">
        <f>H15</f>
        <v>Santa Cruz Pacific Avenue LP</v>
      </c>
      <c r="N235" s="1093"/>
      <c r="O235" s="1093"/>
      <c r="P235" s="1093"/>
      <c r="Q235" s="1093"/>
      <c r="R235" s="1093"/>
      <c r="S235" s="1093"/>
      <c r="T235" s="1093"/>
      <c r="U235" s="1093"/>
      <c r="V235" s="1093"/>
      <c r="W235" s="1093"/>
      <c r="X235" s="1093"/>
      <c r="Y235" s="1093"/>
      <c r="Z235" s="1093"/>
      <c r="AA235" s="1093"/>
      <c r="AB235" s="1093"/>
      <c r="AC235" s="1093"/>
      <c r="AD235" s="1093"/>
      <c r="AE235" s="1093"/>
      <c r="AF235" s="1093"/>
      <c r="AG235" s="1093"/>
      <c r="AH235" s="1093"/>
      <c r="AI235" s="1093"/>
      <c r="AJ235" s="1093"/>
      <c r="AK235" s="1093"/>
      <c r="BB235" s="3"/>
      <c r="BG235" s="5"/>
    </row>
    <row r="236" spans="1:59" ht="12.95" customHeight="1">
      <c r="D236" s="5" t="s">
        <v>295</v>
      </c>
      <c r="E236" s="5"/>
      <c r="F236" s="5"/>
      <c r="G236" s="5"/>
      <c r="H236" s="5"/>
      <c r="I236" s="5"/>
      <c r="J236" s="5"/>
      <c r="K236" s="5"/>
      <c r="M236" s="1061" t="s">
        <v>296</v>
      </c>
      <c r="N236" s="1060"/>
      <c r="O236" s="1060"/>
      <c r="P236" s="1060"/>
      <c r="Q236" s="1060"/>
      <c r="R236" s="1060"/>
      <c r="S236" s="1060"/>
      <c r="T236" s="1060"/>
      <c r="U236" s="1060"/>
      <c r="V236" s="1060"/>
      <c r="W236" s="1060"/>
      <c r="X236" s="1060"/>
      <c r="Y236" s="1060"/>
      <c r="Z236" s="1060"/>
      <c r="AA236" s="1060"/>
      <c r="AB236" s="1060"/>
      <c r="AC236" s="1060"/>
      <c r="AD236" s="1060"/>
      <c r="AE236" s="1060"/>
      <c r="AM236" s="41"/>
      <c r="AN236" s="41"/>
      <c r="BB236" t="s">
        <v>297</v>
      </c>
      <c r="BG236" s="407">
        <f>IF(AND(AND($M$251="nonprofit",$M$259="nonprofit",$M$267="nonprofit")),1,0)</f>
        <v>0</v>
      </c>
    </row>
    <row r="237" spans="1:59" ht="12.95" customHeight="1">
      <c r="D237" s="5" t="s">
        <v>153</v>
      </c>
      <c r="E237" s="5"/>
      <c r="M237" s="1061" t="s">
        <v>40</v>
      </c>
      <c r="N237" s="1060"/>
      <c r="O237" s="1060"/>
      <c r="P237" s="1060"/>
      <c r="Q237" s="1060"/>
      <c r="R237" s="1060"/>
      <c r="S237" s="1060"/>
      <c r="T237" s="1060"/>
      <c r="V237" s="42" t="s">
        <v>298</v>
      </c>
      <c r="W237" s="1112" t="s">
        <v>299</v>
      </c>
      <c r="X237" s="1063"/>
      <c r="Y237" s="5" t="s">
        <v>158</v>
      </c>
      <c r="AC237" s="1061" t="s">
        <v>300</v>
      </c>
      <c r="AD237" s="1060"/>
      <c r="AE237" s="1060"/>
      <c r="AN237" s="41"/>
      <c r="BB237" t="s">
        <v>297</v>
      </c>
      <c r="BG237" s="407">
        <f>IF(AND(AND($M$251="nonprofit",$M$259="nonprofit",$M$267="(select one)")),1,0)</f>
        <v>0</v>
      </c>
    </row>
    <row r="238" spans="1:59" ht="12.95" customHeight="1">
      <c r="D238" s="5" t="s">
        <v>301</v>
      </c>
      <c r="E238" s="5"/>
      <c r="F238" s="5"/>
      <c r="G238" s="5"/>
      <c r="H238" s="5"/>
      <c r="I238" s="5"/>
      <c r="J238" s="5"/>
      <c r="K238" s="28"/>
      <c r="M238" s="1061" t="s">
        <v>302</v>
      </c>
      <c r="N238" s="1060"/>
      <c r="O238" s="1060"/>
      <c r="P238" s="1060"/>
      <c r="Q238" s="1060"/>
      <c r="R238" s="1060"/>
      <c r="S238" s="1060"/>
      <c r="T238" s="1060"/>
      <c r="U238" s="1060"/>
      <c r="V238" s="1060"/>
      <c r="W238" s="1060"/>
      <c r="X238" s="1060"/>
      <c r="Y238" s="1060"/>
      <c r="Z238" s="1060"/>
      <c r="AA238" s="1060"/>
      <c r="AB238" s="1060"/>
      <c r="AC238" s="1060"/>
      <c r="AD238" s="1060"/>
      <c r="AE238" s="1060"/>
      <c r="AI238" s="5"/>
      <c r="AJ238" s="5"/>
      <c r="AK238" s="5"/>
      <c r="AL238" s="5"/>
      <c r="AN238" s="41"/>
      <c r="BB238" t="s">
        <v>297</v>
      </c>
      <c r="BG238" s="407">
        <f>IF(AND(AND($M$251="nonprofit",$M$259="(select one)",$M$267="(select one)")),1,0)</f>
        <v>0</v>
      </c>
    </row>
    <row r="239" spans="1:59" ht="12.95" customHeight="1">
      <c r="D239" s="5" t="s">
        <v>303</v>
      </c>
      <c r="E239" s="5"/>
      <c r="F239" s="5"/>
      <c r="M239" s="1084" t="s">
        <v>304</v>
      </c>
      <c r="N239" s="1063"/>
      <c r="O239" s="1063"/>
      <c r="P239" s="1063"/>
      <c r="Q239" s="1063"/>
      <c r="R239" s="1063"/>
      <c r="S239" s="5" t="s">
        <v>305</v>
      </c>
      <c r="T239" s="5"/>
      <c r="U239" s="1112"/>
      <c r="V239" s="1063"/>
      <c r="W239" s="1063"/>
      <c r="X239" s="5" t="s">
        <v>306</v>
      </c>
      <c r="Z239" s="1084"/>
      <c r="AA239" s="1063"/>
      <c r="AB239" s="1063"/>
      <c r="AC239" s="1063"/>
      <c r="AD239" s="1063"/>
      <c r="AE239" s="1063"/>
      <c r="AM239" s="41"/>
      <c r="AN239" s="41"/>
      <c r="BB239" t="s">
        <v>307</v>
      </c>
      <c r="BG239" s="407">
        <f>IF(AND(AND($M$251="for profit",$M$259="for profit",$M$267="for profit")),3,0)</f>
        <v>0</v>
      </c>
    </row>
    <row r="240" spans="1:59" ht="12.95" customHeight="1">
      <c r="D240" s="5" t="s">
        <v>308</v>
      </c>
      <c r="E240" s="5"/>
      <c r="F240" s="5"/>
      <c r="M240" s="1217" t="s">
        <v>309</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307</v>
      </c>
      <c r="BG240" s="408">
        <f>IF(AND(AND($M$251="for profit",$M$259="for profit",$M$267="(select one)")),3,0)</f>
        <v>0</v>
      </c>
    </row>
    <row r="241" spans="1:67" ht="12.95" customHeight="1">
      <c r="A241" s="3" t="s">
        <v>133</v>
      </c>
      <c r="C241" s="3" t="s">
        <v>310</v>
      </c>
      <c r="M241" s="1068" t="s">
        <v>273</v>
      </c>
      <c r="N241" s="1063"/>
      <c r="O241" s="1063"/>
      <c r="P241" s="1063"/>
      <c r="Q241" s="1063"/>
      <c r="R241" s="1063"/>
      <c r="S241" s="1063"/>
      <c r="T241" s="1063"/>
      <c r="U241" s="5" t="s">
        <v>311</v>
      </c>
      <c r="AA241" s="1114"/>
      <c r="AB241" s="1060"/>
      <c r="AC241" s="1060"/>
      <c r="AD241" s="1060"/>
      <c r="AE241" s="1060"/>
      <c r="AF241" s="1060"/>
      <c r="AG241" s="1060"/>
      <c r="AH241" s="1060"/>
      <c r="AI241" s="1060"/>
      <c r="AJ241" s="1060"/>
      <c r="AK241" s="1060"/>
      <c r="AL241" s="41"/>
      <c r="AM241" s="5"/>
      <c r="AN241" s="41"/>
      <c r="AO241" s="41"/>
      <c r="BB241" t="s">
        <v>307</v>
      </c>
      <c r="BG241" s="408">
        <f>IF(AND(AND($M$251="for profit",$M$259="(select one)",$M$267="(select one)")),3,0)</f>
        <v>0</v>
      </c>
    </row>
    <row r="242" spans="1:67" ht="12.95" customHeight="1">
      <c r="D242" t="s">
        <v>312</v>
      </c>
      <c r="M242" s="1117"/>
      <c r="N242" s="1060"/>
      <c r="O242" s="1060"/>
      <c r="P242" s="1060"/>
      <c r="Q242" s="1060"/>
      <c r="R242" s="1060"/>
      <c r="S242" s="1060"/>
      <c r="T242" s="1060"/>
      <c r="U242" s="1060"/>
      <c r="V242" s="1060"/>
      <c r="W242" s="1060"/>
      <c r="X242" s="1060"/>
      <c r="Y242" s="1060"/>
      <c r="Z242" s="1060"/>
      <c r="AA242" s="1060"/>
      <c r="AB242" s="1060"/>
      <c r="AC242" s="1060"/>
      <c r="AD242" s="1060"/>
      <c r="AE242" s="1060"/>
      <c r="AF242" s="930" t="str">
        <f>IF(AND(M241="other",M242=""),"!","")</f>
        <v/>
      </c>
      <c r="AG242" s="930"/>
      <c r="AH242" s="5"/>
      <c r="AI242" s="5"/>
      <c r="AJ242" s="5"/>
      <c r="AK242" s="41"/>
      <c r="AL242" s="41"/>
    </row>
    <row r="243" spans="1:67" ht="12.95" customHeight="1">
      <c r="D243" s="5"/>
      <c r="AM243" s="5"/>
    </row>
    <row r="244" spans="1:67" ht="12.95" customHeight="1">
      <c r="A244" s="3" t="s">
        <v>213</v>
      </c>
      <c r="C244" s="3" t="s">
        <v>313</v>
      </c>
      <c r="D244" s="5"/>
      <c r="L244" s="12"/>
      <c r="M244" s="12"/>
      <c r="N244" s="12"/>
      <c r="AN244" s="41"/>
      <c r="BB244" t="s">
        <v>48</v>
      </c>
      <c r="BH244">
        <v>1</v>
      </c>
      <c r="BI244" t="s">
        <v>314</v>
      </c>
    </row>
    <row r="245" spans="1:67" ht="12.95" customHeight="1">
      <c r="A245" s="28"/>
      <c r="C245" s="62" t="s">
        <v>315</v>
      </c>
      <c r="D245" s="5" t="s">
        <v>316</v>
      </c>
      <c r="E245" s="5"/>
      <c r="F245" s="5"/>
      <c r="G245" s="5"/>
      <c r="H245" s="5"/>
      <c r="I245" s="5"/>
      <c r="J245" s="5"/>
      <c r="K245" s="5"/>
      <c r="L245" s="5"/>
      <c r="M245" s="1199" t="s">
        <v>317</v>
      </c>
      <c r="N245" s="1060"/>
      <c r="O245" s="1060"/>
      <c r="P245" s="1060"/>
      <c r="Q245" s="1060"/>
      <c r="R245" s="1060"/>
      <c r="S245" s="1060"/>
      <c r="T245" s="1060"/>
      <c r="U245" s="1060"/>
      <c r="V245" s="1060"/>
      <c r="W245" s="1060"/>
      <c r="X245" s="1060"/>
      <c r="Y245" s="1060"/>
      <c r="Z245" s="1060"/>
      <c r="AA245" s="1060"/>
      <c r="AB245" s="1060"/>
      <c r="AC245" s="1060"/>
      <c r="AD245" s="1060"/>
      <c r="AE245" s="1060"/>
      <c r="AF245" s="1119" t="s">
        <v>318</v>
      </c>
      <c r="AG245" s="1060"/>
      <c r="AH245" s="1060"/>
      <c r="AI245" s="1060"/>
      <c r="AJ245" s="1060"/>
      <c r="AK245" s="1060"/>
      <c r="AM245" s="5"/>
      <c r="AN245" s="41"/>
      <c r="BB245" s="5" t="s">
        <v>319</v>
      </c>
      <c r="BH245">
        <v>2</v>
      </c>
      <c r="BI245" t="s">
        <v>271</v>
      </c>
      <c r="BO245" s="409" t="str">
        <f>IFERROR(VLOOKUP(AZ260,BH244:BI246,2,FALSE),"")</f>
        <v>Joint Venture</v>
      </c>
    </row>
    <row r="246" spans="1:67" ht="12.95" customHeight="1">
      <c r="A246" s="28"/>
      <c r="B246" s="5"/>
      <c r="C246" s="5"/>
      <c r="D246" s="5" t="s">
        <v>295</v>
      </c>
      <c r="E246" s="5"/>
      <c r="F246" s="5"/>
      <c r="G246" s="5"/>
      <c r="H246" s="5"/>
      <c r="I246" s="5"/>
      <c r="J246" s="5"/>
      <c r="K246" s="5"/>
      <c r="L246" s="5"/>
      <c r="M246" s="1061" t="s">
        <v>320</v>
      </c>
      <c r="N246" s="1060"/>
      <c r="O246" s="1060"/>
      <c r="P246" s="1060"/>
      <c r="Q246" s="1060"/>
      <c r="R246" s="1060"/>
      <c r="S246" s="1060"/>
      <c r="T246" s="1060"/>
      <c r="U246" s="1060"/>
      <c r="V246" s="1060"/>
      <c r="W246" s="1060"/>
      <c r="X246" s="1060"/>
      <c r="Y246" s="1060"/>
      <c r="Z246" s="1060"/>
      <c r="AA246" s="1060"/>
      <c r="AB246" s="1060"/>
      <c r="AC246" s="1060"/>
      <c r="AD246" s="1060"/>
      <c r="AE246" s="1060"/>
      <c r="AL246" s="5"/>
      <c r="AN246" s="41"/>
      <c r="BB246" s="5" t="s">
        <v>321</v>
      </c>
      <c r="BH246">
        <v>3</v>
      </c>
      <c r="BI246" t="s">
        <v>322</v>
      </c>
    </row>
    <row r="247" spans="1:67" ht="12.95" customHeight="1">
      <c r="A247" s="28"/>
      <c r="B247" s="5"/>
      <c r="C247" s="5"/>
      <c r="D247" s="5" t="s">
        <v>153</v>
      </c>
      <c r="E247" s="5"/>
      <c r="M247" s="1061" t="s">
        <v>323</v>
      </c>
      <c r="N247" s="1060"/>
      <c r="O247" s="1060"/>
      <c r="P247" s="1060"/>
      <c r="Q247" s="1060"/>
      <c r="R247" s="1060"/>
      <c r="S247" s="1060"/>
      <c r="T247" s="1060"/>
      <c r="V247" s="42" t="s">
        <v>298</v>
      </c>
      <c r="W247" s="1112" t="s">
        <v>324</v>
      </c>
      <c r="X247" s="1063"/>
      <c r="Y247" s="5" t="s">
        <v>158</v>
      </c>
      <c r="AC247" s="1061">
        <v>96001</v>
      </c>
      <c r="AD247" s="1060"/>
      <c r="AE247" s="1060"/>
      <c r="AN247" s="41"/>
    </row>
    <row r="248" spans="1:67" ht="12.95" customHeight="1">
      <c r="A248" s="28"/>
      <c r="B248" s="5"/>
      <c r="C248" s="5"/>
      <c r="D248" s="5" t="s">
        <v>301</v>
      </c>
      <c r="E248" s="5"/>
      <c r="F248" s="5"/>
      <c r="G248" s="5"/>
      <c r="H248" s="5"/>
      <c r="I248" s="5"/>
      <c r="J248" s="5"/>
      <c r="K248" s="5"/>
      <c r="L248" s="28"/>
      <c r="M248" s="1061" t="s">
        <v>325</v>
      </c>
      <c r="N248" s="1060"/>
      <c r="O248" s="1060"/>
      <c r="P248" s="1060"/>
      <c r="Q248" s="1060"/>
      <c r="R248" s="1060"/>
      <c r="S248" s="1060"/>
      <c r="T248" s="1060"/>
      <c r="U248" s="1060"/>
      <c r="V248" s="1060"/>
      <c r="W248" s="1060"/>
      <c r="X248" s="1060"/>
      <c r="Y248" s="1060"/>
      <c r="Z248" s="1060"/>
      <c r="AA248" s="1060"/>
      <c r="AB248" s="1060"/>
      <c r="AC248" s="1060"/>
      <c r="AD248" s="1060"/>
      <c r="AE248" s="1060"/>
      <c r="AJ248" s="5"/>
      <c r="AK248" s="5"/>
      <c r="AL248" s="5"/>
      <c r="AN248" s="41"/>
    </row>
    <row r="249" spans="1:67" ht="12.95" customHeight="1">
      <c r="A249" s="28"/>
      <c r="B249" s="5"/>
      <c r="C249" s="5"/>
      <c r="D249" s="5" t="s">
        <v>303</v>
      </c>
      <c r="E249" s="5"/>
      <c r="F249" s="5"/>
      <c r="M249" s="1084" t="s">
        <v>326</v>
      </c>
      <c r="N249" s="1063"/>
      <c r="O249" s="1063"/>
      <c r="P249" s="1063"/>
      <c r="Q249" s="1063"/>
      <c r="R249" s="1063"/>
      <c r="S249" s="5" t="s">
        <v>305</v>
      </c>
      <c r="T249" s="5"/>
      <c r="U249" s="1112"/>
      <c r="V249" s="1063"/>
      <c r="W249" s="1063"/>
      <c r="X249" s="5" t="s">
        <v>306</v>
      </c>
      <c r="Z249" s="1084"/>
      <c r="AA249" s="1063"/>
      <c r="AB249" s="1063"/>
      <c r="AC249" s="1063"/>
      <c r="AD249" s="1063"/>
      <c r="AE249" s="1063"/>
      <c r="AM249" s="5"/>
      <c r="AN249" s="41"/>
    </row>
    <row r="250" spans="1:67" ht="12.95" customHeight="1">
      <c r="A250" s="28"/>
      <c r="B250" s="5"/>
      <c r="C250" s="5"/>
      <c r="D250" s="5" t="s">
        <v>308</v>
      </c>
      <c r="E250" s="5"/>
      <c r="F250" s="5"/>
      <c r="M250" s="1217" t="s">
        <v>327</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328</v>
      </c>
      <c r="E251" s="5"/>
      <c r="F251" s="5"/>
      <c r="G251" s="5"/>
      <c r="H251" s="5"/>
      <c r="I251" s="5"/>
      <c r="J251" s="5"/>
      <c r="K251" s="5"/>
      <c r="L251" s="5"/>
      <c r="M251" s="1068" t="s">
        <v>314</v>
      </c>
      <c r="N251" s="1063"/>
      <c r="O251" s="1063"/>
      <c r="P251" s="1063"/>
      <c r="Q251" s="1063"/>
      <c r="R251" s="1063"/>
      <c r="S251" s="1063"/>
      <c r="T251" s="1063"/>
      <c r="U251" s="5" t="s">
        <v>311</v>
      </c>
      <c r="AA251" s="1114"/>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329</v>
      </c>
      <c r="D253" s="5" t="s">
        <v>330</v>
      </c>
      <c r="E253" s="5"/>
      <c r="F253" s="5"/>
      <c r="G253" s="5"/>
      <c r="H253" s="5"/>
      <c r="I253" s="5"/>
      <c r="J253" s="5"/>
      <c r="K253" s="5"/>
      <c r="L253" s="5"/>
      <c r="M253" s="1199" t="s">
        <v>331</v>
      </c>
      <c r="N253" s="1060"/>
      <c r="O253" s="1060"/>
      <c r="P253" s="1060"/>
      <c r="Q253" s="1060"/>
      <c r="R253" s="1060"/>
      <c r="S253" s="1060"/>
      <c r="T253" s="1060"/>
      <c r="U253" s="1060"/>
      <c r="V253" s="1060"/>
      <c r="W253" s="1060"/>
      <c r="X253" s="1060"/>
      <c r="Y253" s="1060"/>
      <c r="Z253" s="1060"/>
      <c r="AA253" s="1060"/>
      <c r="AB253" s="1060"/>
      <c r="AC253" s="1060"/>
      <c r="AD253" s="1060"/>
      <c r="AE253" s="1060"/>
      <c r="AF253" s="1119" t="s">
        <v>332</v>
      </c>
      <c r="AG253" s="1060"/>
      <c r="AH253" s="1060"/>
      <c r="AI253" s="1060"/>
      <c r="AJ253" s="1060"/>
      <c r="AK253" s="1060"/>
      <c r="AM253" s="5"/>
    </row>
    <row r="254" spans="1:67" ht="12.95" customHeight="1">
      <c r="A254" s="28"/>
      <c r="B254" s="5"/>
      <c r="C254" s="5"/>
      <c r="D254" s="5" t="s">
        <v>295</v>
      </c>
      <c r="E254" s="5"/>
      <c r="F254" s="5"/>
      <c r="G254" s="5"/>
      <c r="H254" s="5"/>
      <c r="I254" s="5"/>
      <c r="J254" s="5"/>
      <c r="K254" s="5"/>
      <c r="L254" s="5"/>
      <c r="M254" s="1061" t="s">
        <v>296</v>
      </c>
      <c r="N254" s="1060"/>
      <c r="O254" s="1060"/>
      <c r="P254" s="1060"/>
      <c r="Q254" s="1060"/>
      <c r="R254" s="1060"/>
      <c r="S254" s="1060"/>
      <c r="T254" s="1060"/>
      <c r="U254" s="1060"/>
      <c r="V254" s="1060"/>
      <c r="W254" s="1060"/>
      <c r="X254" s="1060"/>
      <c r="Y254" s="1060"/>
      <c r="Z254" s="1060"/>
      <c r="AA254" s="1060"/>
      <c r="AB254" s="1060"/>
      <c r="AC254" s="1060"/>
      <c r="AD254" s="1060"/>
      <c r="AE254" s="1060"/>
      <c r="AL254" s="5"/>
    </row>
    <row r="255" spans="1:67" ht="12.95" customHeight="1">
      <c r="A255" s="28"/>
      <c r="B255" s="5"/>
      <c r="C255" s="5"/>
      <c r="D255" s="5" t="s">
        <v>153</v>
      </c>
      <c r="E255" s="5"/>
      <c r="M255" s="1061" t="s">
        <v>40</v>
      </c>
      <c r="N255" s="1060"/>
      <c r="O255" s="1060"/>
      <c r="P255" s="1060"/>
      <c r="Q255" s="1060"/>
      <c r="R255" s="1060"/>
      <c r="S255" s="1060"/>
      <c r="T255" s="1060"/>
      <c r="V255" s="42" t="s">
        <v>298</v>
      </c>
      <c r="W255" s="1112" t="s">
        <v>299</v>
      </c>
      <c r="X255" s="1063"/>
      <c r="Y255" s="5" t="s">
        <v>158</v>
      </c>
      <c r="AC255" s="1061" t="s">
        <v>300</v>
      </c>
      <c r="AD255" s="1060"/>
      <c r="AE255" s="1060"/>
    </row>
    <row r="256" spans="1:67" ht="12.95" customHeight="1">
      <c r="A256" s="28"/>
      <c r="B256" s="5"/>
      <c r="C256" s="5"/>
      <c r="D256" s="5" t="s">
        <v>301</v>
      </c>
      <c r="E256" s="5"/>
      <c r="F256" s="5"/>
      <c r="G256" s="5"/>
      <c r="H256" s="5"/>
      <c r="I256" s="5"/>
      <c r="J256" s="5"/>
      <c r="K256" s="5"/>
      <c r="L256" s="28"/>
      <c r="M256" s="1061" t="s">
        <v>302</v>
      </c>
      <c r="N256" s="1060"/>
      <c r="O256" s="1060"/>
      <c r="P256" s="1060"/>
      <c r="Q256" s="1060"/>
      <c r="R256" s="1060"/>
      <c r="S256" s="1060"/>
      <c r="T256" s="1060"/>
      <c r="U256" s="1060"/>
      <c r="V256" s="1060"/>
      <c r="W256" s="1060"/>
      <c r="X256" s="1060"/>
      <c r="Y256" s="1060"/>
      <c r="Z256" s="1060"/>
      <c r="AA256" s="1060"/>
      <c r="AB256" s="1060"/>
      <c r="AC256" s="1060"/>
      <c r="AD256" s="1060"/>
      <c r="AE256" s="1060"/>
      <c r="AJ256" s="5"/>
      <c r="AK256" s="5"/>
      <c r="AL256" s="5"/>
    </row>
    <row r="257" spans="1:53" ht="12.95" customHeight="1">
      <c r="A257" s="28"/>
      <c r="B257" s="5"/>
      <c r="C257" s="5"/>
      <c r="D257" s="5" t="s">
        <v>303</v>
      </c>
      <c r="E257" s="5"/>
      <c r="F257" s="5"/>
      <c r="M257" s="1084" t="s">
        <v>333</v>
      </c>
      <c r="N257" s="1063"/>
      <c r="O257" s="1063"/>
      <c r="P257" s="1063"/>
      <c r="Q257" s="1063"/>
      <c r="R257" s="1063"/>
      <c r="S257" s="5" t="s">
        <v>305</v>
      </c>
      <c r="T257" s="5"/>
      <c r="U257" s="1112"/>
      <c r="V257" s="1063"/>
      <c r="W257" s="1063"/>
      <c r="X257" s="5" t="s">
        <v>306</v>
      </c>
      <c r="Z257" s="1084"/>
      <c r="AA257" s="1063"/>
      <c r="AB257" s="1063"/>
      <c r="AC257" s="1063"/>
      <c r="AD257" s="1063"/>
      <c r="AE257" s="1063"/>
      <c r="BA257" s="43"/>
    </row>
    <row r="258" spans="1:53" ht="12.95" customHeight="1">
      <c r="A258" s="28"/>
      <c r="B258" s="5"/>
      <c r="C258" s="5"/>
      <c r="D258" s="5" t="s">
        <v>308</v>
      </c>
      <c r="E258" s="5"/>
      <c r="F258" s="5"/>
      <c r="M258" s="1217" t="s">
        <v>309</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328</v>
      </c>
      <c r="E259" s="5"/>
      <c r="F259" s="5"/>
      <c r="G259" s="5"/>
      <c r="H259" s="5"/>
      <c r="I259" s="5"/>
      <c r="J259" s="5"/>
      <c r="K259" s="5"/>
      <c r="L259" s="5"/>
      <c r="M259" s="1068" t="s">
        <v>322</v>
      </c>
      <c r="N259" s="1063"/>
      <c r="O259" s="1063"/>
      <c r="P259" s="1063"/>
      <c r="Q259" s="1063"/>
      <c r="R259" s="1063"/>
      <c r="S259" s="1063"/>
      <c r="T259" s="1063"/>
      <c r="U259" s="5" t="s">
        <v>311</v>
      </c>
      <c r="AA259" s="1114" t="s">
        <v>334</v>
      </c>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335</v>
      </c>
      <c r="D261" s="5" t="s">
        <v>316</v>
      </c>
      <c r="E261" s="5"/>
      <c r="F261" s="5"/>
      <c r="G261" s="5"/>
      <c r="H261" s="5"/>
      <c r="I261" s="5"/>
      <c r="J261" s="5"/>
      <c r="K261" s="5"/>
      <c r="L261" s="5"/>
      <c r="M261" s="1119"/>
      <c r="N261" s="1060"/>
      <c r="O261" s="1060"/>
      <c r="P261" s="1060"/>
      <c r="Q261" s="1060"/>
      <c r="R261" s="1060"/>
      <c r="S261" s="1060"/>
      <c r="T261" s="1060"/>
      <c r="U261" s="1060"/>
      <c r="V261" s="1060"/>
      <c r="W261" s="1060"/>
      <c r="X261" s="1060"/>
      <c r="Y261" s="1060"/>
      <c r="Z261" s="1060"/>
      <c r="AA261" s="1060"/>
      <c r="AB261" s="1060"/>
      <c r="AC261" s="1060"/>
      <c r="AD261" s="1060"/>
      <c r="AE261" s="1060"/>
      <c r="AF261" s="1119" t="s">
        <v>48</v>
      </c>
      <c r="AG261" s="1060"/>
      <c r="AH261" s="1060"/>
      <c r="AI261" s="1060"/>
      <c r="AJ261" s="1060"/>
      <c r="AK261" s="1060"/>
      <c r="AL261" s="41"/>
    </row>
    <row r="262" spans="1:53" ht="12.95" customHeight="1">
      <c r="A262" s="18"/>
      <c r="B262" s="5"/>
      <c r="C262" s="5"/>
      <c r="D262" s="5" t="s">
        <v>295</v>
      </c>
      <c r="E262" s="5"/>
      <c r="F262" s="5"/>
      <c r="G262" s="5"/>
      <c r="H262" s="5"/>
      <c r="I262" s="5"/>
      <c r="J262" s="5"/>
      <c r="K262" s="5"/>
      <c r="L262" s="5"/>
      <c r="M262" s="1061"/>
      <c r="N262" s="1060"/>
      <c r="O262" s="1060"/>
      <c r="P262" s="1060"/>
      <c r="Q262" s="1060"/>
      <c r="R262" s="1060"/>
      <c r="S262" s="1060"/>
      <c r="T262" s="1060"/>
      <c r="U262" s="1060"/>
      <c r="V262" s="1060"/>
      <c r="W262" s="1060"/>
      <c r="X262" s="1060"/>
      <c r="Y262" s="1060"/>
      <c r="Z262" s="1060"/>
      <c r="AA262" s="1060"/>
      <c r="AB262" s="1060"/>
      <c r="AC262" s="1060"/>
      <c r="AD262" s="1060"/>
      <c r="AE262" s="1060"/>
      <c r="AL262" s="41"/>
      <c r="BA262" s="43"/>
    </row>
    <row r="263" spans="1:53" ht="12.95" customHeight="1">
      <c r="A263" s="18"/>
      <c r="B263" s="5"/>
      <c r="C263" s="5"/>
      <c r="D263" s="5" t="s">
        <v>153</v>
      </c>
      <c r="E263" s="5"/>
      <c r="M263" s="1061"/>
      <c r="N263" s="1060"/>
      <c r="O263" s="1060"/>
      <c r="P263" s="1060"/>
      <c r="Q263" s="1060"/>
      <c r="R263" s="1060"/>
      <c r="S263" s="1060"/>
      <c r="T263" s="1060"/>
      <c r="V263" s="42" t="s">
        <v>298</v>
      </c>
      <c r="W263" s="1112"/>
      <c r="X263" s="1063"/>
      <c r="Y263" s="5" t="s">
        <v>158</v>
      </c>
      <c r="AC263" s="1061"/>
      <c r="AD263" s="1060"/>
      <c r="AE263" s="1060"/>
      <c r="AL263" s="41"/>
      <c r="BA263" s="43"/>
    </row>
    <row r="264" spans="1:53" ht="12.95" customHeight="1">
      <c r="A264" s="18"/>
      <c r="B264" s="5"/>
      <c r="C264" s="5"/>
      <c r="D264" s="5" t="s">
        <v>301</v>
      </c>
      <c r="E264" s="5"/>
      <c r="F264" s="5"/>
      <c r="G264" s="5"/>
      <c r="H264" s="5"/>
      <c r="I264" s="5"/>
      <c r="J264" s="5"/>
      <c r="K264" s="5"/>
      <c r="L264" s="28"/>
      <c r="M264" s="1061"/>
      <c r="N264" s="1060"/>
      <c r="O264" s="1060"/>
      <c r="P264" s="1060"/>
      <c r="Q264" s="1060"/>
      <c r="R264" s="1060"/>
      <c r="S264" s="1060"/>
      <c r="T264" s="1060"/>
      <c r="U264" s="1060"/>
      <c r="V264" s="1060"/>
      <c r="W264" s="1060"/>
      <c r="X264" s="1060"/>
      <c r="Y264" s="1060"/>
      <c r="Z264" s="1060"/>
      <c r="AA264" s="1060"/>
      <c r="AB264" s="1060"/>
      <c r="AC264" s="1060"/>
      <c r="AD264" s="1060"/>
      <c r="AE264" s="1060"/>
      <c r="AJ264" s="5"/>
      <c r="AK264" s="5"/>
      <c r="AL264" s="41"/>
      <c r="BA264" s="43"/>
    </row>
    <row r="265" spans="1:53" ht="12.95" customHeight="1">
      <c r="A265" s="18"/>
      <c r="B265" s="5"/>
      <c r="C265" s="5"/>
      <c r="D265" s="5" t="s">
        <v>303</v>
      </c>
      <c r="E265" s="5"/>
      <c r="F265" s="5"/>
      <c r="M265" s="1084"/>
      <c r="N265" s="1063"/>
      <c r="O265" s="1063"/>
      <c r="P265" s="1063"/>
      <c r="Q265" s="1063"/>
      <c r="R265" s="1063"/>
      <c r="S265" s="5" t="s">
        <v>305</v>
      </c>
      <c r="T265" s="5"/>
      <c r="U265" s="1112"/>
      <c r="V265" s="1063"/>
      <c r="W265" s="1063"/>
      <c r="X265" s="5" t="s">
        <v>306</v>
      </c>
      <c r="Z265" s="1084"/>
      <c r="AA265" s="1063"/>
      <c r="AB265" s="1063"/>
      <c r="AC265" s="1063"/>
      <c r="AD265" s="1063"/>
      <c r="AE265" s="1063"/>
      <c r="AL265" s="41"/>
      <c r="BA265" s="43"/>
    </row>
    <row r="266" spans="1:53" ht="12.95" customHeight="1">
      <c r="A266" s="18"/>
      <c r="B266" s="5"/>
      <c r="C266" s="5"/>
      <c r="D266" s="5" t="s">
        <v>308</v>
      </c>
      <c r="E266" s="5"/>
      <c r="F266" s="5"/>
      <c r="M266" s="1217"/>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328</v>
      </c>
      <c r="E267" s="5"/>
      <c r="F267" s="5"/>
      <c r="G267" s="5"/>
      <c r="H267" s="5"/>
      <c r="I267" s="5"/>
      <c r="J267" s="5"/>
      <c r="K267" s="5"/>
      <c r="L267" s="5"/>
      <c r="M267" s="1068" t="s">
        <v>48</v>
      </c>
      <c r="N267" s="1063"/>
      <c r="O267" s="1063"/>
      <c r="P267" s="1063"/>
      <c r="Q267" s="1063"/>
      <c r="R267" s="1063"/>
      <c r="S267" s="1063"/>
      <c r="T267" s="1063"/>
      <c r="U267" s="5" t="s">
        <v>311</v>
      </c>
      <c r="AA267" s="1114" t="s">
        <v>334</v>
      </c>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235</v>
      </c>
      <c r="B269" s="5"/>
      <c r="C269" s="3" t="s">
        <v>336</v>
      </c>
      <c r="D269" s="5"/>
      <c r="E269" s="5"/>
      <c r="F269" s="5"/>
      <c r="G269" s="5"/>
      <c r="H269" s="5"/>
      <c r="I269" s="5"/>
      <c r="J269" s="5"/>
      <c r="K269" s="5"/>
      <c r="L269" s="5"/>
      <c r="M269" s="44"/>
      <c r="N269" s="44"/>
      <c r="O269" s="44"/>
      <c r="P269" s="44"/>
      <c r="Q269" s="44"/>
      <c r="T269" s="1323" t="str">
        <f>BO245</f>
        <v>Joint Venture</v>
      </c>
      <c r="U269" s="1093"/>
      <c r="V269" s="1093"/>
      <c r="W269" s="1093"/>
      <c r="X269" s="1093"/>
      <c r="Z269" s="471" t="s">
        <v>337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338</v>
      </c>
      <c r="AF270" s="5"/>
      <c r="AG270" s="5"/>
      <c r="AH270" s="5"/>
      <c r="AI270" s="5"/>
      <c r="AJ270" s="5"/>
      <c r="AL270" s="71"/>
      <c r="BA270" s="43"/>
    </row>
    <row r="271" spans="1:53" ht="12.95" customHeight="1">
      <c r="A271" s="3" t="s">
        <v>247</v>
      </c>
      <c r="B271" s="5"/>
      <c r="C271" s="3" t="s">
        <v>339</v>
      </c>
      <c r="D271" s="5"/>
      <c r="E271" s="5"/>
      <c r="F271" s="5"/>
      <c r="G271" s="5"/>
      <c r="H271" s="5"/>
      <c r="I271" s="5"/>
      <c r="J271" s="5"/>
      <c r="K271" s="5"/>
      <c r="L271" s="5"/>
      <c r="M271" s="5"/>
      <c r="N271" s="5"/>
      <c r="O271" s="5"/>
      <c r="P271" s="5"/>
      <c r="Q271" s="5"/>
      <c r="R271" s="5"/>
      <c r="S271" s="5"/>
      <c r="T271" s="5"/>
      <c r="U271" s="5"/>
      <c r="V271" s="5"/>
      <c r="W271" s="5"/>
      <c r="Z271" s="473" t="s">
        <v>340</v>
      </c>
      <c r="AA271" s="54"/>
      <c r="AB271" s="54"/>
      <c r="AC271" s="54"/>
      <c r="AD271" s="191"/>
      <c r="AE271" s="191"/>
      <c r="AF271" s="191"/>
      <c r="AG271" s="191"/>
      <c r="AH271" s="191"/>
      <c r="AI271" s="191"/>
      <c r="AJ271" s="191"/>
      <c r="AK271" s="407"/>
      <c r="AL271" s="474"/>
    </row>
    <row r="272" spans="1:53" ht="12.95" customHeight="1">
      <c r="A272" s="5"/>
      <c r="B272" s="45">
        <v>0</v>
      </c>
      <c r="D272" s="1061" t="s">
        <v>319</v>
      </c>
      <c r="E272" s="1060"/>
      <c r="F272" s="1060"/>
      <c r="G272" s="1060"/>
      <c r="H272" s="1060"/>
      <c r="J272" t="s">
        <v>341</v>
      </c>
      <c r="X272" s="1290"/>
      <c r="Y272" s="1060"/>
      <c r="Z272" s="1060"/>
      <c r="AA272" s="1060"/>
      <c r="AB272" s="1060"/>
      <c r="AC272" s="1060"/>
      <c r="BA272" s="43"/>
    </row>
    <row r="273" spans="1:53" ht="12.95" customHeight="1">
      <c r="A273" s="5"/>
      <c r="B273" s="28"/>
      <c r="D273" s="46" t="s">
        <v>342</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256</v>
      </c>
      <c r="B275" s="3"/>
      <c r="C275" s="3" t="s">
        <v>343</v>
      </c>
      <c r="D275" s="5"/>
      <c r="E275" s="5"/>
      <c r="F275" s="5"/>
      <c r="G275" s="5"/>
      <c r="H275" s="5"/>
      <c r="I275" s="5"/>
      <c r="J275" s="5"/>
      <c r="K275" s="5"/>
      <c r="L275" s="5"/>
      <c r="M275" s="5"/>
      <c r="N275" s="5"/>
      <c r="O275" s="5"/>
      <c r="P275" s="5"/>
      <c r="Q275" s="5"/>
      <c r="R275" s="5"/>
      <c r="S275" s="5"/>
      <c r="T275" s="5"/>
      <c r="BA275" s="43"/>
    </row>
    <row r="276" spans="1:53" ht="12.95" customHeight="1">
      <c r="D276" s="5" t="s">
        <v>344</v>
      </c>
      <c r="E276" s="5"/>
      <c r="F276" s="5"/>
      <c r="G276" s="5"/>
      <c r="H276" s="5"/>
      <c r="I276" s="5"/>
      <c r="J276" s="5"/>
      <c r="K276" s="5"/>
      <c r="L276" s="1119" t="s">
        <v>345</v>
      </c>
      <c r="M276" s="1060"/>
      <c r="N276" s="1060"/>
      <c r="O276" s="1060"/>
      <c r="P276" s="1060"/>
      <c r="Q276" s="1060"/>
      <c r="R276" s="1060"/>
      <c r="S276" s="1060"/>
      <c r="T276" s="1060"/>
      <c r="U276" s="1060"/>
      <c r="V276" s="1060"/>
      <c r="W276" s="1060"/>
      <c r="X276" s="1060"/>
      <c r="Y276" s="1060"/>
      <c r="Z276" s="1060"/>
      <c r="AA276" s="1060"/>
      <c r="AB276" s="1060"/>
      <c r="AC276" s="1060"/>
      <c r="AD276" s="1060"/>
      <c r="AE276" s="1060"/>
      <c r="AF276" s="1060"/>
      <c r="AG276" s="1060"/>
      <c r="AH276" s="1060"/>
      <c r="AI276" s="1060"/>
      <c r="AJ276" s="1060"/>
      <c r="AK276" s="41"/>
      <c r="AL276" s="41"/>
      <c r="BA276" s="43"/>
    </row>
    <row r="277" spans="1:53" ht="12.95" customHeight="1">
      <c r="D277" s="5" t="s">
        <v>295</v>
      </c>
      <c r="E277" s="5"/>
      <c r="F277" s="5"/>
      <c r="G277" s="5"/>
      <c r="H277" s="5"/>
      <c r="I277" s="5"/>
      <c r="J277" s="5"/>
      <c r="K277" s="5"/>
      <c r="L277" s="1061" t="s">
        <v>346</v>
      </c>
      <c r="M277" s="1060"/>
      <c r="N277" s="1060"/>
      <c r="O277" s="1060"/>
      <c r="P277" s="1060"/>
      <c r="Q277" s="1060"/>
      <c r="R277" s="1060"/>
      <c r="S277" s="1060"/>
      <c r="T277" s="1060"/>
      <c r="U277" s="1060"/>
      <c r="V277" s="1060"/>
      <c r="W277" s="1060"/>
      <c r="X277" s="1060"/>
      <c r="Y277" s="1060"/>
      <c r="Z277" s="1060"/>
      <c r="AA277" s="1060"/>
      <c r="AB277" s="1060"/>
      <c r="AC277" s="1060"/>
      <c r="AD277" s="1060"/>
      <c r="AK277" s="41"/>
      <c r="AL277" s="41"/>
      <c r="BA277" s="43"/>
    </row>
    <row r="278" spans="1:53" ht="12.95" customHeight="1">
      <c r="D278" s="5" t="s">
        <v>153</v>
      </c>
      <c r="E278" s="5"/>
      <c r="L278" s="1061" t="s">
        <v>40</v>
      </c>
      <c r="M278" s="1060"/>
      <c r="N278" s="1060"/>
      <c r="O278" s="1060"/>
      <c r="P278" s="1060"/>
      <c r="Q278" s="1060"/>
      <c r="R278" s="1060"/>
      <c r="S278" s="1060"/>
      <c r="U278" s="42" t="s">
        <v>298</v>
      </c>
      <c r="V278" s="1112" t="s">
        <v>299</v>
      </c>
      <c r="W278" s="1063"/>
      <c r="X278" s="5" t="s">
        <v>158</v>
      </c>
      <c r="AB278" s="1061" t="s">
        <v>300</v>
      </c>
      <c r="AC278" s="1060"/>
      <c r="AD278" s="1060"/>
      <c r="AK278" s="41"/>
      <c r="AL278" s="41"/>
      <c r="BA278" s="43"/>
    </row>
    <row r="279" spans="1:53" ht="12.95" customHeight="1">
      <c r="D279" s="5" t="s">
        <v>301</v>
      </c>
      <c r="E279" s="5"/>
      <c r="F279" s="5"/>
      <c r="G279" s="5"/>
      <c r="H279" s="5"/>
      <c r="I279" s="5"/>
      <c r="J279" s="5"/>
      <c r="K279" s="28"/>
      <c r="L279" s="1117" t="s">
        <v>2416</v>
      </c>
      <c r="M279" s="1060"/>
      <c r="N279" s="1060"/>
      <c r="O279" s="1060"/>
      <c r="P279" s="1060"/>
      <c r="Q279" s="1060"/>
      <c r="R279" s="1060"/>
      <c r="S279" s="1060"/>
      <c r="T279" s="1060"/>
      <c r="U279" s="1060"/>
      <c r="V279" s="1060"/>
      <c r="W279" s="1060"/>
      <c r="X279" s="1060"/>
      <c r="Y279" s="1060"/>
      <c r="Z279" s="1060"/>
      <c r="AA279" s="1060"/>
      <c r="AB279" s="1060"/>
      <c r="AC279" s="1060"/>
      <c r="AD279" s="1060"/>
      <c r="AI279" s="5"/>
      <c r="AJ279" s="5"/>
      <c r="AK279" s="41"/>
      <c r="AL279" s="41"/>
      <c r="BA279" s="43"/>
    </row>
    <row r="280" spans="1:53" ht="12.95" customHeight="1">
      <c r="D280" s="5" t="s">
        <v>303</v>
      </c>
      <c r="E280" s="5"/>
      <c r="F280" s="5"/>
      <c r="L280" s="1176" t="s">
        <v>375</v>
      </c>
      <c r="M280" s="1063"/>
      <c r="N280" s="1063"/>
      <c r="O280" s="1063"/>
      <c r="P280" s="1063"/>
      <c r="Q280" s="1063"/>
      <c r="R280" s="5" t="s">
        <v>305</v>
      </c>
      <c r="S280" s="5"/>
      <c r="T280" s="1112"/>
      <c r="U280" s="1063"/>
      <c r="V280" s="1063"/>
      <c r="W280" s="5" t="s">
        <v>306</v>
      </c>
      <c r="Y280" s="1084"/>
      <c r="Z280" s="1063"/>
      <c r="AA280" s="1063"/>
      <c r="AB280" s="1063"/>
      <c r="AC280" s="1063"/>
      <c r="AD280" s="1063"/>
      <c r="BA280" s="43"/>
    </row>
    <row r="281" spans="1:53" ht="12.95" customHeight="1">
      <c r="D281" s="5" t="s">
        <v>308</v>
      </c>
      <c r="E281" s="5"/>
      <c r="F281" s="5"/>
      <c r="L281" s="1217" t="s">
        <v>347</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348</v>
      </c>
      <c r="E282" s="41"/>
      <c r="F282" s="41"/>
      <c r="G282" s="41"/>
      <c r="H282" s="41"/>
      <c r="I282" s="41"/>
      <c r="L282" s="1126" t="s">
        <v>349</v>
      </c>
      <c r="M282" s="1063"/>
      <c r="N282" s="1063"/>
      <c r="O282" s="1063"/>
      <c r="P282" s="1063"/>
      <c r="Q282" s="1063"/>
      <c r="R282" s="1063"/>
      <c r="S282" s="1063"/>
      <c r="T282" s="1063"/>
      <c r="U282" s="1063"/>
      <c r="V282" s="1063"/>
      <c r="W282" s="1063"/>
      <c r="X282" s="1063"/>
      <c r="Y282" s="1063"/>
      <c r="Z282" s="1063"/>
      <c r="AA282" s="1063"/>
      <c r="AB282" s="1063"/>
      <c r="AC282" s="1063"/>
      <c r="AD282" s="1063"/>
      <c r="AK282" s="41"/>
      <c r="AL282" s="41"/>
      <c r="BA282" s="43"/>
    </row>
    <row r="283" spans="1:53" ht="12.95" customHeight="1">
      <c r="L283" s="4" t="s">
        <v>350</v>
      </c>
      <c r="BA283" s="43"/>
    </row>
    <row r="284" spans="1:53" ht="12.95" customHeight="1">
      <c r="A284" s="1150" t="s">
        <v>351</v>
      </c>
      <c r="B284" s="976"/>
      <c r="C284" s="1113"/>
      <c r="D284" s="976"/>
      <c r="E284" s="976"/>
      <c r="F284" s="976"/>
      <c r="G284" s="976"/>
      <c r="H284" s="976"/>
      <c r="I284" s="976"/>
      <c r="J284" s="976"/>
      <c r="K284" s="976"/>
      <c r="L284" s="976"/>
      <c r="M284" s="976"/>
      <c r="N284" s="976"/>
      <c r="O284" s="976"/>
      <c r="P284" s="976"/>
      <c r="Q284" s="976"/>
      <c r="R284" s="976"/>
      <c r="S284" s="976"/>
      <c r="T284" s="976"/>
      <c r="U284" s="976"/>
      <c r="V284" s="976"/>
      <c r="W284" s="976"/>
      <c r="X284" s="976"/>
      <c r="Y284" s="976"/>
      <c r="Z284" s="976"/>
      <c r="AA284" s="976"/>
      <c r="AB284" s="976"/>
      <c r="AC284" s="976"/>
      <c r="AD284" s="976"/>
      <c r="AE284" s="976"/>
      <c r="AF284" s="976"/>
      <c r="AG284" s="976"/>
      <c r="AH284" s="976"/>
      <c r="AI284" s="976"/>
      <c r="AJ284" s="976"/>
      <c r="AK284" s="976"/>
      <c r="AL284" s="976"/>
      <c r="AM284" s="976"/>
      <c r="AN284" s="976"/>
      <c r="AO284" s="976"/>
      <c r="AP284" s="976"/>
      <c r="AQ284" s="976"/>
      <c r="AR284" s="976"/>
      <c r="AS284" s="976"/>
      <c r="AT284" s="976"/>
      <c r="BA284" s="43"/>
    </row>
    <row r="285" spans="1:53" ht="12.95" customHeight="1">
      <c r="A285" s="976"/>
      <c r="B285" s="976"/>
      <c r="C285" s="1113"/>
      <c r="D285" s="976"/>
      <c r="E285" s="976"/>
      <c r="F285" s="976"/>
      <c r="G285" s="976"/>
      <c r="H285" s="976"/>
      <c r="I285" s="976"/>
      <c r="J285" s="976"/>
      <c r="K285" s="976"/>
      <c r="L285" s="976"/>
      <c r="M285" s="976"/>
      <c r="N285" s="976"/>
      <c r="O285" s="976"/>
      <c r="P285" s="976"/>
      <c r="Q285" s="976"/>
      <c r="R285" s="976"/>
      <c r="S285" s="976"/>
      <c r="T285" s="976"/>
      <c r="U285" s="976"/>
      <c r="V285" s="976"/>
      <c r="W285" s="976"/>
      <c r="X285" s="976"/>
      <c r="Y285" s="976"/>
      <c r="Z285" s="976"/>
      <c r="AA285" s="976"/>
      <c r="AB285" s="976"/>
      <c r="AC285" s="976"/>
      <c r="AD285" s="976"/>
      <c r="AE285" s="976"/>
      <c r="AF285" s="976"/>
      <c r="AG285" s="976"/>
      <c r="AH285" s="976"/>
      <c r="AI285" s="976"/>
      <c r="AJ285" s="976"/>
      <c r="AK285" s="976"/>
      <c r="AL285" s="976"/>
      <c r="AM285" s="976"/>
      <c r="AN285" s="976"/>
      <c r="AO285" s="976"/>
      <c r="AP285" s="976"/>
      <c r="AQ285" s="976"/>
      <c r="AR285" s="976"/>
      <c r="AS285" s="976"/>
      <c r="AT285" s="97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97</v>
      </c>
      <c r="C287" s="3" t="s">
        <v>352</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353</v>
      </c>
      <c r="C289" s="41"/>
      <c r="D289" s="41"/>
      <c r="E289" s="41"/>
      <c r="F289" s="41"/>
      <c r="H289" s="1059" t="s">
        <v>345</v>
      </c>
      <c r="I289" s="1060"/>
      <c r="J289" s="1060"/>
      <c r="K289" s="1060"/>
      <c r="L289" s="1060"/>
      <c r="M289" s="1060"/>
      <c r="N289" s="1060"/>
      <c r="O289" s="1060"/>
      <c r="P289" s="1060"/>
      <c r="Q289" s="1060"/>
      <c r="R289" s="1060"/>
      <c r="T289" s="41" t="s">
        <v>354</v>
      </c>
      <c r="V289" s="41"/>
      <c r="W289" s="41"/>
      <c r="X289" s="41"/>
      <c r="Y289" s="41"/>
      <c r="AA289" s="1059" t="s">
        <v>355</v>
      </c>
      <c r="AB289" s="1060"/>
      <c r="AC289" s="1060"/>
      <c r="AD289" s="1060"/>
      <c r="AE289" s="1060"/>
      <c r="AF289" s="1060"/>
      <c r="AG289" s="1060"/>
      <c r="AH289" s="1060"/>
      <c r="AI289" s="1060"/>
      <c r="AJ289" s="1060"/>
      <c r="AK289" s="1060"/>
      <c r="BA289" s="43"/>
    </row>
    <row r="290" spans="2:53" ht="12.95" customHeight="1">
      <c r="B290" s="41" t="s">
        <v>356</v>
      </c>
      <c r="C290" s="41"/>
      <c r="D290" s="41"/>
      <c r="E290" s="41"/>
      <c r="F290" s="41"/>
      <c r="H290" s="1068" t="s">
        <v>346</v>
      </c>
      <c r="I290" s="1063"/>
      <c r="J290" s="1063"/>
      <c r="K290" s="1063"/>
      <c r="L290" s="1063"/>
      <c r="M290" s="1063"/>
      <c r="N290" s="1063"/>
      <c r="O290" s="1063"/>
      <c r="P290" s="1063"/>
      <c r="Q290" s="1063"/>
      <c r="R290" s="1063"/>
      <c r="T290" s="41" t="s">
        <v>356</v>
      </c>
      <c r="V290" s="41"/>
      <c r="W290" s="41"/>
      <c r="X290" s="41"/>
      <c r="Y290" s="41"/>
      <c r="AA290" s="1068" t="s">
        <v>357</v>
      </c>
      <c r="AB290" s="1063"/>
      <c r="AC290" s="1063"/>
      <c r="AD290" s="1063"/>
      <c r="AE290" s="1063"/>
      <c r="AF290" s="1063"/>
      <c r="AG290" s="1063"/>
      <c r="AH290" s="1063"/>
      <c r="AI290" s="1063"/>
      <c r="AJ290" s="1063"/>
      <c r="AK290" s="1063"/>
      <c r="BA290" s="43"/>
    </row>
    <row r="291" spans="2:53" ht="12.95" customHeight="1">
      <c r="B291" s="41" t="s">
        <v>358</v>
      </c>
      <c r="C291" s="41"/>
      <c r="D291" s="41"/>
      <c r="E291" s="41"/>
      <c r="F291" s="41"/>
      <c r="H291" s="1068" t="s">
        <v>359</v>
      </c>
      <c r="I291" s="1063"/>
      <c r="J291" s="1063"/>
      <c r="K291" s="1063"/>
      <c r="L291" s="1063"/>
      <c r="M291" s="1063"/>
      <c r="N291" s="1063"/>
      <c r="O291" s="1063"/>
      <c r="P291" s="1063"/>
      <c r="Q291" s="1063"/>
      <c r="R291" s="1063"/>
      <c r="T291" s="41" t="s">
        <v>360</v>
      </c>
      <c r="V291" s="41"/>
      <c r="W291" s="41"/>
      <c r="X291" s="41"/>
      <c r="Y291" s="41"/>
      <c r="AA291" s="1068" t="s">
        <v>361</v>
      </c>
      <c r="AB291" s="1063"/>
      <c r="AC291" s="1063"/>
      <c r="AD291" s="1063"/>
      <c r="AE291" s="1063"/>
      <c r="AF291" s="1063"/>
      <c r="AG291" s="1063"/>
      <c r="AH291" s="1063"/>
      <c r="AI291" s="1063"/>
      <c r="AJ291" s="1063"/>
      <c r="AK291" s="1063"/>
      <c r="BA291" s="43"/>
    </row>
    <row r="292" spans="2:53" ht="12.95" customHeight="1">
      <c r="B292" s="41" t="s">
        <v>301</v>
      </c>
      <c r="C292" s="41"/>
      <c r="D292" s="41"/>
      <c r="E292" s="41"/>
      <c r="F292" s="41"/>
      <c r="H292" s="1068" t="s">
        <v>302</v>
      </c>
      <c r="I292" s="1063"/>
      <c r="J292" s="1063"/>
      <c r="K292" s="1063"/>
      <c r="L292" s="1063"/>
      <c r="M292" s="1063"/>
      <c r="N292" s="1063"/>
      <c r="O292" s="1063"/>
      <c r="P292" s="1063"/>
      <c r="Q292" s="1063"/>
      <c r="R292" s="1063"/>
      <c r="T292" s="41" t="s">
        <v>301</v>
      </c>
      <c r="V292" s="41"/>
      <c r="W292" s="41"/>
      <c r="X292" s="41"/>
      <c r="Y292" s="41"/>
      <c r="AA292" s="1068" t="s">
        <v>362</v>
      </c>
      <c r="AB292" s="1063"/>
      <c r="AC292" s="1063"/>
      <c r="AD292" s="1063"/>
      <c r="AE292" s="1063"/>
      <c r="AF292" s="1063"/>
      <c r="AG292" s="1063"/>
      <c r="AH292" s="1063"/>
      <c r="AI292" s="1063"/>
      <c r="AJ292" s="1063"/>
      <c r="AK292" s="1063"/>
      <c r="BA292" s="43"/>
    </row>
    <row r="293" spans="2:53" ht="12.95" customHeight="1">
      <c r="B293" s="41" t="s">
        <v>303</v>
      </c>
      <c r="C293" s="41"/>
      <c r="D293" s="41"/>
      <c r="E293" s="41"/>
      <c r="F293" s="41"/>
      <c r="G293" s="41"/>
      <c r="H293" s="1114">
        <v>7078229000</v>
      </c>
      <c r="I293" s="1060"/>
      <c r="J293" s="1060"/>
      <c r="K293" s="1060"/>
      <c r="L293" s="1060"/>
      <c r="M293" s="1060"/>
      <c r="N293" s="5" t="s">
        <v>305</v>
      </c>
      <c r="O293" s="5"/>
      <c r="P293" s="1061"/>
      <c r="Q293" s="1060"/>
      <c r="R293" s="1060"/>
      <c r="S293" s="41"/>
      <c r="T293" s="41" t="s">
        <v>303</v>
      </c>
      <c r="V293" s="41"/>
      <c r="W293" s="41"/>
      <c r="X293" s="41"/>
      <c r="Y293" s="41"/>
      <c r="AA293" s="1114" t="s">
        <v>363</v>
      </c>
      <c r="AB293" s="1060"/>
      <c r="AC293" s="1060"/>
      <c r="AD293" s="1060"/>
      <c r="AE293" s="1060"/>
      <c r="AF293" s="1060"/>
      <c r="AG293" s="5" t="s">
        <v>305</v>
      </c>
      <c r="AH293" s="5"/>
      <c r="AI293" s="1061"/>
      <c r="AJ293" s="1060"/>
      <c r="AK293" s="1060"/>
      <c r="BA293" s="43"/>
    </row>
    <row r="294" spans="2:53" ht="12.95" customHeight="1">
      <c r="B294" s="41" t="s">
        <v>306</v>
      </c>
      <c r="C294" s="41"/>
      <c r="D294" s="41"/>
      <c r="E294" s="41"/>
      <c r="F294" s="41"/>
      <c r="G294" s="41"/>
      <c r="H294" s="1084"/>
      <c r="I294" s="1063"/>
      <c r="J294" s="1063"/>
      <c r="K294" s="1063"/>
      <c r="L294" s="1063"/>
      <c r="M294" s="1063"/>
      <c r="N294" s="5"/>
      <c r="O294" s="5"/>
      <c r="P294" s="44"/>
      <c r="Q294" s="44"/>
      <c r="R294" s="44"/>
      <c r="S294" s="41"/>
      <c r="T294" s="41" t="s">
        <v>306</v>
      </c>
      <c r="V294" s="41"/>
      <c r="W294" s="41"/>
      <c r="X294" s="41"/>
      <c r="Y294" s="41"/>
      <c r="AA294" s="1084"/>
      <c r="AB294" s="1063"/>
      <c r="AC294" s="1063"/>
      <c r="AD294" s="1063"/>
      <c r="AE294" s="1063"/>
      <c r="AF294" s="1063"/>
      <c r="AG294" s="5"/>
      <c r="AH294" s="5"/>
      <c r="AI294" s="44"/>
      <c r="AJ294" s="44"/>
      <c r="AK294" s="44"/>
      <c r="BA294" s="43"/>
    </row>
    <row r="295" spans="2:53" ht="12.95" customHeight="1">
      <c r="B295" s="41" t="s">
        <v>364</v>
      </c>
      <c r="C295" s="41"/>
      <c r="D295" s="41"/>
      <c r="E295" s="41"/>
      <c r="F295" s="41"/>
      <c r="G295" s="41"/>
      <c r="H295" s="1068" t="s">
        <v>309</v>
      </c>
      <c r="I295" s="1063"/>
      <c r="J295" s="1063"/>
      <c r="K295" s="1063"/>
      <c r="L295" s="1063"/>
      <c r="M295" s="1063"/>
      <c r="N295" s="1063"/>
      <c r="O295" s="1063"/>
      <c r="P295" s="1063"/>
      <c r="Q295" s="1063"/>
      <c r="R295" s="1063"/>
      <c r="S295" s="41"/>
      <c r="T295" s="41" t="s">
        <v>364</v>
      </c>
      <c r="V295" s="41"/>
      <c r="W295" s="41"/>
      <c r="X295" s="41"/>
      <c r="Y295" s="41"/>
      <c r="AA295" s="1068" t="s">
        <v>365</v>
      </c>
      <c r="AB295" s="1063"/>
      <c r="AC295" s="1063"/>
      <c r="AD295" s="1063"/>
      <c r="AE295" s="1063"/>
      <c r="AF295" s="1063"/>
      <c r="AG295" s="1063"/>
      <c r="AH295" s="1063"/>
      <c r="AI295" s="1063"/>
      <c r="AJ295" s="1063"/>
      <c r="AK295" s="106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366</v>
      </c>
      <c r="C297" s="41"/>
      <c r="D297" s="41"/>
      <c r="E297" s="41"/>
      <c r="F297" s="41"/>
      <c r="H297" s="1059" t="s">
        <v>367</v>
      </c>
      <c r="I297" s="1060"/>
      <c r="J297" s="1060"/>
      <c r="K297" s="1060"/>
      <c r="L297" s="1060"/>
      <c r="M297" s="1060"/>
      <c r="N297" s="1060"/>
      <c r="O297" s="1060"/>
      <c r="P297" s="1060"/>
      <c r="Q297" s="1060"/>
      <c r="R297" s="1060"/>
      <c r="T297" s="41" t="s">
        <v>368</v>
      </c>
      <c r="V297" s="41"/>
      <c r="W297" s="41"/>
      <c r="X297" s="41"/>
      <c r="Y297" s="41"/>
      <c r="AA297" s="1059" t="s">
        <v>369</v>
      </c>
      <c r="AB297" s="1060"/>
      <c r="AC297" s="1060"/>
      <c r="AD297" s="1060"/>
      <c r="AE297" s="1060"/>
      <c r="AF297" s="1060"/>
      <c r="AG297" s="1060"/>
      <c r="AH297" s="1060"/>
      <c r="AI297" s="1060"/>
      <c r="AJ297" s="1060"/>
      <c r="AK297" s="1060"/>
      <c r="BA297" s="43"/>
    </row>
    <row r="298" spans="2:53" ht="12.95" customHeight="1">
      <c r="B298" s="41" t="s">
        <v>356</v>
      </c>
      <c r="C298" s="41"/>
      <c r="D298" s="41"/>
      <c r="E298" s="41"/>
      <c r="F298" s="41"/>
      <c r="H298" s="1068" t="s">
        <v>370</v>
      </c>
      <c r="I298" s="1063"/>
      <c r="J298" s="1063"/>
      <c r="K298" s="1063"/>
      <c r="L298" s="1063"/>
      <c r="M298" s="1063"/>
      <c r="N298" s="1063"/>
      <c r="O298" s="1063"/>
      <c r="P298" s="1063"/>
      <c r="Q298" s="1063"/>
      <c r="R298" s="1063"/>
      <c r="T298" s="41" t="s">
        <v>356</v>
      </c>
      <c r="V298" s="41"/>
      <c r="W298" s="41"/>
      <c r="X298" s="41"/>
      <c r="Y298" s="41"/>
      <c r="AA298" s="1068" t="s">
        <v>371</v>
      </c>
      <c r="AB298" s="1063"/>
      <c r="AC298" s="1063"/>
      <c r="AD298" s="1063"/>
      <c r="AE298" s="1063"/>
      <c r="AF298" s="1063"/>
      <c r="AG298" s="1063"/>
      <c r="AH298" s="1063"/>
      <c r="AI298" s="1063"/>
      <c r="AJ298" s="1063"/>
      <c r="AK298" s="1063"/>
      <c r="BA298" s="43"/>
    </row>
    <row r="299" spans="2:53" ht="12.95" customHeight="1">
      <c r="B299" s="41" t="s">
        <v>358</v>
      </c>
      <c r="C299" s="41"/>
      <c r="D299" s="41"/>
      <c r="E299" s="41"/>
      <c r="F299" s="41"/>
      <c r="H299" s="1068" t="s">
        <v>372</v>
      </c>
      <c r="I299" s="1063"/>
      <c r="J299" s="1063"/>
      <c r="K299" s="1063"/>
      <c r="L299" s="1063"/>
      <c r="M299" s="1063"/>
      <c r="N299" s="1063"/>
      <c r="O299" s="1063"/>
      <c r="P299" s="1063"/>
      <c r="Q299" s="1063"/>
      <c r="R299" s="1063"/>
      <c r="T299" s="41" t="s">
        <v>360</v>
      </c>
      <c r="V299" s="41"/>
      <c r="W299" s="41"/>
      <c r="X299" s="41"/>
      <c r="Y299" s="41"/>
      <c r="AA299" s="1068" t="s">
        <v>359</v>
      </c>
      <c r="AB299" s="1063"/>
      <c r="AC299" s="1063"/>
      <c r="AD299" s="1063"/>
      <c r="AE299" s="1063"/>
      <c r="AF299" s="1063"/>
      <c r="AG299" s="1063"/>
      <c r="AH299" s="1063"/>
      <c r="AI299" s="1063"/>
      <c r="AJ299" s="1063"/>
      <c r="AK299" s="1063"/>
      <c r="BA299" s="43"/>
    </row>
    <row r="300" spans="2:53" ht="12.95" customHeight="1">
      <c r="B300" s="41" t="s">
        <v>301</v>
      </c>
      <c r="C300" s="41"/>
      <c r="D300" s="41"/>
      <c r="E300" s="41"/>
      <c r="F300" s="41"/>
      <c r="H300" s="1068" t="s">
        <v>373</v>
      </c>
      <c r="I300" s="1063"/>
      <c r="J300" s="1063"/>
      <c r="K300" s="1063"/>
      <c r="L300" s="1063"/>
      <c r="M300" s="1063"/>
      <c r="N300" s="1063"/>
      <c r="O300" s="1063"/>
      <c r="P300" s="1063"/>
      <c r="Q300" s="1063"/>
      <c r="R300" s="1063"/>
      <c r="T300" s="41" t="s">
        <v>301</v>
      </c>
      <c r="V300" s="41"/>
      <c r="W300" s="41"/>
      <c r="X300" s="41"/>
      <c r="Y300" s="41"/>
      <c r="AA300" s="1068" t="s">
        <v>302</v>
      </c>
      <c r="AB300" s="1063"/>
      <c r="AC300" s="1063"/>
      <c r="AD300" s="1063"/>
      <c r="AE300" s="1063"/>
      <c r="AF300" s="1063"/>
      <c r="AG300" s="1063"/>
      <c r="AH300" s="1063"/>
      <c r="AI300" s="1063"/>
      <c r="AJ300" s="1063"/>
      <c r="AK300" s="1063"/>
      <c r="BA300" s="43"/>
    </row>
    <row r="301" spans="2:53" ht="12.95" customHeight="1">
      <c r="B301" s="41" t="s">
        <v>303</v>
      </c>
      <c r="C301" s="41"/>
      <c r="D301" s="41"/>
      <c r="E301" s="41"/>
      <c r="F301" s="41"/>
      <c r="G301" s="41"/>
      <c r="H301" s="1114" t="s">
        <v>374</v>
      </c>
      <c r="I301" s="1060"/>
      <c r="J301" s="1060"/>
      <c r="K301" s="1060"/>
      <c r="L301" s="1060"/>
      <c r="M301" s="1060"/>
      <c r="N301" s="5" t="s">
        <v>305</v>
      </c>
      <c r="O301" s="5"/>
      <c r="P301" s="1061"/>
      <c r="Q301" s="1060"/>
      <c r="R301" s="1060"/>
      <c r="S301" s="41"/>
      <c r="T301" s="41" t="s">
        <v>303</v>
      </c>
      <c r="V301" s="41"/>
      <c r="W301" s="41"/>
      <c r="X301" s="41"/>
      <c r="Y301" s="41"/>
      <c r="AA301" s="1114" t="s">
        <v>375</v>
      </c>
      <c r="AB301" s="1060"/>
      <c r="AC301" s="1060"/>
      <c r="AD301" s="1060"/>
      <c r="AE301" s="1060"/>
      <c r="AF301" s="1060"/>
      <c r="AG301" s="5" t="s">
        <v>305</v>
      </c>
      <c r="AH301" s="5"/>
      <c r="AI301" s="1061"/>
      <c r="AJ301" s="1060"/>
      <c r="AK301" s="1060"/>
      <c r="BA301" s="43"/>
    </row>
    <row r="302" spans="2:53" ht="12.95" customHeight="1">
      <c r="B302" s="41" t="s">
        <v>306</v>
      </c>
      <c r="C302" s="41"/>
      <c r="D302" s="41"/>
      <c r="E302" s="41"/>
      <c r="F302" s="41"/>
      <c r="G302" s="41"/>
      <c r="H302" s="1084"/>
      <c r="I302" s="1063"/>
      <c r="J302" s="1063"/>
      <c r="K302" s="1063"/>
      <c r="L302" s="1063"/>
      <c r="M302" s="1063"/>
      <c r="N302" s="5"/>
      <c r="O302" s="5"/>
      <c r="P302" s="44"/>
      <c r="Q302" s="44"/>
      <c r="R302" s="44"/>
      <c r="S302" s="41"/>
      <c r="T302" s="41" t="s">
        <v>306</v>
      </c>
      <c r="V302" s="41"/>
      <c r="W302" s="41"/>
      <c r="X302" s="41"/>
      <c r="Y302" s="41"/>
      <c r="AA302" s="1084" t="s">
        <v>376</v>
      </c>
      <c r="AB302" s="1063"/>
      <c r="AC302" s="1063"/>
      <c r="AD302" s="1063"/>
      <c r="AE302" s="1063"/>
      <c r="AF302" s="1063"/>
      <c r="AG302" s="5"/>
      <c r="AH302" s="5"/>
      <c r="AI302" s="44"/>
      <c r="AJ302" s="44"/>
      <c r="AK302" s="44"/>
      <c r="BA302" s="43"/>
    </row>
    <row r="303" spans="2:53" ht="12.95" customHeight="1">
      <c r="B303" s="41" t="s">
        <v>364</v>
      </c>
      <c r="C303" s="41"/>
      <c r="D303" s="41"/>
      <c r="E303" s="41"/>
      <c r="F303" s="41"/>
      <c r="G303" s="41"/>
      <c r="H303" s="1068" t="s">
        <v>377</v>
      </c>
      <c r="I303" s="1063"/>
      <c r="J303" s="1063"/>
      <c r="K303" s="1063"/>
      <c r="L303" s="1063"/>
      <c r="M303" s="1063"/>
      <c r="N303" s="1063"/>
      <c r="O303" s="1063"/>
      <c r="P303" s="1063"/>
      <c r="Q303" s="1063"/>
      <c r="R303" s="1063"/>
      <c r="S303" s="41"/>
      <c r="T303" s="41" t="s">
        <v>364</v>
      </c>
      <c r="V303" s="41"/>
      <c r="W303" s="41"/>
      <c r="X303" s="41"/>
      <c r="Y303" s="41"/>
      <c r="AA303" s="1068" t="s">
        <v>309</v>
      </c>
      <c r="AB303" s="1063"/>
      <c r="AC303" s="1063"/>
      <c r="AD303" s="1063"/>
      <c r="AE303" s="1063"/>
      <c r="AF303" s="1063"/>
      <c r="AG303" s="1063"/>
      <c r="AH303" s="1063"/>
      <c r="AI303" s="1063"/>
      <c r="AJ303" s="1063"/>
      <c r="AK303" s="1063"/>
      <c r="BA303" s="43"/>
    </row>
    <row r="304" spans="2:53" ht="12.95" customHeight="1">
      <c r="BA304" s="43"/>
    </row>
    <row r="305" spans="2:53" ht="12.95" customHeight="1">
      <c r="B305" s="41" t="s">
        <v>378</v>
      </c>
      <c r="C305" s="41"/>
      <c r="D305" s="41"/>
      <c r="E305" s="41"/>
      <c r="F305" s="41"/>
      <c r="H305" s="1059" t="s">
        <v>379</v>
      </c>
      <c r="I305" s="1060"/>
      <c r="J305" s="1060"/>
      <c r="K305" s="1060"/>
      <c r="L305" s="1060"/>
      <c r="M305" s="1060"/>
      <c r="N305" s="1060"/>
      <c r="O305" s="1060"/>
      <c r="P305" s="1060"/>
      <c r="Q305" s="1060"/>
      <c r="R305" s="1060"/>
      <c r="T305" s="5" t="s">
        <v>380</v>
      </c>
      <c r="V305" s="41"/>
      <c r="W305" s="41"/>
      <c r="X305" s="41"/>
      <c r="Y305" s="41"/>
      <c r="AA305" s="1059" t="s">
        <v>381</v>
      </c>
      <c r="AB305" s="1060"/>
      <c r="AC305" s="1060"/>
      <c r="AD305" s="1060"/>
      <c r="AE305" s="1060"/>
      <c r="AF305" s="1060"/>
      <c r="AG305" s="1060"/>
      <c r="AH305" s="1060"/>
      <c r="AI305" s="1060"/>
      <c r="AJ305" s="1060"/>
      <c r="AK305" s="1060"/>
      <c r="BA305" s="43"/>
    </row>
    <row r="306" spans="2:53" ht="12.95" customHeight="1">
      <c r="B306" s="41" t="s">
        <v>356</v>
      </c>
      <c r="C306" s="41"/>
      <c r="D306" s="41"/>
      <c r="E306" s="41"/>
      <c r="F306" s="41"/>
      <c r="H306" s="1068" t="s">
        <v>382</v>
      </c>
      <c r="I306" s="1063"/>
      <c r="J306" s="1063"/>
      <c r="K306" s="1063"/>
      <c r="L306" s="1063"/>
      <c r="M306" s="1063"/>
      <c r="N306" s="1063"/>
      <c r="O306" s="1063"/>
      <c r="P306" s="1063"/>
      <c r="Q306" s="1063"/>
      <c r="R306" s="1063"/>
      <c r="T306" s="41" t="s">
        <v>356</v>
      </c>
      <c r="V306" s="41"/>
      <c r="W306" s="41"/>
      <c r="X306" s="41"/>
      <c r="Y306" s="41"/>
      <c r="AA306" s="1068" t="s">
        <v>383</v>
      </c>
      <c r="AB306" s="1063"/>
      <c r="AC306" s="1063"/>
      <c r="AD306" s="1063"/>
      <c r="AE306" s="1063"/>
      <c r="AF306" s="1063"/>
      <c r="AG306" s="1063"/>
      <c r="AH306" s="1063"/>
      <c r="AI306" s="1063"/>
      <c r="AJ306" s="1063"/>
      <c r="AK306" s="1063"/>
      <c r="BA306" s="43"/>
    </row>
    <row r="307" spans="2:53" ht="12.95" customHeight="1">
      <c r="B307" s="41" t="s">
        <v>358</v>
      </c>
      <c r="C307" s="41"/>
      <c r="D307" s="41"/>
      <c r="E307" s="41"/>
      <c r="F307" s="41"/>
      <c r="H307" s="1068" t="s">
        <v>384</v>
      </c>
      <c r="I307" s="1063"/>
      <c r="J307" s="1063"/>
      <c r="K307" s="1063"/>
      <c r="L307" s="1063"/>
      <c r="M307" s="1063"/>
      <c r="N307" s="1063"/>
      <c r="O307" s="1063"/>
      <c r="P307" s="1063"/>
      <c r="Q307" s="1063"/>
      <c r="R307" s="1063"/>
      <c r="T307" s="41" t="s">
        <v>360</v>
      </c>
      <c r="V307" s="41"/>
      <c r="W307" s="41"/>
      <c r="X307" s="41"/>
      <c r="Y307" s="41"/>
      <c r="AA307" s="1068" t="s">
        <v>359</v>
      </c>
      <c r="AB307" s="1063"/>
      <c r="AC307" s="1063"/>
      <c r="AD307" s="1063"/>
      <c r="AE307" s="1063"/>
      <c r="AF307" s="1063"/>
      <c r="AG307" s="1063"/>
      <c r="AH307" s="1063"/>
      <c r="AI307" s="1063"/>
      <c r="AJ307" s="1063"/>
      <c r="AK307" s="1063"/>
      <c r="BA307" s="43"/>
    </row>
    <row r="308" spans="2:53" ht="12.95" customHeight="1">
      <c r="B308" s="41" t="s">
        <v>301</v>
      </c>
      <c r="C308" s="41"/>
      <c r="D308" s="41"/>
      <c r="E308" s="41"/>
      <c r="F308" s="41"/>
      <c r="H308" s="1068" t="s">
        <v>385</v>
      </c>
      <c r="I308" s="1063"/>
      <c r="J308" s="1063"/>
      <c r="K308" s="1063"/>
      <c r="L308" s="1063"/>
      <c r="M308" s="1063"/>
      <c r="N308" s="1063"/>
      <c r="O308" s="1063"/>
      <c r="P308" s="1063"/>
      <c r="Q308" s="1063"/>
      <c r="R308" s="1063"/>
      <c r="T308" s="41" t="s">
        <v>301</v>
      </c>
      <c r="V308" s="41"/>
      <c r="W308" s="41"/>
      <c r="X308" s="41"/>
      <c r="Y308" s="41"/>
      <c r="AA308" s="1068" t="s">
        <v>386</v>
      </c>
      <c r="AB308" s="1063"/>
      <c r="AC308" s="1063"/>
      <c r="AD308" s="1063"/>
      <c r="AE308" s="1063"/>
      <c r="AF308" s="1063"/>
      <c r="AG308" s="1063"/>
      <c r="AH308" s="1063"/>
      <c r="AI308" s="1063"/>
      <c r="AJ308" s="1063"/>
      <c r="AK308" s="1063"/>
      <c r="BA308" s="43"/>
    </row>
    <row r="309" spans="2:53" ht="12.95" customHeight="1">
      <c r="B309" s="41" t="s">
        <v>303</v>
      </c>
      <c r="C309" s="41"/>
      <c r="D309" s="41"/>
      <c r="E309" s="41"/>
      <c r="F309" s="41"/>
      <c r="G309" s="41"/>
      <c r="H309" s="1114" t="s">
        <v>387</v>
      </c>
      <c r="I309" s="1060"/>
      <c r="J309" s="1060"/>
      <c r="K309" s="1060"/>
      <c r="L309" s="1060"/>
      <c r="M309" s="1060"/>
      <c r="N309" s="5" t="s">
        <v>305</v>
      </c>
      <c r="O309" s="5"/>
      <c r="P309" s="1061"/>
      <c r="Q309" s="1060"/>
      <c r="R309" s="1060"/>
      <c r="S309" s="41"/>
      <c r="T309" s="41" t="s">
        <v>303</v>
      </c>
      <c r="V309" s="41"/>
      <c r="W309" s="41"/>
      <c r="X309" s="41"/>
      <c r="Y309" s="41"/>
      <c r="AA309" s="1114" t="s">
        <v>388</v>
      </c>
      <c r="AB309" s="1060"/>
      <c r="AC309" s="1060"/>
      <c r="AD309" s="1060"/>
      <c r="AE309" s="1060"/>
      <c r="AF309" s="1060"/>
      <c r="AG309" s="5" t="s">
        <v>305</v>
      </c>
      <c r="AH309" s="5"/>
      <c r="AI309" s="1061"/>
      <c r="AJ309" s="1060"/>
      <c r="AK309" s="1060"/>
      <c r="BA309" s="43"/>
    </row>
    <row r="310" spans="2:53" ht="12.95" customHeight="1">
      <c r="B310" s="41" t="s">
        <v>306</v>
      </c>
      <c r="C310" s="41"/>
      <c r="D310" s="41"/>
      <c r="E310" s="41"/>
      <c r="F310" s="41"/>
      <c r="G310" s="41"/>
      <c r="H310" s="1084"/>
      <c r="I310" s="1063"/>
      <c r="J310" s="1063"/>
      <c r="K310" s="1063"/>
      <c r="L310" s="1063"/>
      <c r="M310" s="1063"/>
      <c r="N310" s="5"/>
      <c r="O310" s="5"/>
      <c r="P310" s="44"/>
      <c r="Q310" s="44"/>
      <c r="R310" s="44"/>
      <c r="S310" s="41"/>
      <c r="T310" s="41" t="s">
        <v>306</v>
      </c>
      <c r="V310" s="41"/>
      <c r="W310" s="41"/>
      <c r="X310" s="41"/>
      <c r="Y310" s="41"/>
      <c r="AA310" s="1084"/>
      <c r="AB310" s="1063"/>
      <c r="AC310" s="1063"/>
      <c r="AD310" s="1063"/>
      <c r="AE310" s="1063"/>
      <c r="AF310" s="1063"/>
      <c r="AG310" s="5"/>
      <c r="AH310" s="5"/>
      <c r="AI310" s="44"/>
      <c r="AJ310" s="44"/>
      <c r="AK310" s="44"/>
      <c r="BA310" s="43"/>
    </row>
    <row r="311" spans="2:53" ht="12.95" customHeight="1">
      <c r="B311" s="41" t="s">
        <v>364</v>
      </c>
      <c r="C311" s="41"/>
      <c r="D311" s="41"/>
      <c r="E311" s="41"/>
      <c r="F311" s="41"/>
      <c r="G311" s="41"/>
      <c r="H311" s="1068" t="s">
        <v>389</v>
      </c>
      <c r="I311" s="1063"/>
      <c r="J311" s="1063"/>
      <c r="K311" s="1063"/>
      <c r="L311" s="1063"/>
      <c r="M311" s="1063"/>
      <c r="N311" s="1063"/>
      <c r="O311" s="1063"/>
      <c r="P311" s="1063"/>
      <c r="Q311" s="1063"/>
      <c r="R311" s="1063"/>
      <c r="S311" s="41"/>
      <c r="T311" s="41" t="s">
        <v>364</v>
      </c>
      <c r="V311" s="41"/>
      <c r="W311" s="41"/>
      <c r="X311" s="41"/>
      <c r="Y311" s="41"/>
      <c r="AA311" s="1068" t="s">
        <v>390</v>
      </c>
      <c r="AB311" s="1063"/>
      <c r="AC311" s="1063"/>
      <c r="AD311" s="1063"/>
      <c r="AE311" s="1063"/>
      <c r="AF311" s="1063"/>
      <c r="AG311" s="1063"/>
      <c r="AH311" s="1063"/>
      <c r="AI311" s="1063"/>
      <c r="AJ311" s="1063"/>
      <c r="AK311" s="1063"/>
      <c r="BA311" s="43"/>
    </row>
    <row r="312" spans="2:53" ht="12.95" customHeight="1">
      <c r="BA312" s="43"/>
    </row>
    <row r="313" spans="2:53" ht="12.95" customHeight="1">
      <c r="B313" s="5" t="s">
        <v>391</v>
      </c>
      <c r="C313" s="41"/>
      <c r="D313" s="41"/>
      <c r="E313" s="41"/>
      <c r="F313" s="41"/>
      <c r="H313" s="1059" t="s">
        <v>379</v>
      </c>
      <c r="I313" s="1060"/>
      <c r="J313" s="1060"/>
      <c r="K313" s="1060"/>
      <c r="L313" s="1060"/>
      <c r="M313" s="1060"/>
      <c r="N313" s="1060"/>
      <c r="O313" s="1060"/>
      <c r="P313" s="1060"/>
      <c r="Q313" s="1060"/>
      <c r="R313" s="1060"/>
      <c r="T313" s="41" t="s">
        <v>392</v>
      </c>
      <c r="V313" s="41"/>
      <c r="W313" s="41"/>
      <c r="X313" s="41"/>
      <c r="Y313" s="41"/>
      <c r="AA313" s="1059" t="s">
        <v>393</v>
      </c>
      <c r="AB313" s="1060"/>
      <c r="AC313" s="1060"/>
      <c r="AD313" s="1060"/>
      <c r="AE313" s="1060"/>
      <c r="AF313" s="1060"/>
      <c r="AG313" s="1060"/>
      <c r="AH313" s="1060"/>
      <c r="AI313" s="1060"/>
      <c r="AJ313" s="1060"/>
      <c r="AK313" s="1060"/>
      <c r="BA313" s="43"/>
    </row>
    <row r="314" spans="2:53" ht="12.95" customHeight="1">
      <c r="B314" s="41" t="s">
        <v>356</v>
      </c>
      <c r="C314" s="41"/>
      <c r="D314" s="41"/>
      <c r="E314" s="41"/>
      <c r="F314" s="41"/>
      <c r="H314" s="1068" t="s">
        <v>382</v>
      </c>
      <c r="I314" s="1063"/>
      <c r="J314" s="1063"/>
      <c r="K314" s="1063"/>
      <c r="L314" s="1063"/>
      <c r="M314" s="1063"/>
      <c r="N314" s="1063"/>
      <c r="O314" s="1063"/>
      <c r="P314" s="1063"/>
      <c r="Q314" s="1063"/>
      <c r="R314" s="1063"/>
      <c r="T314" s="41" t="s">
        <v>356</v>
      </c>
      <c r="V314" s="41"/>
      <c r="W314" s="41"/>
      <c r="X314" s="41"/>
      <c r="Y314" s="41"/>
      <c r="AA314" s="1068" t="s">
        <v>394</v>
      </c>
      <c r="AB314" s="1063"/>
      <c r="AC314" s="1063"/>
      <c r="AD314" s="1063"/>
      <c r="AE314" s="1063"/>
      <c r="AF314" s="1063"/>
      <c r="AG314" s="1063"/>
      <c r="AH314" s="1063"/>
      <c r="AI314" s="1063"/>
      <c r="AJ314" s="1063"/>
      <c r="AK314" s="1063"/>
      <c r="BA314" s="43"/>
    </row>
    <row r="315" spans="2:53" ht="12.95" customHeight="1">
      <c r="B315" s="41" t="s">
        <v>358</v>
      </c>
      <c r="C315" s="41"/>
      <c r="D315" s="41"/>
      <c r="E315" s="41"/>
      <c r="F315" s="41"/>
      <c r="H315" s="1068" t="s">
        <v>384</v>
      </c>
      <c r="I315" s="1063"/>
      <c r="J315" s="1063"/>
      <c r="K315" s="1063"/>
      <c r="L315" s="1063"/>
      <c r="M315" s="1063"/>
      <c r="N315" s="1063"/>
      <c r="O315" s="1063"/>
      <c r="P315" s="1063"/>
      <c r="Q315" s="1063"/>
      <c r="R315" s="1063"/>
      <c r="T315" s="41" t="s">
        <v>360</v>
      </c>
      <c r="V315" s="41"/>
      <c r="W315" s="41"/>
      <c r="X315" s="41"/>
      <c r="Y315" s="41"/>
      <c r="AA315" s="1068" t="s">
        <v>395</v>
      </c>
      <c r="AB315" s="1063"/>
      <c r="AC315" s="1063"/>
      <c r="AD315" s="1063"/>
      <c r="AE315" s="1063"/>
      <c r="AF315" s="1063"/>
      <c r="AG315" s="1063"/>
      <c r="AH315" s="1063"/>
      <c r="AI315" s="1063"/>
      <c r="AJ315" s="1063"/>
      <c r="AK315" s="1063"/>
      <c r="BA315" s="43"/>
    </row>
    <row r="316" spans="2:53" ht="12.95" customHeight="1">
      <c r="B316" s="41" t="s">
        <v>301</v>
      </c>
      <c r="C316" s="41"/>
      <c r="D316" s="41"/>
      <c r="E316" s="41"/>
      <c r="F316" s="41"/>
      <c r="H316" s="1068" t="s">
        <v>385</v>
      </c>
      <c r="I316" s="1063"/>
      <c r="J316" s="1063"/>
      <c r="K316" s="1063"/>
      <c r="L316" s="1063"/>
      <c r="M316" s="1063"/>
      <c r="N316" s="1063"/>
      <c r="O316" s="1063"/>
      <c r="P316" s="1063"/>
      <c r="Q316" s="1063"/>
      <c r="R316" s="1063"/>
      <c r="T316" s="41" t="s">
        <v>301</v>
      </c>
      <c r="V316" s="41"/>
      <c r="W316" s="41"/>
      <c r="X316" s="41"/>
      <c r="Y316" s="41"/>
      <c r="AA316" s="1068" t="s">
        <v>396</v>
      </c>
      <c r="AB316" s="1063"/>
      <c r="AC316" s="1063"/>
      <c r="AD316" s="1063"/>
      <c r="AE316" s="1063"/>
      <c r="AF316" s="1063"/>
      <c r="AG316" s="1063"/>
      <c r="AH316" s="1063"/>
      <c r="AI316" s="1063"/>
      <c r="AJ316" s="1063"/>
      <c r="AK316" s="1063"/>
      <c r="BA316" s="43"/>
    </row>
    <row r="317" spans="2:53" ht="12.95" customHeight="1">
      <c r="B317" s="41" t="s">
        <v>303</v>
      </c>
      <c r="C317" s="41"/>
      <c r="D317" s="41"/>
      <c r="E317" s="41"/>
      <c r="F317" s="41"/>
      <c r="G317" s="41"/>
      <c r="H317" s="1114" t="s">
        <v>387</v>
      </c>
      <c r="I317" s="1060"/>
      <c r="J317" s="1060"/>
      <c r="K317" s="1060"/>
      <c r="L317" s="1060"/>
      <c r="M317" s="1060"/>
      <c r="N317" s="5" t="s">
        <v>305</v>
      </c>
      <c r="O317" s="5"/>
      <c r="P317" s="1061"/>
      <c r="Q317" s="1060"/>
      <c r="R317" s="1060"/>
      <c r="S317" s="41"/>
      <c r="T317" s="41" t="s">
        <v>303</v>
      </c>
      <c r="V317" s="41"/>
      <c r="W317" s="41"/>
      <c r="X317" s="41"/>
      <c r="Y317" s="41"/>
      <c r="AA317" s="1114" t="s">
        <v>397</v>
      </c>
      <c r="AB317" s="1060"/>
      <c r="AC317" s="1060"/>
      <c r="AD317" s="1060"/>
      <c r="AE317" s="1060"/>
      <c r="AF317" s="1060"/>
      <c r="AG317" s="5" t="s">
        <v>305</v>
      </c>
      <c r="AH317" s="5"/>
      <c r="AI317" s="1061"/>
      <c r="AJ317" s="1060"/>
      <c r="AK317" s="1060"/>
      <c r="BA317" s="43"/>
    </row>
    <row r="318" spans="2:53" ht="12.95" customHeight="1">
      <c r="B318" s="41" t="s">
        <v>306</v>
      </c>
      <c r="C318" s="41"/>
      <c r="D318" s="41"/>
      <c r="E318" s="41"/>
      <c r="F318" s="41"/>
      <c r="G318" s="41"/>
      <c r="H318" s="1084"/>
      <c r="I318" s="1063"/>
      <c r="J318" s="1063"/>
      <c r="K318" s="1063"/>
      <c r="L318" s="1063"/>
      <c r="M318" s="1063"/>
      <c r="N318" s="5"/>
      <c r="O318" s="5"/>
      <c r="P318" s="44"/>
      <c r="Q318" s="44"/>
      <c r="R318" s="44"/>
      <c r="S318" s="41"/>
      <c r="T318" s="41" t="s">
        <v>306</v>
      </c>
      <c r="V318" s="41"/>
      <c r="W318" s="41"/>
      <c r="X318" s="41"/>
      <c r="Y318" s="41"/>
      <c r="AA318" s="1084"/>
      <c r="AB318" s="1063"/>
      <c r="AC318" s="1063"/>
      <c r="AD318" s="1063"/>
      <c r="AE318" s="1063"/>
      <c r="AF318" s="1063"/>
      <c r="AG318" s="5"/>
      <c r="AH318" s="5"/>
      <c r="AI318" s="44"/>
      <c r="AJ318" s="44"/>
      <c r="AK318" s="44"/>
      <c r="BA318" s="43"/>
    </row>
    <row r="319" spans="2:53" ht="12.95" customHeight="1">
      <c r="B319" s="41" t="s">
        <v>364</v>
      </c>
      <c r="C319" s="41"/>
      <c r="D319" s="41"/>
      <c r="E319" s="41"/>
      <c r="F319" s="41"/>
      <c r="G319" s="41"/>
      <c r="H319" s="1068" t="s">
        <v>389</v>
      </c>
      <c r="I319" s="1063"/>
      <c r="J319" s="1063"/>
      <c r="K319" s="1063"/>
      <c r="L319" s="1063"/>
      <c r="M319" s="1063"/>
      <c r="N319" s="1063"/>
      <c r="O319" s="1063"/>
      <c r="P319" s="1063"/>
      <c r="Q319" s="1063"/>
      <c r="R319" s="1063"/>
      <c r="S319" s="41"/>
      <c r="T319" s="41" t="s">
        <v>364</v>
      </c>
      <c r="V319" s="41"/>
      <c r="W319" s="41"/>
      <c r="X319" s="41"/>
      <c r="Y319" s="41"/>
      <c r="AA319" s="1068" t="s">
        <v>398</v>
      </c>
      <c r="AB319" s="1063"/>
      <c r="AC319" s="1063"/>
      <c r="AD319" s="1063"/>
      <c r="AE319" s="1063"/>
      <c r="AF319" s="1063"/>
      <c r="AG319" s="1063"/>
      <c r="AH319" s="1063"/>
      <c r="AI319" s="1063"/>
      <c r="AJ319" s="1063"/>
      <c r="AK319" s="1063"/>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399</v>
      </c>
      <c r="C321" s="41"/>
      <c r="D321" s="41"/>
      <c r="E321" s="41"/>
      <c r="F321" s="41"/>
      <c r="H321" s="1059" t="s">
        <v>155</v>
      </c>
      <c r="I321" s="1060"/>
      <c r="J321" s="1060"/>
      <c r="K321" s="1060"/>
      <c r="L321" s="1060"/>
      <c r="M321" s="1060"/>
      <c r="N321" s="1060"/>
      <c r="O321" s="1060"/>
      <c r="P321" s="1060"/>
      <c r="Q321" s="1060"/>
      <c r="R321" s="1060"/>
      <c r="T321" s="41" t="s">
        <v>400</v>
      </c>
      <c r="V321" s="41"/>
      <c r="W321" s="41"/>
      <c r="X321" s="41"/>
      <c r="Y321" s="41"/>
      <c r="AA321" s="1059" t="s">
        <v>401</v>
      </c>
      <c r="AB321" s="1060"/>
      <c r="AC321" s="1060"/>
      <c r="AD321" s="1060"/>
      <c r="AE321" s="1060"/>
      <c r="AF321" s="1060"/>
      <c r="AG321" s="1060"/>
      <c r="AH321" s="1060"/>
      <c r="AI321" s="1060"/>
      <c r="AJ321" s="1060"/>
      <c r="AK321" s="1060"/>
      <c r="BA321" s="43"/>
    </row>
    <row r="322" spans="2:53" ht="12.95" customHeight="1">
      <c r="B322" s="41" t="s">
        <v>356</v>
      </c>
      <c r="C322" s="41"/>
      <c r="D322" s="41"/>
      <c r="E322" s="41"/>
      <c r="F322" s="41"/>
      <c r="H322" s="1068"/>
      <c r="I322" s="1063"/>
      <c r="J322" s="1063"/>
      <c r="K322" s="1063"/>
      <c r="L322" s="1063"/>
      <c r="M322" s="1063"/>
      <c r="N322" s="1063"/>
      <c r="O322" s="1063"/>
      <c r="P322" s="1063"/>
      <c r="Q322" s="1063"/>
      <c r="R322" s="1063"/>
      <c r="T322" s="41" t="s">
        <v>356</v>
      </c>
      <c r="V322" s="41"/>
      <c r="W322" s="41"/>
      <c r="X322" s="41"/>
      <c r="Y322" s="41"/>
      <c r="AA322" s="1068" t="s">
        <v>402</v>
      </c>
      <c r="AB322" s="1063"/>
      <c r="AC322" s="1063"/>
      <c r="AD322" s="1063"/>
      <c r="AE322" s="1063"/>
      <c r="AF322" s="1063"/>
      <c r="AG322" s="1063"/>
      <c r="AH322" s="1063"/>
      <c r="AI322" s="1063"/>
      <c r="AJ322" s="1063"/>
      <c r="AK322" s="1063"/>
      <c r="BA322" s="43"/>
    </row>
    <row r="323" spans="2:53" ht="12.95" customHeight="1">
      <c r="B323" s="41" t="s">
        <v>358</v>
      </c>
      <c r="C323" s="41"/>
      <c r="D323" s="41"/>
      <c r="E323" s="41"/>
      <c r="F323" s="41"/>
      <c r="H323" s="1068"/>
      <c r="I323" s="1063"/>
      <c r="J323" s="1063"/>
      <c r="K323" s="1063"/>
      <c r="L323" s="1063"/>
      <c r="M323" s="1063"/>
      <c r="N323" s="1063"/>
      <c r="O323" s="1063"/>
      <c r="P323" s="1063"/>
      <c r="Q323" s="1063"/>
      <c r="R323" s="1063"/>
      <c r="T323" s="41" t="s">
        <v>360</v>
      </c>
      <c r="V323" s="41"/>
      <c r="W323" s="41"/>
      <c r="X323" s="41"/>
      <c r="Y323" s="41"/>
      <c r="AA323" s="1068" t="s">
        <v>403</v>
      </c>
      <c r="AB323" s="1063"/>
      <c r="AC323" s="1063"/>
      <c r="AD323" s="1063"/>
      <c r="AE323" s="1063"/>
      <c r="AF323" s="1063"/>
      <c r="AG323" s="1063"/>
      <c r="AH323" s="1063"/>
      <c r="AI323" s="1063"/>
      <c r="AJ323" s="1063"/>
      <c r="AK323" s="1063"/>
      <c r="BA323" s="43"/>
    </row>
    <row r="324" spans="2:53" ht="12.95" customHeight="1">
      <c r="B324" s="41" t="s">
        <v>301</v>
      </c>
      <c r="C324" s="41"/>
      <c r="D324" s="41"/>
      <c r="E324" s="41"/>
      <c r="F324" s="41"/>
      <c r="H324" s="1068"/>
      <c r="I324" s="1063"/>
      <c r="J324" s="1063"/>
      <c r="K324" s="1063"/>
      <c r="L324" s="1063"/>
      <c r="M324" s="1063"/>
      <c r="N324" s="1063"/>
      <c r="O324" s="1063"/>
      <c r="P324" s="1063"/>
      <c r="Q324" s="1063"/>
      <c r="R324" s="1063"/>
      <c r="T324" s="41" t="s">
        <v>301</v>
      </c>
      <c r="V324" s="41"/>
      <c r="W324" s="41"/>
      <c r="X324" s="41"/>
      <c r="Y324" s="41"/>
      <c r="AA324" s="1068" t="s">
        <v>404</v>
      </c>
      <c r="AB324" s="1063"/>
      <c r="AC324" s="1063"/>
      <c r="AD324" s="1063"/>
      <c r="AE324" s="1063"/>
      <c r="AF324" s="1063"/>
      <c r="AG324" s="1063"/>
      <c r="AH324" s="1063"/>
      <c r="AI324" s="1063"/>
      <c r="AJ324" s="1063"/>
      <c r="AK324" s="1063"/>
      <c r="BA324" s="43"/>
    </row>
    <row r="325" spans="2:53" ht="12.95" customHeight="1">
      <c r="B325" s="41" t="s">
        <v>303</v>
      </c>
      <c r="C325" s="41"/>
      <c r="D325" s="41"/>
      <c r="E325" s="41"/>
      <c r="F325" s="41"/>
      <c r="G325" s="41"/>
      <c r="H325" s="1114"/>
      <c r="I325" s="1060"/>
      <c r="J325" s="1060"/>
      <c r="K325" s="1060"/>
      <c r="L325" s="1060"/>
      <c r="M325" s="1060"/>
      <c r="N325" s="5" t="s">
        <v>305</v>
      </c>
      <c r="O325" s="5"/>
      <c r="P325" s="1061"/>
      <c r="Q325" s="1060"/>
      <c r="R325" s="1060"/>
      <c r="S325" s="41"/>
      <c r="T325" s="41" t="s">
        <v>303</v>
      </c>
      <c r="V325" s="41"/>
      <c r="W325" s="41"/>
      <c r="X325" s="41"/>
      <c r="Y325" s="41"/>
      <c r="AA325" s="1114" t="s">
        <v>405</v>
      </c>
      <c r="AB325" s="1060"/>
      <c r="AC325" s="1060"/>
      <c r="AD325" s="1060"/>
      <c r="AE325" s="1060"/>
      <c r="AF325" s="1060"/>
      <c r="AG325" s="5" t="s">
        <v>305</v>
      </c>
      <c r="AH325" s="5"/>
      <c r="AI325" s="1061"/>
      <c r="AJ325" s="1060"/>
      <c r="AK325" s="1060"/>
      <c r="BA325" s="43"/>
    </row>
    <row r="326" spans="2:53" ht="12.95" customHeight="1">
      <c r="B326" s="41" t="s">
        <v>306</v>
      </c>
      <c r="C326" s="41"/>
      <c r="D326" s="41"/>
      <c r="E326" s="41"/>
      <c r="F326" s="41"/>
      <c r="G326" s="41"/>
      <c r="H326" s="1084"/>
      <c r="I326" s="1063"/>
      <c r="J326" s="1063"/>
      <c r="K326" s="1063"/>
      <c r="L326" s="1063"/>
      <c r="M326" s="1063"/>
      <c r="N326" s="5"/>
      <c r="O326" s="5"/>
      <c r="P326" s="44"/>
      <c r="Q326" s="44"/>
      <c r="R326" s="44"/>
      <c r="S326" s="41"/>
      <c r="T326" s="41" t="s">
        <v>306</v>
      </c>
      <c r="V326" s="41"/>
      <c r="W326" s="41"/>
      <c r="X326" s="41"/>
      <c r="Y326" s="41"/>
      <c r="AA326" s="1084" t="s">
        <v>406</v>
      </c>
      <c r="AB326" s="1063"/>
      <c r="AC326" s="1063"/>
      <c r="AD326" s="1063"/>
      <c r="AE326" s="1063"/>
      <c r="AF326" s="1063"/>
      <c r="AG326" s="5"/>
      <c r="AH326" s="5"/>
      <c r="AI326" s="44"/>
      <c r="AJ326" s="44"/>
      <c r="AK326" s="44"/>
      <c r="BA326" s="43"/>
    </row>
    <row r="327" spans="2:53" ht="12.95" customHeight="1">
      <c r="B327" s="41" t="s">
        <v>364</v>
      </c>
      <c r="C327" s="41"/>
      <c r="D327" s="41"/>
      <c r="E327" s="41"/>
      <c r="F327" s="41"/>
      <c r="G327" s="41"/>
      <c r="H327" s="1068"/>
      <c r="I327" s="1063"/>
      <c r="J327" s="1063"/>
      <c r="K327" s="1063"/>
      <c r="L327" s="1063"/>
      <c r="M327" s="1063"/>
      <c r="N327" s="1063"/>
      <c r="O327" s="1063"/>
      <c r="P327" s="1063"/>
      <c r="Q327" s="1063"/>
      <c r="R327" s="1063"/>
      <c r="S327" s="41"/>
      <c r="T327" s="41" t="s">
        <v>364</v>
      </c>
      <c r="V327" s="41"/>
      <c r="W327" s="41"/>
      <c r="X327" s="41"/>
      <c r="Y327" s="41"/>
      <c r="AA327" s="1068" t="s">
        <v>407</v>
      </c>
      <c r="AB327" s="1063"/>
      <c r="AC327" s="1063"/>
      <c r="AD327" s="1063"/>
      <c r="AE327" s="1063"/>
      <c r="AF327" s="1063"/>
      <c r="AG327" s="1063"/>
      <c r="AH327" s="1063"/>
      <c r="AI327" s="1063"/>
      <c r="AJ327" s="1063"/>
      <c r="AK327" s="1063"/>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408</v>
      </c>
      <c r="C329" s="41"/>
      <c r="D329" s="41"/>
      <c r="E329" s="41"/>
      <c r="F329" s="41"/>
      <c r="H329" s="1059"/>
      <c r="I329" s="1060"/>
      <c r="J329" s="1060"/>
      <c r="K329" s="1060"/>
      <c r="L329" s="1060"/>
      <c r="M329" s="1060"/>
      <c r="N329" s="1060"/>
      <c r="O329" s="1060"/>
      <c r="P329" s="1060"/>
      <c r="Q329" s="1060"/>
      <c r="R329" s="1060"/>
      <c r="T329" s="5" t="s">
        <v>409</v>
      </c>
      <c r="V329" s="41"/>
      <c r="W329" s="41"/>
      <c r="X329" s="41"/>
      <c r="Y329" s="41"/>
      <c r="AA329" s="1059" t="s">
        <v>410</v>
      </c>
      <c r="AB329" s="1060"/>
      <c r="AC329" s="1060"/>
      <c r="AD329" s="1060"/>
      <c r="AE329" s="1060"/>
      <c r="AF329" s="1060"/>
      <c r="AG329" s="1060"/>
      <c r="AH329" s="1060"/>
      <c r="AI329" s="1060"/>
      <c r="AJ329" s="1060"/>
      <c r="AK329" s="1060"/>
      <c r="BA329" s="43"/>
    </row>
    <row r="330" spans="2:53" ht="12.95" customHeight="1">
      <c r="B330" s="41" t="s">
        <v>356</v>
      </c>
      <c r="C330" s="41"/>
      <c r="D330" s="41"/>
      <c r="E330" s="41"/>
      <c r="F330" s="41"/>
      <c r="H330" s="1068"/>
      <c r="I330" s="1063"/>
      <c r="J330" s="1063"/>
      <c r="K330" s="1063"/>
      <c r="L330" s="1063"/>
      <c r="M330" s="1063"/>
      <c r="N330" s="1063"/>
      <c r="O330" s="1063"/>
      <c r="P330" s="1063"/>
      <c r="Q330" s="1063"/>
      <c r="R330" s="1063"/>
      <c r="T330" s="41" t="s">
        <v>356</v>
      </c>
      <c r="V330" s="41"/>
      <c r="W330" s="41"/>
      <c r="X330" s="41"/>
      <c r="Y330" s="41"/>
      <c r="AA330" s="1068" t="s">
        <v>371</v>
      </c>
      <c r="AB330" s="1063"/>
      <c r="AC330" s="1063"/>
      <c r="AD330" s="1063"/>
      <c r="AE330" s="1063"/>
      <c r="AF330" s="1063"/>
      <c r="AG330" s="1063"/>
      <c r="AH330" s="1063"/>
      <c r="AI330" s="1063"/>
      <c r="AJ330" s="1063"/>
      <c r="AK330" s="1063"/>
      <c r="BA330" s="43"/>
    </row>
    <row r="331" spans="2:53" ht="12.95" customHeight="1">
      <c r="B331" s="41" t="s">
        <v>358</v>
      </c>
      <c r="C331" s="41"/>
      <c r="D331" s="41"/>
      <c r="E331" s="41"/>
      <c r="F331" s="41"/>
      <c r="G331" s="41"/>
      <c r="H331" s="1068"/>
      <c r="I331" s="1063"/>
      <c r="J331" s="1063"/>
      <c r="K331" s="1063"/>
      <c r="L331" s="1063"/>
      <c r="M331" s="1063"/>
      <c r="N331" s="1063"/>
      <c r="O331" s="1063"/>
      <c r="P331" s="1063"/>
      <c r="Q331" s="1063"/>
      <c r="R331" s="1063"/>
      <c r="T331" s="41" t="s">
        <v>360</v>
      </c>
      <c r="V331" s="41"/>
      <c r="W331" s="41"/>
      <c r="X331" s="41"/>
      <c r="Y331" s="41"/>
      <c r="AA331" s="1068" t="s">
        <v>359</v>
      </c>
      <c r="AB331" s="1063"/>
      <c r="AC331" s="1063"/>
      <c r="AD331" s="1063"/>
      <c r="AE331" s="1063"/>
      <c r="AF331" s="1063"/>
      <c r="AG331" s="1063"/>
      <c r="AH331" s="1063"/>
      <c r="AI331" s="1063"/>
      <c r="AJ331" s="1063"/>
      <c r="AK331" s="1063"/>
      <c r="BA331" s="43"/>
    </row>
    <row r="332" spans="2:53" ht="12.95" customHeight="1">
      <c r="B332" s="41" t="s">
        <v>301</v>
      </c>
      <c r="C332" s="41"/>
      <c r="D332" s="41"/>
      <c r="E332" s="41"/>
      <c r="F332" s="41"/>
      <c r="H332" s="1068"/>
      <c r="I332" s="1063"/>
      <c r="J332" s="1063"/>
      <c r="K332" s="1063"/>
      <c r="L332" s="1063"/>
      <c r="M332" s="1063"/>
      <c r="N332" s="1063"/>
      <c r="O332" s="1063"/>
      <c r="P332" s="1063"/>
      <c r="Q332" s="1063"/>
      <c r="R332" s="1063"/>
      <c r="T332" s="41" t="s">
        <v>301</v>
      </c>
      <c r="V332" s="41"/>
      <c r="W332" s="41"/>
      <c r="X332" s="41"/>
      <c r="Y332" s="41"/>
      <c r="AA332" s="1068" t="s">
        <v>411</v>
      </c>
      <c r="AB332" s="1063"/>
      <c r="AC332" s="1063"/>
      <c r="AD332" s="1063"/>
      <c r="AE332" s="1063"/>
      <c r="AF332" s="1063"/>
      <c r="AG332" s="1063"/>
      <c r="AH332" s="1063"/>
      <c r="AI332" s="1063"/>
      <c r="AJ332" s="1063"/>
      <c r="AK332" s="1063"/>
      <c r="BA332" s="43"/>
    </row>
    <row r="333" spans="2:53" ht="12.95" customHeight="1">
      <c r="B333" s="41" t="s">
        <v>303</v>
      </c>
      <c r="C333" s="41"/>
      <c r="D333" s="41"/>
      <c r="E333" s="41"/>
      <c r="F333" s="41"/>
      <c r="G333" s="41"/>
      <c r="H333" s="1114"/>
      <c r="I333" s="1060"/>
      <c r="J333" s="1060"/>
      <c r="K333" s="1060"/>
      <c r="L333" s="1060"/>
      <c r="M333" s="1060"/>
      <c r="N333" s="5" t="s">
        <v>305</v>
      </c>
      <c r="O333" s="5"/>
      <c r="P333" s="1061"/>
      <c r="Q333" s="1060"/>
      <c r="R333" s="1060"/>
      <c r="T333" s="41" t="s">
        <v>303</v>
      </c>
      <c r="V333" s="41"/>
      <c r="W333" s="41"/>
      <c r="X333" s="41"/>
      <c r="Y333" s="41"/>
      <c r="AA333" s="1114" t="s">
        <v>375</v>
      </c>
      <c r="AB333" s="1060"/>
      <c r="AC333" s="1060"/>
      <c r="AD333" s="1060"/>
      <c r="AE333" s="1060"/>
      <c r="AF333" s="1060"/>
      <c r="AG333" s="5" t="s">
        <v>305</v>
      </c>
      <c r="AH333" s="5"/>
      <c r="AI333" s="1061"/>
      <c r="AJ333" s="1060"/>
      <c r="AK333" s="1060"/>
      <c r="BA333" s="43"/>
    </row>
    <row r="334" spans="2:53" ht="12.95" customHeight="1">
      <c r="B334" s="41" t="s">
        <v>306</v>
      </c>
      <c r="C334" s="41"/>
      <c r="D334" s="41"/>
      <c r="E334" s="41"/>
      <c r="F334" s="41"/>
      <c r="G334" s="41"/>
      <c r="H334" s="1084"/>
      <c r="I334" s="1063"/>
      <c r="J334" s="1063"/>
      <c r="K334" s="1063"/>
      <c r="L334" s="1063"/>
      <c r="M334" s="1063"/>
      <c r="N334" s="5"/>
      <c r="O334" s="5"/>
      <c r="P334" s="44"/>
      <c r="Q334" s="44"/>
      <c r="R334" s="44"/>
      <c r="T334" s="41" t="s">
        <v>306</v>
      </c>
      <c r="V334" s="41"/>
      <c r="W334" s="41"/>
      <c r="X334" s="41"/>
      <c r="Y334" s="41"/>
      <c r="AA334" s="1084" t="s">
        <v>376</v>
      </c>
      <c r="AB334" s="1063"/>
      <c r="AC334" s="1063"/>
      <c r="AD334" s="1063"/>
      <c r="AE334" s="1063"/>
      <c r="AF334" s="1063"/>
      <c r="AG334" s="5"/>
      <c r="AH334" s="5"/>
      <c r="AI334" s="44"/>
      <c r="AJ334" s="44"/>
      <c r="AK334" s="44"/>
      <c r="BA334" s="43"/>
    </row>
    <row r="335" spans="2:53" ht="12.95" customHeight="1">
      <c r="B335" s="41" t="s">
        <v>364</v>
      </c>
      <c r="C335" s="41"/>
      <c r="D335" s="41"/>
      <c r="E335" s="41"/>
      <c r="F335" s="41"/>
      <c r="G335" s="41"/>
      <c r="H335" s="1068"/>
      <c r="I335" s="1063"/>
      <c r="J335" s="1063"/>
      <c r="K335" s="1063"/>
      <c r="L335" s="1063"/>
      <c r="M335" s="1063"/>
      <c r="N335" s="1063"/>
      <c r="O335" s="1063"/>
      <c r="P335" s="1063"/>
      <c r="Q335" s="1063"/>
      <c r="R335" s="1063"/>
      <c r="T335" s="41" t="s">
        <v>364</v>
      </c>
      <c r="V335" s="41"/>
      <c r="W335" s="41"/>
      <c r="X335" s="41"/>
      <c r="Y335" s="41"/>
      <c r="AA335" s="1068" t="s">
        <v>412</v>
      </c>
      <c r="AB335" s="1063"/>
      <c r="AC335" s="1063"/>
      <c r="AD335" s="1063"/>
      <c r="AE335" s="1063"/>
      <c r="AF335" s="1063"/>
      <c r="AG335" s="1063"/>
      <c r="AH335" s="1063"/>
      <c r="AI335" s="1063"/>
      <c r="AJ335" s="1063"/>
      <c r="AK335" s="106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413</v>
      </c>
      <c r="C337" s="358"/>
      <c r="D337" s="358"/>
      <c r="E337" s="358"/>
      <c r="F337" s="358"/>
      <c r="G337" s="358"/>
      <c r="H337" s="1059"/>
      <c r="I337" s="1060"/>
      <c r="J337" s="1060"/>
      <c r="K337" s="1060"/>
      <c r="L337" s="1060"/>
      <c r="M337" s="1060"/>
      <c r="N337" s="1060"/>
      <c r="O337" s="1060"/>
      <c r="P337" s="1060"/>
      <c r="Q337" s="1060"/>
      <c r="R337" s="1060"/>
      <c r="T337" s="358" t="s">
        <v>414</v>
      </c>
      <c r="AA337" s="1059" t="s">
        <v>155</v>
      </c>
      <c r="AB337" s="1060"/>
      <c r="AC337" s="1060"/>
      <c r="AD337" s="1060"/>
      <c r="AE337" s="1060"/>
      <c r="AF337" s="1060"/>
      <c r="AG337" s="1060"/>
      <c r="AH337" s="1060"/>
      <c r="AI337" s="1060"/>
      <c r="AJ337" s="1060"/>
      <c r="AK337" s="1060"/>
      <c r="BA337" s="43"/>
    </row>
    <row r="338" spans="2:53" ht="12.95" customHeight="1">
      <c r="B338" s="358" t="s">
        <v>356</v>
      </c>
      <c r="C338" s="358"/>
      <c r="D338" s="358"/>
      <c r="E338" s="358"/>
      <c r="F338" s="358"/>
      <c r="G338" s="358"/>
      <c r="H338" s="1068"/>
      <c r="I338" s="1063"/>
      <c r="J338" s="1063"/>
      <c r="K338" s="1063"/>
      <c r="L338" s="1063"/>
      <c r="M338" s="1063"/>
      <c r="N338" s="1063"/>
      <c r="O338" s="1063"/>
      <c r="P338" s="1063"/>
      <c r="Q338" s="1063"/>
      <c r="R338" s="1063"/>
      <c r="T338" s="41" t="s">
        <v>356</v>
      </c>
      <c r="AA338" s="1068"/>
      <c r="AB338" s="1063"/>
      <c r="AC338" s="1063"/>
      <c r="AD338" s="1063"/>
      <c r="AE338" s="1063"/>
      <c r="AF338" s="1063"/>
      <c r="AG338" s="1063"/>
      <c r="AH338" s="1063"/>
      <c r="AI338" s="1063"/>
      <c r="AJ338" s="1063"/>
      <c r="AK338" s="1063"/>
      <c r="BA338" s="43"/>
    </row>
    <row r="339" spans="2:53" ht="12.95" customHeight="1">
      <c r="B339" s="358" t="s">
        <v>358</v>
      </c>
      <c r="C339" s="358"/>
      <c r="D339" s="358"/>
      <c r="E339" s="358"/>
      <c r="F339" s="358"/>
      <c r="G339" s="358"/>
      <c r="H339" s="1068"/>
      <c r="I339" s="1063"/>
      <c r="J339" s="1063"/>
      <c r="K339" s="1063"/>
      <c r="L339" s="1063"/>
      <c r="M339" s="1063"/>
      <c r="N339" s="1063"/>
      <c r="O339" s="1063"/>
      <c r="P339" s="1063"/>
      <c r="Q339" s="1063"/>
      <c r="R339" s="1063"/>
      <c r="T339" s="41" t="s">
        <v>360</v>
      </c>
      <c r="AA339" s="1068"/>
      <c r="AB339" s="1063"/>
      <c r="AC339" s="1063"/>
      <c r="AD339" s="1063"/>
      <c r="AE339" s="1063"/>
      <c r="AF339" s="1063"/>
      <c r="AG339" s="1063"/>
      <c r="AH339" s="1063"/>
      <c r="AI339" s="1063"/>
      <c r="AJ339" s="1063"/>
      <c r="AK339" s="1063"/>
    </row>
    <row r="340" spans="2:53" ht="12.95" customHeight="1">
      <c r="B340" s="358" t="s">
        <v>301</v>
      </c>
      <c r="C340" s="358"/>
      <c r="D340" s="358"/>
      <c r="E340" s="358"/>
      <c r="F340" s="358"/>
      <c r="G340" s="358"/>
      <c r="H340" s="1068"/>
      <c r="I340" s="1063"/>
      <c r="J340" s="1063"/>
      <c r="K340" s="1063"/>
      <c r="L340" s="1063"/>
      <c r="M340" s="1063"/>
      <c r="N340" s="1063"/>
      <c r="O340" s="1063"/>
      <c r="P340" s="1063"/>
      <c r="Q340" s="1063"/>
      <c r="R340" s="1063"/>
      <c r="T340" s="41" t="s">
        <v>301</v>
      </c>
      <c r="AA340" s="1068"/>
      <c r="AB340" s="1063"/>
      <c r="AC340" s="1063"/>
      <c r="AD340" s="1063"/>
      <c r="AE340" s="1063"/>
      <c r="AF340" s="1063"/>
      <c r="AG340" s="1063"/>
      <c r="AH340" s="1063"/>
      <c r="AI340" s="1063"/>
      <c r="AJ340" s="1063"/>
      <c r="AK340" s="1063"/>
    </row>
    <row r="341" spans="2:53" ht="12.95" customHeight="1">
      <c r="B341" s="358" t="s">
        <v>303</v>
      </c>
      <c r="C341" s="358"/>
      <c r="D341" s="358"/>
      <c r="E341" s="358"/>
      <c r="F341" s="358"/>
      <c r="G341" s="358"/>
      <c r="H341" s="1114"/>
      <c r="I341" s="1060"/>
      <c r="J341" s="1060"/>
      <c r="K341" s="1060"/>
      <c r="L341" s="1060"/>
      <c r="M341" s="1060"/>
      <c r="N341" s="5" t="s">
        <v>305</v>
      </c>
      <c r="O341" s="5"/>
      <c r="P341" s="1061"/>
      <c r="Q341" s="1060"/>
      <c r="R341" s="1060"/>
      <c r="T341" s="41" t="s">
        <v>303</v>
      </c>
      <c r="AA341" s="1114"/>
      <c r="AB341" s="1060"/>
      <c r="AC341" s="1060"/>
      <c r="AD341" s="1060"/>
      <c r="AE341" s="1060"/>
      <c r="AF341" s="1060"/>
      <c r="AG341" s="5" t="s">
        <v>305</v>
      </c>
      <c r="AH341" s="5"/>
      <c r="AI341" s="1061"/>
      <c r="AJ341" s="1060"/>
      <c r="AK341" s="1060"/>
    </row>
    <row r="342" spans="2:53" ht="12.95" customHeight="1">
      <c r="B342" s="358" t="s">
        <v>306</v>
      </c>
      <c r="C342" s="358"/>
      <c r="D342" s="358"/>
      <c r="E342" s="358"/>
      <c r="F342" s="358"/>
      <c r="G342" s="358"/>
      <c r="H342" s="1084"/>
      <c r="I342" s="1063"/>
      <c r="J342" s="1063"/>
      <c r="K342" s="1063"/>
      <c r="L342" s="1063"/>
      <c r="M342" s="1063"/>
      <c r="N342" s="5"/>
      <c r="O342" s="5"/>
      <c r="P342" s="44"/>
      <c r="Q342" s="44"/>
      <c r="R342" s="44"/>
      <c r="T342" s="41" t="s">
        <v>306</v>
      </c>
      <c r="AA342" s="1084"/>
      <c r="AB342" s="1063"/>
      <c r="AC342" s="1063"/>
      <c r="AD342" s="1063"/>
      <c r="AE342" s="1063"/>
      <c r="AF342" s="1063"/>
      <c r="AG342" s="5"/>
      <c r="AH342" s="5"/>
      <c r="AI342" s="44"/>
      <c r="AJ342" s="44"/>
      <c r="AK342" s="44"/>
    </row>
    <row r="343" spans="2:53" ht="12.95" customHeight="1">
      <c r="B343" s="358" t="s">
        <v>364</v>
      </c>
      <c r="C343" s="358"/>
      <c r="D343" s="358"/>
      <c r="E343" s="358"/>
      <c r="F343" s="358"/>
      <c r="G343" s="358"/>
      <c r="H343" s="1068"/>
      <c r="I343" s="1063"/>
      <c r="J343" s="1063"/>
      <c r="K343" s="1063"/>
      <c r="L343" s="1063"/>
      <c r="M343" s="1063"/>
      <c r="N343" s="1063"/>
      <c r="O343" s="1063"/>
      <c r="P343" s="1063"/>
      <c r="Q343" s="1063"/>
      <c r="R343" s="1063"/>
      <c r="T343" s="41" t="s">
        <v>364</v>
      </c>
      <c r="AA343" s="1068"/>
      <c r="AB343" s="1063"/>
      <c r="AC343" s="1063"/>
      <c r="AD343" s="1063"/>
      <c r="AE343" s="1063"/>
      <c r="AF343" s="1063"/>
      <c r="AG343" s="1063"/>
      <c r="AH343" s="1063"/>
      <c r="AI343" s="1063"/>
      <c r="AJ343" s="1063"/>
      <c r="AK343" s="1063"/>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415</v>
      </c>
      <c r="P345" s="1059" t="s">
        <v>416</v>
      </c>
      <c r="Q345" s="1060"/>
      <c r="R345" s="1060"/>
      <c r="S345" s="1060"/>
      <c r="T345" s="1060"/>
      <c r="U345" s="1060"/>
      <c r="V345" s="1060"/>
      <c r="W345" s="1060"/>
      <c r="X345" s="1060"/>
      <c r="Y345" s="1060"/>
      <c r="Z345" s="1060"/>
    </row>
    <row r="346" spans="2:53" ht="12.95" customHeight="1">
      <c r="C346" s="358"/>
      <c r="D346" s="358"/>
      <c r="E346" s="358"/>
      <c r="F346" s="358"/>
      <c r="G346" s="358"/>
      <c r="I346" s="358" t="s">
        <v>356</v>
      </c>
      <c r="P346" s="1126" t="s">
        <v>2417</v>
      </c>
      <c r="Q346" s="1063"/>
      <c r="R346" s="1063"/>
      <c r="S346" s="1063"/>
      <c r="T346" s="1063"/>
      <c r="U346" s="1063"/>
      <c r="V346" s="1063"/>
      <c r="W346" s="1063"/>
      <c r="X346" s="1063"/>
      <c r="Y346" s="1063"/>
      <c r="Z346" s="1063"/>
    </row>
    <row r="347" spans="2:53" ht="12.95" customHeight="1">
      <c r="C347" s="358"/>
      <c r="D347" s="358"/>
      <c r="E347" s="358"/>
      <c r="F347" s="358"/>
      <c r="G347" s="358"/>
      <c r="I347" s="358" t="s">
        <v>358</v>
      </c>
      <c r="P347" s="1126" t="s">
        <v>2418</v>
      </c>
      <c r="Q347" s="1063"/>
      <c r="R347" s="1063"/>
      <c r="S347" s="1063"/>
      <c r="T347" s="1063"/>
      <c r="U347" s="1063"/>
      <c r="V347" s="1063"/>
      <c r="W347" s="1063"/>
      <c r="X347" s="1063"/>
      <c r="Y347" s="1063"/>
      <c r="Z347" s="1063"/>
    </row>
    <row r="348" spans="2:53" ht="12.95" customHeight="1">
      <c r="C348" s="358"/>
      <c r="D348" s="358"/>
      <c r="E348" s="358"/>
      <c r="F348" s="358"/>
      <c r="G348" s="358"/>
      <c r="I348" s="358" t="s">
        <v>301</v>
      </c>
      <c r="P348" s="1126" t="s">
        <v>2419</v>
      </c>
      <c r="Q348" s="1063"/>
      <c r="R348" s="1063"/>
      <c r="S348" s="1063"/>
      <c r="T348" s="1063"/>
      <c r="U348" s="1063"/>
      <c r="V348" s="1063"/>
      <c r="W348" s="1063"/>
      <c r="X348" s="1063"/>
      <c r="Y348" s="1063"/>
      <c r="Z348" s="1063"/>
    </row>
    <row r="349" spans="2:53" ht="12.95" customHeight="1">
      <c r="C349" s="358"/>
      <c r="D349" s="358"/>
      <c r="E349" s="358"/>
      <c r="F349" s="358"/>
      <c r="G349" s="358"/>
      <c r="I349" s="358" t="s">
        <v>303</v>
      </c>
      <c r="P349" s="1166" t="s">
        <v>2420</v>
      </c>
      <c r="Q349" s="1060"/>
      <c r="R349" s="1060"/>
      <c r="S349" s="1060"/>
      <c r="T349" s="1060"/>
      <c r="U349" s="1060"/>
      <c r="V349" s="5" t="s">
        <v>305</v>
      </c>
      <c r="W349" s="5"/>
      <c r="X349" s="1061"/>
      <c r="Y349" s="1060"/>
      <c r="Z349" s="1060"/>
    </row>
    <row r="350" spans="2:53" ht="12.95" customHeight="1">
      <c r="C350" s="358"/>
      <c r="D350" s="358"/>
      <c r="E350" s="358"/>
      <c r="F350" s="358"/>
      <c r="G350" s="358"/>
      <c r="I350" s="358" t="s">
        <v>306</v>
      </c>
      <c r="P350" s="1084"/>
      <c r="Q350" s="1063"/>
      <c r="R350" s="1063"/>
      <c r="S350" s="1063"/>
      <c r="T350" s="1063"/>
      <c r="U350" s="1063"/>
      <c r="V350" s="5"/>
      <c r="W350" s="5"/>
      <c r="X350" s="44"/>
      <c r="Y350" s="44"/>
      <c r="Z350" s="44"/>
    </row>
    <row r="351" spans="2:53" ht="12.95" customHeight="1">
      <c r="C351" s="358"/>
      <c r="D351" s="358"/>
      <c r="E351" s="358"/>
      <c r="F351" s="358"/>
      <c r="G351" s="358"/>
      <c r="I351" s="358" t="s">
        <v>364</v>
      </c>
      <c r="P351" s="1126" t="s">
        <v>2421</v>
      </c>
      <c r="Q351" s="1063"/>
      <c r="R351" s="1063"/>
      <c r="S351" s="1063"/>
      <c r="T351" s="1063"/>
      <c r="U351" s="1063"/>
      <c r="V351" s="1063"/>
      <c r="W351" s="1063"/>
      <c r="X351" s="1063"/>
      <c r="Y351" s="1063"/>
      <c r="Z351" s="1063"/>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50" t="s">
        <v>417</v>
      </c>
      <c r="B353" s="976"/>
      <c r="C353" s="1113"/>
      <c r="D353" s="976"/>
      <c r="E353" s="976"/>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c r="AL353" s="976"/>
      <c r="AM353" s="976"/>
      <c r="AN353" s="976"/>
      <c r="AO353" s="976"/>
      <c r="AP353" s="976"/>
      <c r="AQ353" s="976"/>
      <c r="AR353" s="976"/>
      <c r="AS353" s="976"/>
      <c r="AT353" s="976"/>
    </row>
    <row r="354" spans="1:46" ht="12.95" customHeight="1">
      <c r="A354" s="976"/>
      <c r="B354" s="976"/>
      <c r="C354" s="1113"/>
      <c r="D354" s="976"/>
      <c r="E354" s="976"/>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c r="AL354" s="976"/>
      <c r="AM354" s="976"/>
      <c r="AN354" s="976"/>
      <c r="AO354" s="976"/>
      <c r="AP354" s="976"/>
      <c r="AQ354" s="976"/>
      <c r="AR354" s="976"/>
      <c r="AS354" s="976"/>
      <c r="AT354" s="976"/>
    </row>
    <row r="355" spans="1:46" ht="12.95" customHeight="1">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97</v>
      </c>
      <c r="B356" s="3"/>
      <c r="C356" s="3" t="s">
        <v>418</v>
      </c>
    </row>
    <row r="357" spans="1:46" ht="12.95" customHeight="1">
      <c r="D357" t="s">
        <v>419</v>
      </c>
      <c r="M357" s="1066" t="s">
        <v>71</v>
      </c>
      <c r="N357" s="1060"/>
      <c r="P357" t="s">
        <v>420</v>
      </c>
      <c r="AJ357" s="1066" t="s">
        <v>155</v>
      </c>
      <c r="AK357" s="1060"/>
    </row>
    <row r="358" spans="1:46" ht="12.95" customHeight="1">
      <c r="D358" s="41" t="s">
        <v>421</v>
      </c>
      <c r="M358" s="1066" t="s">
        <v>155</v>
      </c>
      <c r="N358" s="1060"/>
      <c r="P358" s="41" t="s">
        <v>422</v>
      </c>
      <c r="AJ358" s="1267"/>
      <c r="AK358" s="1063"/>
    </row>
    <row r="359" spans="1:46" ht="12.95" customHeight="1">
      <c r="D359" t="s">
        <v>423</v>
      </c>
      <c r="M359" s="1066" t="s">
        <v>155</v>
      </c>
      <c r="N359" s="1060"/>
      <c r="P359" t="s">
        <v>424</v>
      </c>
      <c r="AJ359" s="1066" t="s">
        <v>155</v>
      </c>
      <c r="AK359" s="1060"/>
    </row>
    <row r="360" spans="1:46" ht="12.95" customHeight="1">
      <c r="D360" t="s">
        <v>425</v>
      </c>
      <c r="M360" s="1066" t="s">
        <v>155</v>
      </c>
      <c r="N360" s="1060"/>
      <c r="Q360" s="41"/>
    </row>
    <row r="361" spans="1:46" ht="12.95" customHeight="1">
      <c r="P361" s="358"/>
      <c r="Q361" s="358"/>
      <c r="R361" s="358"/>
    </row>
    <row r="362" spans="1:46" ht="12.95" customHeight="1"/>
    <row r="363" spans="1:46" ht="12.95" customHeight="1">
      <c r="A363" s="3" t="s">
        <v>133</v>
      </c>
      <c r="B363" s="3"/>
      <c r="C363" s="3" t="s">
        <v>426</v>
      </c>
      <c r="D363" s="3"/>
    </row>
    <row r="364" spans="1:46" ht="12.95" customHeight="1">
      <c r="D364" s="48" t="s">
        <v>427</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D365" s="48" t="s">
        <v>428</v>
      </c>
      <c r="E365" s="49"/>
      <c r="F365" s="49"/>
      <c r="G365" s="49"/>
      <c r="H365" s="49"/>
      <c r="I365" s="49"/>
      <c r="J365" s="49"/>
      <c r="K365" s="49"/>
      <c r="L365" s="49"/>
      <c r="M365" s="49"/>
      <c r="N365" s="1066" t="s">
        <v>155</v>
      </c>
      <c r="O365" s="1060"/>
      <c r="P365" s="49"/>
      <c r="Q365" s="49"/>
      <c r="R365" s="49"/>
      <c r="S365" s="49"/>
      <c r="T365" s="49"/>
      <c r="U365" s="49"/>
      <c r="V365" s="49"/>
      <c r="W365" s="49"/>
      <c r="X365" s="49"/>
      <c r="Y365" s="49"/>
      <c r="Z365" s="49"/>
      <c r="AC365" s="49"/>
      <c r="AD365" s="49"/>
      <c r="AE365" s="49"/>
    </row>
    <row r="366" spans="1:46" ht="12.95" customHeight="1">
      <c r="E366" t="s">
        <v>429</v>
      </c>
      <c r="Y366" s="1066" t="s">
        <v>155</v>
      </c>
      <c r="Z366" s="1060"/>
    </row>
    <row r="367" spans="1:46" ht="12.95" customHeight="1">
      <c r="D367" t="s">
        <v>430</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D368" t="s">
        <v>431</v>
      </c>
      <c r="E368" s="49"/>
      <c r="F368" s="49"/>
      <c r="G368" s="49"/>
      <c r="H368" s="49"/>
      <c r="I368" s="49"/>
      <c r="J368" s="1066" t="s">
        <v>155</v>
      </c>
      <c r="K368" s="1060"/>
      <c r="L368" s="49"/>
      <c r="M368" s="49"/>
      <c r="N368" s="49"/>
      <c r="O368" s="49"/>
      <c r="P368" s="49"/>
      <c r="Q368" s="49"/>
      <c r="R368" s="49"/>
      <c r="S368" s="49"/>
      <c r="T368" s="49"/>
      <c r="U368" s="49"/>
      <c r="V368" s="49"/>
      <c r="W368" s="49"/>
      <c r="X368" s="49"/>
      <c r="Y368" s="49"/>
      <c r="Z368" s="49"/>
      <c r="AC368" s="49"/>
      <c r="AD368" s="49"/>
      <c r="AE368" s="49"/>
    </row>
    <row r="369" spans="4:57" ht="12.95" customHeight="1">
      <c r="E369" s="1006" t="s">
        <v>432</v>
      </c>
      <c r="F369" s="976"/>
      <c r="G369" s="976"/>
      <c r="H369" s="976"/>
      <c r="I369" s="976"/>
      <c r="J369" s="976"/>
      <c r="K369" s="976"/>
      <c r="L369" s="976"/>
      <c r="M369" s="976"/>
      <c r="N369" s="976"/>
      <c r="O369" s="976"/>
      <c r="P369" s="976"/>
      <c r="Q369" s="976"/>
      <c r="R369" s="976"/>
      <c r="S369" s="976"/>
      <c r="T369" s="976"/>
      <c r="U369" s="976"/>
      <c r="V369" s="976"/>
      <c r="W369" s="976"/>
      <c r="X369" s="976"/>
      <c r="Y369" s="976"/>
      <c r="Z369" s="976"/>
      <c r="AA369" s="976"/>
      <c r="AB369" s="976"/>
      <c r="AC369" s="976"/>
      <c r="AD369" s="976"/>
      <c r="AE369" s="976"/>
      <c r="AF369" s="976"/>
      <c r="AG369" s="976"/>
      <c r="AH369" s="976"/>
      <c r="BE369" t="s">
        <v>155</v>
      </c>
    </row>
    <row r="370" spans="4:57" ht="12.95" customHeight="1">
      <c r="E370" s="976"/>
      <c r="F370" s="976"/>
      <c r="G370" s="976"/>
      <c r="H370" s="976"/>
      <c r="I370" s="976"/>
      <c r="J370" s="976"/>
      <c r="K370" s="976"/>
      <c r="L370" s="976"/>
      <c r="M370" s="976"/>
      <c r="N370" s="976"/>
      <c r="O370" s="976"/>
      <c r="P370" s="976"/>
      <c r="Q370" s="976"/>
      <c r="R370" s="976"/>
      <c r="S370" s="976"/>
      <c r="T370" s="976"/>
      <c r="U370" s="976"/>
      <c r="V370" s="976"/>
      <c r="W370" s="976"/>
      <c r="X370" s="976"/>
      <c r="Y370" s="976"/>
      <c r="Z370" s="976"/>
      <c r="AA370" s="976"/>
      <c r="AB370" s="976"/>
      <c r="AC370" s="976"/>
      <c r="AD370" s="976"/>
      <c r="AE370" s="976"/>
      <c r="AF370" s="976"/>
      <c r="AG370" s="976"/>
      <c r="AH370" s="976"/>
      <c r="BE370" t="s">
        <v>14</v>
      </c>
    </row>
    <row r="371" spans="4:57" ht="12.95" customHeight="1">
      <c r="E371" s="5" t="s">
        <v>433</v>
      </c>
      <c r="F371" s="5"/>
      <c r="G371" s="5"/>
      <c r="H371" s="5"/>
      <c r="I371" s="5"/>
      <c r="J371" s="5"/>
      <c r="K371" s="5"/>
      <c r="L371" s="5"/>
      <c r="N371" s="1128"/>
      <c r="O371" s="1060"/>
      <c r="P371" s="1060"/>
      <c r="Q371" s="1060"/>
      <c r="R371" s="5"/>
      <c r="U371" s="5" t="s">
        <v>434</v>
      </c>
      <c r="V371" s="5"/>
      <c r="W371" s="5"/>
      <c r="X371" s="5"/>
      <c r="Y371" s="5"/>
      <c r="Z371" s="5"/>
      <c r="AA371" s="5"/>
      <c r="AB371" s="5"/>
      <c r="AC371" s="1128"/>
      <c r="AD371" s="1060"/>
      <c r="AE371" s="1060"/>
      <c r="AF371" s="1060"/>
      <c r="BE371" t="s">
        <v>71</v>
      </c>
    </row>
    <row r="372" spans="4:57" ht="12.95" customHeight="1">
      <c r="E372" s="5" t="s">
        <v>435</v>
      </c>
      <c r="F372" s="5"/>
      <c r="G372" s="5"/>
      <c r="H372" s="5"/>
      <c r="I372" s="5"/>
      <c r="J372" s="5"/>
      <c r="K372" s="5"/>
      <c r="L372" s="5"/>
      <c r="N372" s="1128"/>
      <c r="O372" s="1060"/>
      <c r="P372" s="1060"/>
      <c r="Q372" s="1060"/>
      <c r="R372" s="5"/>
      <c r="U372" s="5" t="s">
        <v>436</v>
      </c>
      <c r="V372" s="5"/>
      <c r="W372" s="5"/>
      <c r="X372" s="5"/>
      <c r="Y372" s="5"/>
      <c r="Z372" s="5"/>
      <c r="AA372" s="5"/>
      <c r="AB372" s="5"/>
      <c r="AC372" s="1128"/>
      <c r="AD372" s="1060"/>
      <c r="AE372" s="1060"/>
      <c r="AF372" s="1060"/>
    </row>
    <row r="373" spans="4:57" ht="12.95" customHeight="1">
      <c r="E373" s="5" t="s">
        <v>437</v>
      </c>
      <c r="F373" s="5"/>
      <c r="G373" s="5"/>
      <c r="H373" s="5"/>
      <c r="I373" s="5"/>
      <c r="J373" s="5"/>
      <c r="K373" s="5"/>
      <c r="L373" s="5"/>
      <c r="N373" s="1128"/>
      <c r="O373" s="1060"/>
      <c r="P373" s="1060"/>
      <c r="Q373" s="1060"/>
      <c r="R373" s="5"/>
      <c r="V373" s="5"/>
      <c r="W373" s="5"/>
      <c r="X373" s="5"/>
      <c r="Y373" s="5"/>
      <c r="Z373" s="5"/>
      <c r="AA373" s="5"/>
      <c r="AB373" s="5"/>
    </row>
    <row r="374" spans="4:57" ht="12.95" customHeight="1">
      <c r="E374" s="5" t="s">
        <v>438</v>
      </c>
      <c r="F374" s="5"/>
      <c r="G374" s="5"/>
      <c r="H374" s="5"/>
      <c r="I374" s="5"/>
      <c r="J374" s="5"/>
      <c r="K374" s="5"/>
      <c r="L374" s="5"/>
      <c r="N374" s="1131"/>
      <c r="O374" s="1038"/>
      <c r="P374" s="1038"/>
      <c r="Q374" s="1038"/>
      <c r="R374" s="1038"/>
      <c r="S374" s="1038"/>
      <c r="T374" s="1038"/>
      <c r="U374" s="1038"/>
      <c r="V374" s="1038"/>
      <c r="W374" s="1038"/>
      <c r="X374" s="1038"/>
      <c r="Y374" s="1038"/>
      <c r="Z374" s="1038"/>
      <c r="AA374" s="1038"/>
      <c r="AB374" s="1038"/>
      <c r="AC374" s="1038"/>
      <c r="AD374" s="1038"/>
      <c r="AE374" s="1038"/>
      <c r="AF374" s="1038"/>
    </row>
    <row r="375" spans="4:57" ht="12.95" customHeight="1">
      <c r="E375" s="5"/>
      <c r="F375" s="5"/>
      <c r="G375" s="5"/>
      <c r="H375" s="5"/>
      <c r="I375" s="5"/>
      <c r="J375" s="5"/>
      <c r="K375" s="5"/>
      <c r="L375" s="5"/>
      <c r="N375" s="1060"/>
      <c r="O375" s="1060"/>
      <c r="P375" s="1060"/>
      <c r="Q375" s="1060"/>
      <c r="R375" s="1060"/>
      <c r="S375" s="1060"/>
      <c r="T375" s="1060"/>
      <c r="U375" s="1060"/>
      <c r="V375" s="1060"/>
      <c r="W375" s="1060"/>
      <c r="X375" s="1060"/>
      <c r="Y375" s="1060"/>
      <c r="Z375" s="1060"/>
      <c r="AA375" s="1060"/>
      <c r="AB375" s="1060"/>
      <c r="AC375" s="1060"/>
      <c r="AD375" s="1060"/>
      <c r="AE375" s="1060"/>
      <c r="AF375" s="1060"/>
    </row>
    <row r="376" spans="4:57" ht="12.95" customHeight="1">
      <c r="E376" s="5"/>
      <c r="F376" s="5"/>
      <c r="G376" s="5"/>
      <c r="H376" s="5"/>
      <c r="I376" s="5"/>
      <c r="J376" s="5"/>
      <c r="K376" s="5"/>
      <c r="L376" s="5"/>
    </row>
    <row r="377" spans="4:57" ht="12.95" customHeight="1">
      <c r="D377" s="370" t="s">
        <v>439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ht="12.95" customHeight="1">
      <c r="D378" s="358"/>
      <c r="E378" s="358" t="s">
        <v>440</v>
      </c>
      <c r="F378" s="358"/>
      <c r="G378" s="358"/>
      <c r="H378" s="358"/>
      <c r="I378" s="358"/>
      <c r="J378" s="358"/>
      <c r="K378" s="358"/>
      <c r="L378" s="358"/>
      <c r="M378" s="358"/>
      <c r="O378" s="358"/>
      <c r="P378" s="931" t="s">
        <v>109</v>
      </c>
      <c r="Q378" s="358" t="s">
        <v>110</v>
      </c>
      <c r="R378" s="358"/>
      <c r="S378" s="1192"/>
      <c r="T378" s="1060"/>
      <c r="U378" s="367" t="s">
        <v>111</v>
      </c>
      <c r="V378" s="1192"/>
      <c r="W378" s="1060"/>
      <c r="X378" s="358"/>
      <c r="Z378" s="358"/>
      <c r="AA378" s="931" t="s">
        <v>109</v>
      </c>
      <c r="AB378" s="358" t="s">
        <v>110</v>
      </c>
      <c r="AC378" s="358"/>
      <c r="AD378" s="1192"/>
      <c r="AE378" s="1060"/>
      <c r="AF378" s="367" t="s">
        <v>111</v>
      </c>
      <c r="AG378" s="1192"/>
      <c r="AH378" s="1060"/>
    </row>
    <row r="379" spans="4:57" ht="12.95" customHeight="1">
      <c r="D379" s="358"/>
      <c r="E379" s="358" t="s">
        <v>441</v>
      </c>
      <c r="F379" s="358"/>
      <c r="G379" s="358"/>
      <c r="H379" s="358"/>
      <c r="I379" s="358"/>
      <c r="J379" s="358"/>
      <c r="K379" s="358"/>
      <c r="L379" s="358"/>
      <c r="M379" s="358"/>
      <c r="N379" s="1192"/>
      <c r="O379" s="1060"/>
      <c r="P379" s="1060"/>
      <c r="Q379" s="358"/>
      <c r="R379" s="358"/>
      <c r="S379" s="358"/>
      <c r="T379" s="358"/>
      <c r="U379" s="358"/>
      <c r="V379" s="358"/>
      <c r="W379" s="358"/>
      <c r="X379" s="358"/>
      <c r="Y379" s="358"/>
      <c r="Z379" s="358"/>
      <c r="AA379" s="358"/>
      <c r="AB379" s="358"/>
      <c r="AC379" s="358"/>
      <c r="AD379" s="358"/>
      <c r="AE379" s="358"/>
      <c r="AF379" s="358"/>
      <c r="AG379" s="358"/>
      <c r="AH379" s="358"/>
    </row>
    <row r="380" spans="4:57" ht="12.95" customHeight="1">
      <c r="D380" s="358"/>
      <c r="E380" s="358" t="s">
        <v>442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80" t="s">
        <v>155</v>
      </c>
      <c r="AH380" s="1060"/>
    </row>
    <row r="381" spans="4:57" ht="12.95" customHeight="1">
      <c r="D381" s="358"/>
      <c r="E381" s="358"/>
      <c r="F381" s="358"/>
      <c r="G381" s="748" t="s">
        <v>443</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80" t="s">
        <v>155</v>
      </c>
      <c r="AH381" s="1060"/>
    </row>
    <row r="382" spans="4:57" ht="12.95" customHeight="1">
      <c r="D382" s="358"/>
      <c r="E382" s="358"/>
      <c r="F382" s="358"/>
      <c r="G382" s="501" t="s">
        <v>444</v>
      </c>
      <c r="H382" s="358"/>
      <c r="I382" s="358"/>
      <c r="J382" s="358"/>
      <c r="K382" s="358"/>
      <c r="L382" s="358"/>
      <c r="M382" s="358"/>
      <c r="N382" s="358"/>
      <c r="O382" s="358"/>
      <c r="P382" s="358"/>
      <c r="Q382" s="358"/>
      <c r="R382" s="358"/>
      <c r="S382" s="358"/>
      <c r="T382" s="358"/>
      <c r="U382" s="358"/>
      <c r="V382" s="1180" t="s">
        <v>155</v>
      </c>
      <c r="W382" s="1060"/>
      <c r="X382" s="358"/>
      <c r="Y382" s="448" t="s">
        <v>445</v>
      </c>
      <c r="Z382" s="358"/>
      <c r="AA382" s="358"/>
      <c r="AB382" s="358"/>
      <c r="AC382" s="358"/>
      <c r="AD382" s="358"/>
      <c r="AE382" s="358"/>
      <c r="AF382" s="358"/>
      <c r="AG382" s="358"/>
      <c r="AH382" s="358"/>
    </row>
    <row r="383" spans="4:57" ht="12.95" customHeight="1">
      <c r="D383" s="358"/>
      <c r="E383" s="358" t="s">
        <v>446</v>
      </c>
      <c r="F383" s="358"/>
      <c r="G383" s="358"/>
      <c r="H383" s="358"/>
      <c r="I383" s="358"/>
      <c r="J383" s="358"/>
      <c r="K383" s="358"/>
      <c r="L383" s="358"/>
      <c r="M383" s="358"/>
      <c r="N383" s="358"/>
      <c r="O383" s="358"/>
      <c r="P383" s="358"/>
      <c r="Q383" s="358"/>
      <c r="R383" s="358"/>
      <c r="S383" s="358"/>
      <c r="T383" s="358"/>
      <c r="U383" s="358"/>
      <c r="V383" s="1180" t="s">
        <v>155</v>
      </c>
      <c r="W383" s="1060"/>
      <c r="X383" s="358"/>
      <c r="Y383" s="358" t="s">
        <v>447</v>
      </c>
      <c r="Z383" s="358"/>
      <c r="AA383" s="358"/>
      <c r="AB383" s="358"/>
      <c r="AC383" s="358"/>
      <c r="AD383" s="358"/>
      <c r="AE383" s="358"/>
      <c r="AF383" s="358"/>
      <c r="AG383" s="358"/>
      <c r="AH383" s="358"/>
    </row>
    <row r="384" spans="4:57"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213</v>
      </c>
      <c r="B385" s="3"/>
      <c r="C385" s="3" t="s">
        <v>448</v>
      </c>
    </row>
    <row r="386" spans="1:36" ht="12.95" customHeight="1">
      <c r="D386" t="s">
        <v>449</v>
      </c>
      <c r="J386" s="1117" t="s">
        <v>2458</v>
      </c>
      <c r="K386" s="1060"/>
      <c r="L386" s="1060"/>
      <c r="M386" s="1060"/>
      <c r="N386" s="1060"/>
      <c r="O386" s="1060"/>
      <c r="P386" s="1060"/>
      <c r="Q386" s="1060"/>
      <c r="R386" s="1060"/>
      <c r="S386" s="1060"/>
      <c r="T386" s="1060"/>
      <c r="U386" s="1060"/>
      <c r="V386" s="12" t="s">
        <v>450</v>
      </c>
      <c r="W386" s="12"/>
      <c r="X386" s="12"/>
      <c r="Y386" s="12"/>
      <c r="Z386" s="12"/>
      <c r="AA386" s="12"/>
      <c r="AB386" s="12"/>
      <c r="AC386" s="1117" t="s">
        <v>2422</v>
      </c>
      <c r="AD386" s="1060"/>
      <c r="AE386" s="1060"/>
      <c r="AF386" s="1060"/>
      <c r="AG386" s="1060"/>
      <c r="AH386" s="1060"/>
      <c r="AI386" s="1060"/>
      <c r="AJ386" s="1060"/>
    </row>
    <row r="387" spans="1:36" ht="12.95" customHeight="1">
      <c r="D387" s="41" t="s">
        <v>451</v>
      </c>
      <c r="J387" s="1126" t="s">
        <v>2422</v>
      </c>
      <c r="K387" s="1063"/>
      <c r="L387" s="1063"/>
      <c r="M387" s="1063"/>
      <c r="N387" s="1063"/>
      <c r="O387" s="1063"/>
      <c r="P387" s="1063"/>
      <c r="Q387" s="1063"/>
      <c r="R387" s="1063"/>
      <c r="S387" s="1063"/>
      <c r="T387" s="1063"/>
      <c r="U387" s="1063"/>
      <c r="V387" s="41" t="s">
        <v>451</v>
      </c>
      <c r="W387" s="12"/>
      <c r="X387" s="12"/>
      <c r="Y387" s="12"/>
      <c r="Z387" s="12"/>
      <c r="AA387" s="12"/>
      <c r="AB387" s="12"/>
      <c r="AC387" s="1059"/>
      <c r="AD387" s="1060"/>
      <c r="AE387" s="1060"/>
      <c r="AF387" s="1060"/>
      <c r="AG387" s="1060"/>
      <c r="AH387" s="1060"/>
      <c r="AI387" s="1060"/>
      <c r="AJ387" s="1060"/>
    </row>
    <row r="388" spans="1:36" ht="12.95" customHeight="1">
      <c r="D388" s="41" t="s">
        <v>54</v>
      </c>
      <c r="J388" s="1068"/>
      <c r="K388" s="1063"/>
      <c r="L388" s="1063"/>
      <c r="M388" s="1063"/>
      <c r="N388" s="1063"/>
      <c r="O388" s="1063"/>
      <c r="P388" s="1063"/>
      <c r="Q388" s="1063"/>
      <c r="R388" s="1063"/>
      <c r="S388" s="1063"/>
      <c r="T388" s="1063"/>
      <c r="U388" s="1063"/>
      <c r="V388" s="41" t="s">
        <v>54</v>
      </c>
      <c r="W388" s="12"/>
      <c r="X388" s="12"/>
      <c r="Y388" s="12"/>
      <c r="Z388" s="12"/>
      <c r="AA388" s="12"/>
      <c r="AB388" s="12"/>
      <c r="AC388" s="1059"/>
      <c r="AD388" s="1060"/>
      <c r="AE388" s="1060"/>
      <c r="AF388" s="1060"/>
      <c r="AG388" s="1060"/>
      <c r="AH388" s="1060"/>
      <c r="AI388" s="1060"/>
      <c r="AJ388" s="1060"/>
    </row>
    <row r="389" spans="1:36" ht="12.95" customHeight="1">
      <c r="D389" t="s">
        <v>452</v>
      </c>
      <c r="J389" s="1269" t="s">
        <v>2423</v>
      </c>
      <c r="K389" s="1063"/>
      <c r="L389" s="1063"/>
      <c r="M389" s="1063"/>
      <c r="N389" s="1063"/>
      <c r="O389" s="1063"/>
      <c r="P389" s="1063"/>
      <c r="Q389" s="1063"/>
      <c r="R389" s="1063"/>
      <c r="S389" s="1063"/>
      <c r="T389" s="1063"/>
      <c r="U389" s="1063"/>
      <c r="V389" s="1059"/>
      <c r="W389" s="1060"/>
      <c r="X389" s="1060"/>
      <c r="Y389" s="1060"/>
      <c r="Z389" s="1060"/>
      <c r="AA389" s="1060"/>
      <c r="AB389" s="1060"/>
      <c r="AC389" s="1060"/>
      <c r="AD389" s="1060"/>
      <c r="AE389" s="1060"/>
      <c r="AF389" s="1060"/>
      <c r="AG389" s="1060"/>
      <c r="AH389" s="1060"/>
      <c r="AI389" s="1060"/>
      <c r="AJ389" s="1060"/>
    </row>
    <row r="390" spans="1:36" ht="12.95" customHeight="1">
      <c r="D390" t="s">
        <v>453</v>
      </c>
      <c r="Q390" s="1319">
        <v>45539</v>
      </c>
      <c r="R390" s="1063"/>
      <c r="S390" s="1063"/>
      <c r="T390" s="1063"/>
      <c r="U390" s="1063"/>
      <c r="V390" t="s">
        <v>454</v>
      </c>
      <c r="AI390" s="1066" t="s">
        <v>14</v>
      </c>
      <c r="AJ390" s="1060"/>
    </row>
    <row r="391" spans="1:36" ht="12.95" customHeight="1">
      <c r="D391" t="s">
        <v>455</v>
      </c>
      <c r="Q391" s="1146">
        <v>46481</v>
      </c>
      <c r="R391" s="1063"/>
      <c r="S391" s="1063"/>
      <c r="T391" s="1063"/>
      <c r="U391" s="1063"/>
      <c r="W391" s="29" t="s">
        <v>456</v>
      </c>
      <c r="AG391" s="1123"/>
      <c r="AH391" s="1060"/>
      <c r="AI391" s="1060"/>
      <c r="AJ391" s="1060"/>
    </row>
    <row r="392" spans="1:36" ht="12.95" customHeight="1">
      <c r="D392" t="s">
        <v>457</v>
      </c>
      <c r="Q392" s="1105">
        <v>4200000</v>
      </c>
      <c r="R392" s="1063"/>
      <c r="S392" s="1063"/>
      <c r="T392" s="1063"/>
      <c r="U392" s="1063"/>
      <c r="V392" s="41" t="s">
        <v>458</v>
      </c>
      <c r="AG392" s="1118"/>
      <c r="AH392" s="1063"/>
      <c r="AI392" s="1063"/>
      <c r="AJ392" s="1063"/>
    </row>
    <row r="393" spans="1:36" ht="12.95" customHeight="1">
      <c r="D393" t="s">
        <v>303</v>
      </c>
      <c r="I393" s="1166" t="s">
        <v>2424</v>
      </c>
      <c r="J393" s="1060"/>
      <c r="K393" s="1060"/>
      <c r="L393" s="1060"/>
      <c r="M393" s="1060"/>
      <c r="N393" s="1060"/>
      <c r="Q393" s="41" t="s">
        <v>305</v>
      </c>
      <c r="S393" s="1312"/>
      <c r="T393" s="1063"/>
      <c r="U393" s="1063"/>
      <c r="V393" t="s">
        <v>459</v>
      </c>
      <c r="AI393" s="1066" t="s">
        <v>14</v>
      </c>
      <c r="AJ393" s="1060"/>
    </row>
    <row r="394" spans="1:36" ht="12.95" customHeight="1">
      <c r="D394" t="s">
        <v>460</v>
      </c>
      <c r="Q394" s="1103"/>
      <c r="R394" s="1060"/>
      <c r="S394" s="1060"/>
      <c r="T394" s="1060"/>
      <c r="U394" s="1060"/>
      <c r="V394" t="s">
        <v>461</v>
      </c>
      <c r="AG394" s="1123"/>
      <c r="AH394" s="1060"/>
      <c r="AI394" s="1060"/>
      <c r="AJ394" s="1060"/>
    </row>
    <row r="395" spans="1:36" ht="12.95" customHeight="1">
      <c r="D395" t="s">
        <v>462</v>
      </c>
      <c r="Q395" s="1235"/>
      <c r="R395" s="1063"/>
      <c r="S395" s="1063"/>
      <c r="T395" s="1063"/>
      <c r="U395" s="1063"/>
      <c r="V395" t="s">
        <v>463</v>
      </c>
      <c r="AG395" s="1123"/>
      <c r="AH395" s="1060"/>
      <c r="AI395" s="1060"/>
      <c r="AJ395" s="1060"/>
    </row>
    <row r="396" spans="1:36" ht="12.95" customHeight="1">
      <c r="D396" t="s">
        <v>464</v>
      </c>
      <c r="AG396" s="1123"/>
      <c r="AH396" s="1060"/>
      <c r="AI396" s="1060"/>
      <c r="AJ396" s="1060"/>
    </row>
    <row r="397" spans="1:36" ht="12.95" customHeight="1">
      <c r="AG397" s="826"/>
      <c r="AH397" s="826"/>
      <c r="AI397" s="826"/>
      <c r="AJ397" s="826"/>
    </row>
    <row r="398" spans="1:36" ht="12.95" customHeight="1">
      <c r="D398" s="41" t="s">
        <v>465</v>
      </c>
      <c r="AG398" s="826"/>
      <c r="AH398" s="826"/>
      <c r="AI398" s="1066" t="s">
        <v>14</v>
      </c>
      <c r="AJ398" s="1060"/>
    </row>
    <row r="399" spans="1:36" ht="12.95" customHeight="1">
      <c r="D399" s="41" t="s">
        <v>466</v>
      </c>
      <c r="T399" s="1211"/>
      <c r="U399" s="1060"/>
      <c r="V399" s="1060"/>
      <c r="W399" s="1060"/>
      <c r="X399" s="1060"/>
      <c r="Y399" s="1060"/>
      <c r="Z399" s="1060"/>
      <c r="AA399" s="1060"/>
      <c r="AB399" s="1060"/>
      <c r="AC399" s="1060"/>
      <c r="AD399" s="1060"/>
      <c r="AE399" s="1060"/>
      <c r="AF399" s="1060"/>
      <c r="AG399" s="1060"/>
      <c r="AH399" s="1060"/>
      <c r="AI399" s="1060"/>
      <c r="AJ399" s="1060"/>
    </row>
    <row r="400" spans="1:36" ht="12.95" customHeight="1">
      <c r="D400" s="41" t="s">
        <v>467</v>
      </c>
      <c r="T400" s="1211"/>
      <c r="U400" s="1060"/>
      <c r="V400" s="1060"/>
      <c r="W400" s="1060"/>
      <c r="X400" s="1060"/>
      <c r="Y400" s="1060"/>
      <c r="Z400" s="1060"/>
      <c r="AA400" s="1060"/>
      <c r="AB400" s="1060"/>
      <c r="AC400" s="1060"/>
      <c r="AD400" s="1060"/>
      <c r="AE400" s="1060"/>
      <c r="AF400" s="1060"/>
      <c r="AG400" s="1060"/>
      <c r="AH400" s="1060"/>
      <c r="AI400" s="1060"/>
      <c r="AJ400" s="1060"/>
    </row>
    <row r="401" spans="1:36" ht="12.95" customHeight="1">
      <c r="AG401" s="826"/>
      <c r="AH401" s="826"/>
      <c r="AI401" s="826"/>
      <c r="AJ401" s="826"/>
    </row>
    <row r="402" spans="1:36" ht="12.95" customHeight="1">
      <c r="D402" s="41" t="s">
        <v>468</v>
      </c>
      <c r="S402" s="1211" t="s">
        <v>14</v>
      </c>
      <c r="T402" s="1060"/>
      <c r="U402" s="1060"/>
      <c r="V402" t="s">
        <v>469</v>
      </c>
      <c r="AG402" s="1294"/>
      <c r="AH402" s="1060"/>
      <c r="AI402" s="1060"/>
      <c r="AJ402" s="1060"/>
    </row>
    <row r="403" spans="1:36" ht="12.95" customHeight="1">
      <c r="D403" s="41" t="s">
        <v>470</v>
      </c>
      <c r="S403" s="1211" t="s">
        <v>155</v>
      </c>
      <c r="T403" s="1060"/>
      <c r="U403" s="1060"/>
      <c r="V403" t="s">
        <v>471</v>
      </c>
      <c r="AE403" s="1282"/>
      <c r="AF403" s="1060"/>
      <c r="AG403" s="1060"/>
      <c r="AH403" s="1060"/>
      <c r="AI403" s="1060"/>
      <c r="AJ403" s="1060"/>
    </row>
    <row r="404" spans="1:36" ht="12.95" customHeight="1">
      <c r="D404" s="41" t="s">
        <v>472</v>
      </c>
      <c r="K404" s="1145"/>
      <c r="L404" s="1060"/>
      <c r="M404" s="1060"/>
      <c r="N404" s="1060"/>
      <c r="O404" s="1060"/>
      <c r="P404" s="1060"/>
      <c r="Q404" s="1060"/>
      <c r="R404" s="1060"/>
      <c r="S404" s="1060"/>
      <c r="T404" s="1060"/>
      <c r="U404" s="1060"/>
      <c r="V404" s="1060"/>
      <c r="W404" s="1060"/>
      <c r="X404" s="1060"/>
      <c r="Y404" s="1060"/>
      <c r="Z404" s="1060"/>
      <c r="AA404" s="1060"/>
      <c r="AB404" s="1060"/>
      <c r="AC404" s="1060"/>
      <c r="AD404" s="1060"/>
      <c r="AE404" s="1060"/>
      <c r="AF404" s="1060"/>
      <c r="AG404" s="1060"/>
      <c r="AH404" s="1060"/>
      <c r="AI404" s="1060"/>
      <c r="AJ404" s="1060"/>
    </row>
    <row r="405" spans="1:36" ht="12.95" customHeight="1">
      <c r="D405" s="41" t="s">
        <v>473</v>
      </c>
      <c r="K405" s="1145"/>
      <c r="L405" s="1060"/>
      <c r="M405" s="1060"/>
      <c r="N405" s="1060"/>
      <c r="O405" s="1060"/>
      <c r="P405" s="1060"/>
      <c r="Q405" s="1060"/>
      <c r="R405" s="1060"/>
      <c r="S405" s="1060"/>
      <c r="T405" s="1060"/>
      <c r="U405" s="1060"/>
      <c r="V405" s="1060"/>
      <c r="W405" s="1060"/>
      <c r="X405" s="1060"/>
      <c r="Y405" s="1060"/>
      <c r="Z405" s="1060"/>
      <c r="AA405" s="1060"/>
      <c r="AB405" s="1060"/>
      <c r="AC405" s="1060"/>
      <c r="AD405" s="1060"/>
      <c r="AE405" s="1060"/>
      <c r="AF405" s="1060"/>
      <c r="AG405" s="1060"/>
      <c r="AH405" s="1060"/>
      <c r="AI405" s="1060"/>
      <c r="AJ405" s="1060"/>
    </row>
    <row r="406" spans="1:36" ht="12.95" customHeight="1">
      <c r="D406" s="41" t="s">
        <v>474</v>
      </c>
      <c r="E406" s="807"/>
      <c r="F406" s="807"/>
      <c r="G406" s="807"/>
      <c r="H406" s="807"/>
      <c r="I406" s="807"/>
      <c r="J406" s="807"/>
      <c r="K406" s="807"/>
      <c r="L406" s="807"/>
      <c r="M406" s="807"/>
      <c r="N406" s="807"/>
      <c r="O406" s="807"/>
      <c r="P406" s="807"/>
      <c r="Q406" s="807"/>
      <c r="R406" s="807"/>
      <c r="S406" s="1286" t="s">
        <v>475</v>
      </c>
      <c r="T406" s="1063"/>
      <c r="U406" s="1063"/>
      <c r="V406" s="1063"/>
      <c r="W406" s="1063"/>
      <c r="X406" s="1063"/>
      <c r="Y406" s="1063"/>
      <c r="Z406" s="1063"/>
      <c r="AA406" s="1063"/>
      <c r="AB406" s="1063"/>
      <c r="AC406" s="1063"/>
      <c r="AD406" s="1063"/>
      <c r="AE406" s="1063"/>
      <c r="AF406" s="1063"/>
      <c r="AG406" s="1063"/>
      <c r="AH406" s="1063"/>
      <c r="AI406" s="1063"/>
      <c r="AJ406" s="1063"/>
    </row>
    <row r="407" spans="1:36" ht="12.95" customHeight="1">
      <c r="D407" s="989" t="s">
        <v>476</v>
      </c>
      <c r="E407" s="976"/>
      <c r="F407" s="976"/>
      <c r="G407" s="976"/>
      <c r="H407" s="976"/>
      <c r="I407" s="976"/>
      <c r="J407" s="976"/>
      <c r="K407" s="976"/>
      <c r="L407" s="976"/>
      <c r="M407" s="976"/>
      <c r="N407" s="976"/>
      <c r="O407" s="976"/>
      <c r="P407" s="976"/>
      <c r="Q407" s="976"/>
      <c r="R407" s="976"/>
      <c r="S407" s="976"/>
      <c r="T407" s="976"/>
      <c r="U407" s="976"/>
      <c r="V407" s="976"/>
      <c r="W407" s="976"/>
      <c r="X407" s="976"/>
      <c r="Y407" s="976"/>
      <c r="Z407" s="976"/>
      <c r="AA407" s="976"/>
      <c r="AB407" s="976"/>
      <c r="AC407" s="976"/>
      <c r="AD407" s="976"/>
      <c r="AE407" s="976"/>
      <c r="AF407" s="976"/>
      <c r="AG407" s="976"/>
      <c r="AH407" s="976"/>
      <c r="AI407" s="976"/>
      <c r="AJ407" s="976"/>
    </row>
    <row r="408" spans="1:36" ht="12.95" customHeight="1">
      <c r="D408" s="976"/>
      <c r="E408" s="976"/>
      <c r="F408" s="976"/>
      <c r="G408" s="976"/>
      <c r="H408" s="976"/>
      <c r="I408" s="976"/>
      <c r="J408" s="976"/>
      <c r="K408" s="976"/>
      <c r="L408" s="976"/>
      <c r="M408" s="976"/>
      <c r="N408" s="976"/>
      <c r="O408" s="976"/>
      <c r="P408" s="976"/>
      <c r="Q408" s="976"/>
      <c r="R408" s="976"/>
      <c r="S408" s="976"/>
      <c r="T408" s="976"/>
      <c r="U408" s="976"/>
      <c r="V408" s="976"/>
      <c r="W408" s="976"/>
      <c r="X408" s="976"/>
      <c r="Y408" s="976"/>
      <c r="Z408" s="976"/>
      <c r="AA408" s="976"/>
      <c r="AB408" s="976"/>
      <c r="AC408" s="976"/>
      <c r="AD408" s="976"/>
      <c r="AE408" s="976"/>
      <c r="AF408" s="976"/>
      <c r="AG408" s="976"/>
      <c r="AH408" s="976"/>
      <c r="AI408" s="976"/>
      <c r="AJ408" s="976"/>
    </row>
    <row r="409" spans="1:36" ht="12.95" customHeight="1">
      <c r="AG409" s="826"/>
      <c r="AH409" s="826"/>
      <c r="AI409" s="826"/>
      <c r="AJ409" s="826"/>
    </row>
    <row r="410" spans="1:36" ht="12.95" customHeight="1">
      <c r="A410" s="3" t="s">
        <v>235</v>
      </c>
      <c r="B410" s="3"/>
      <c r="C410" s="3" t="s">
        <v>477</v>
      </c>
    </row>
    <row r="411" spans="1:36" ht="12.95" customHeight="1">
      <c r="D411" s="3" t="s">
        <v>478</v>
      </c>
      <c r="I411" s="1117" t="s">
        <v>2425</v>
      </c>
      <c r="J411" s="1060"/>
      <c r="K411" s="1060"/>
      <c r="L411" s="1060"/>
      <c r="M411" s="1060"/>
      <c r="N411" s="1060"/>
      <c r="O411" s="1060"/>
      <c r="P411" s="1060"/>
      <c r="Q411" s="1060"/>
      <c r="R411" s="1060"/>
      <c r="S411" s="1060"/>
      <c r="T411" s="1060"/>
      <c r="U411" s="1060"/>
      <c r="V411" s="1060"/>
      <c r="W411" s="1060"/>
      <c r="X411" s="1060"/>
      <c r="Y411" s="1060"/>
      <c r="Z411" s="1060"/>
      <c r="AA411" s="1060"/>
      <c r="AB411" s="1060"/>
      <c r="AC411" s="1060"/>
      <c r="AD411" s="1060"/>
    </row>
    <row r="412" spans="1:36" ht="12.95" customHeight="1">
      <c r="E412" t="s">
        <v>479</v>
      </c>
      <c r="R412" s="1066" t="s">
        <v>71</v>
      </c>
      <c r="S412" s="1060"/>
      <c r="T412" t="s">
        <v>480</v>
      </c>
      <c r="AD412" s="1128">
        <v>7</v>
      </c>
      <c r="AE412" s="1060"/>
    </row>
    <row r="413" spans="1:36" ht="12.95" customHeight="1">
      <c r="E413" t="s">
        <v>481</v>
      </c>
      <c r="R413" s="1066" t="s">
        <v>155</v>
      </c>
      <c r="S413" s="1060"/>
      <c r="T413" t="s">
        <v>480</v>
      </c>
      <c r="AD413" s="1128">
        <v>0</v>
      </c>
      <c r="AE413" s="1060"/>
    </row>
    <row r="414" spans="1:36" ht="12.95" customHeight="1">
      <c r="E414" t="s">
        <v>482</v>
      </c>
      <c r="S414" s="1066" t="s">
        <v>155</v>
      </c>
      <c r="T414" s="1060"/>
    </row>
    <row r="415" spans="1:36" ht="12.95" customHeight="1">
      <c r="E415" t="s">
        <v>483</v>
      </c>
      <c r="H415" s="1189" t="s">
        <v>484</v>
      </c>
      <c r="I415" s="1038"/>
      <c r="J415" s="1038"/>
      <c r="K415" s="1038"/>
      <c r="L415" s="1038"/>
      <c r="M415" s="1038"/>
      <c r="N415" s="1038"/>
      <c r="O415" s="1038"/>
      <c r="P415" s="1038"/>
      <c r="Q415" s="1038"/>
      <c r="R415" s="1038"/>
      <c r="S415" s="1038"/>
      <c r="T415" s="1038"/>
      <c r="U415" s="1038"/>
      <c r="V415" s="1038"/>
      <c r="W415" s="1038"/>
      <c r="X415" s="1038"/>
      <c r="Y415" s="1038"/>
      <c r="Z415" s="1038"/>
      <c r="AA415" s="1038"/>
      <c r="AB415" s="1038"/>
      <c r="AC415" s="1038"/>
      <c r="AD415" s="1038"/>
      <c r="AE415" s="1038"/>
      <c r="AF415" s="1038"/>
      <c r="AG415" s="1038"/>
      <c r="AH415" s="1038"/>
      <c r="AI415" s="1038"/>
      <c r="AJ415" s="1038"/>
    </row>
    <row r="416" spans="1:36" ht="12.95" customHeight="1">
      <c r="H416" s="1060"/>
      <c r="I416" s="1060"/>
      <c r="J416" s="1060"/>
      <c r="K416" s="1060"/>
      <c r="L416" s="1060"/>
      <c r="M416" s="1060"/>
      <c r="N416" s="1060"/>
      <c r="O416" s="1060"/>
      <c r="P416" s="1060"/>
      <c r="Q416" s="1060"/>
      <c r="R416" s="1060"/>
      <c r="S416" s="1060"/>
      <c r="T416" s="1060"/>
      <c r="U416" s="1060"/>
      <c r="V416" s="1060"/>
      <c r="W416" s="1060"/>
      <c r="X416" s="1060"/>
      <c r="Y416" s="1060"/>
      <c r="Z416" s="1060"/>
      <c r="AA416" s="1060"/>
      <c r="AB416" s="1060"/>
      <c r="AC416" s="1060"/>
      <c r="AD416" s="1060"/>
      <c r="AE416" s="1060"/>
      <c r="AF416" s="1060"/>
      <c r="AG416" s="1060"/>
      <c r="AH416" s="1060"/>
      <c r="AI416" s="1060"/>
      <c r="AJ416" s="1060"/>
    </row>
    <row r="417" spans="1:36" ht="12.95" customHeight="1"/>
    <row r="418" spans="1:36" ht="12.95" customHeight="1">
      <c r="A418" s="3" t="s">
        <v>247</v>
      </c>
      <c r="B418" s="3"/>
      <c r="C418" s="3"/>
      <c r="D418" s="3" t="s">
        <v>485</v>
      </c>
      <c r="AE418" s="5"/>
      <c r="AF418" s="3" t="s">
        <v>486</v>
      </c>
    </row>
    <row r="419" spans="1:36" ht="12.95" customHeight="1">
      <c r="E419" s="1311"/>
      <c r="F419" s="1060"/>
      <c r="G419" s="1060"/>
      <c r="H419" s="18" t="s">
        <v>487</v>
      </c>
      <c r="I419" s="1311"/>
      <c r="J419" s="1060"/>
      <c r="K419" s="1060"/>
      <c r="L419" t="s">
        <v>488</v>
      </c>
      <c r="N419" s="34" t="s">
        <v>489</v>
      </c>
      <c r="P419" s="1193">
        <v>0.12</v>
      </c>
      <c r="Q419" s="1060"/>
      <c r="R419" s="1060"/>
      <c r="S419" t="s">
        <v>490</v>
      </c>
      <c r="W419" s="1224">
        <f>IF(E419&gt;0,(E419*I419),(P419*43560))</f>
        <v>5227.2</v>
      </c>
      <c r="X419" s="1093"/>
      <c r="Y419" s="1093"/>
      <c r="Z419" t="s">
        <v>491</v>
      </c>
      <c r="AF419" s="1270">
        <f t="array" ref="AF419">_xlfn.IFS(P419&gt;0,(AG438/P419),W419&gt;0,(AG438/(W419/43560)),TRUE,0)</f>
        <v>325</v>
      </c>
      <c r="AG419" s="1093"/>
      <c r="AH419" s="1093"/>
    </row>
    <row r="420" spans="1:36" ht="12.95" customHeight="1">
      <c r="E420" t="s">
        <v>492</v>
      </c>
    </row>
    <row r="421" spans="1:36" ht="12.95" customHeight="1">
      <c r="E421" s="1308"/>
      <c r="F421" s="1060"/>
      <c r="G421" s="1060"/>
      <c r="H421" s="1060"/>
      <c r="I421" s="1060"/>
      <c r="J421" s="1060"/>
      <c r="K421" s="1060"/>
      <c r="L421" s="1060"/>
      <c r="M421" s="1060"/>
      <c r="N421" s="1060"/>
      <c r="O421" s="1060"/>
      <c r="P421" s="1060"/>
      <c r="Q421" s="1060"/>
      <c r="R421" s="1060"/>
      <c r="S421" s="1060"/>
      <c r="T421" s="1060"/>
      <c r="U421" s="1060"/>
      <c r="V421" s="1060"/>
      <c r="W421" s="1060"/>
      <c r="X421" s="1060"/>
      <c r="Y421" s="1060"/>
      <c r="Z421" s="1060"/>
      <c r="AA421" s="1060"/>
      <c r="AB421" s="1060"/>
      <c r="AC421" s="1060"/>
      <c r="AD421" s="1060"/>
      <c r="AE421" s="1060"/>
      <c r="AF421" s="1060"/>
      <c r="AG421" s="1060"/>
      <c r="AH421" s="1060"/>
      <c r="AI421" s="1060"/>
      <c r="AJ421" s="1060"/>
    </row>
    <row r="422" spans="1:36" ht="12.95" customHeight="1">
      <c r="E422" s="268" t="s">
        <v>493</v>
      </c>
      <c r="F422" s="29"/>
      <c r="G422" s="29"/>
      <c r="H422" s="29"/>
      <c r="I422" s="1321"/>
      <c r="J422" s="1060"/>
      <c r="K422" s="1060"/>
      <c r="L422" s="29"/>
      <c r="M422" s="268"/>
      <c r="N422" s="29"/>
      <c r="O422" s="29"/>
      <c r="P422" s="1306" t="e">
        <f>(CQ636+CS641+CQ655)/I422</f>
        <v>#DIV/0!</v>
      </c>
      <c r="Q422" s="1093"/>
      <c r="R422" s="1093"/>
      <c r="S422" s="268" t="s">
        <v>494</v>
      </c>
      <c r="T422" s="29"/>
      <c r="U422" s="29"/>
      <c r="V422" s="29"/>
      <c r="W422" s="29"/>
      <c r="X422" s="29"/>
      <c r="Y422" s="873"/>
      <c r="Z422" s="873"/>
      <c r="AA422" s="873"/>
      <c r="AB422" s="873"/>
      <c r="AC422" s="873"/>
      <c r="AD422" s="873"/>
      <c r="AE422" s="873"/>
      <c r="AF422" s="873"/>
      <c r="AG422" s="873"/>
      <c r="AH422" s="873"/>
      <c r="AI422" s="873"/>
      <c r="AJ422" s="873"/>
    </row>
    <row r="423" spans="1:36" ht="12.95" customHeight="1"/>
    <row r="424" spans="1:36" ht="12.95" customHeight="1">
      <c r="A424" s="3" t="s">
        <v>256</v>
      </c>
      <c r="B424" s="3"/>
      <c r="C424" s="3"/>
      <c r="D424" s="3" t="s">
        <v>495</v>
      </c>
    </row>
    <row r="425" spans="1:36" ht="12.95" customHeight="1">
      <c r="E425" t="s">
        <v>496</v>
      </c>
      <c r="P425" s="1066">
        <v>1</v>
      </c>
      <c r="Q425" s="1060"/>
      <c r="S425" t="s">
        <v>497</v>
      </c>
      <c r="AE425" s="1066">
        <v>1</v>
      </c>
      <c r="AF425" s="1060"/>
    </row>
    <row r="426" spans="1:36" ht="12.95" customHeight="1">
      <c r="E426" t="s">
        <v>498</v>
      </c>
      <c r="P426" s="1066">
        <v>0</v>
      </c>
      <c r="Q426" s="1060"/>
      <c r="S426" t="s">
        <v>499</v>
      </c>
      <c r="AE426" s="1066" t="s">
        <v>155</v>
      </c>
      <c r="AF426" s="1060"/>
    </row>
    <row r="427" spans="1:36" ht="12.95" customHeight="1">
      <c r="F427" s="36" t="s">
        <v>500</v>
      </c>
    </row>
    <row r="428" spans="1:36" ht="12.95" customHeight="1">
      <c r="F428" s="1216"/>
      <c r="G428" s="1038"/>
      <c r="H428" s="1038"/>
      <c r="I428" s="1038"/>
      <c r="J428" s="1038"/>
      <c r="K428" s="1038"/>
      <c r="L428" s="1038"/>
      <c r="M428" s="1038"/>
      <c r="N428" s="1038"/>
      <c r="O428" s="1038"/>
      <c r="P428" s="1038"/>
      <c r="Q428" s="1038"/>
      <c r="R428" s="1038"/>
      <c r="S428" s="1038"/>
      <c r="T428" s="1038"/>
      <c r="U428" s="1038"/>
      <c r="V428" s="1038"/>
      <c r="W428" s="1038"/>
      <c r="X428" s="1038"/>
      <c r="Y428" s="1038"/>
      <c r="Z428" s="1038"/>
      <c r="AA428" s="1038"/>
      <c r="AB428" s="1038"/>
      <c r="AC428" s="1038"/>
      <c r="AD428" s="1038"/>
      <c r="AE428" s="1038"/>
      <c r="AF428" s="1038"/>
      <c r="AG428" s="1038"/>
      <c r="AH428" s="1038"/>
    </row>
    <row r="429" spans="1:36" ht="12.95" customHeight="1">
      <c r="F429" s="1060"/>
      <c r="G429" s="1060"/>
      <c r="H429" s="1060"/>
      <c r="I429" s="1060"/>
      <c r="J429" s="1060"/>
      <c r="K429" s="1060"/>
      <c r="L429" s="1060"/>
      <c r="M429" s="1060"/>
      <c r="N429" s="1060"/>
      <c r="O429" s="1060"/>
      <c r="P429" s="1060"/>
      <c r="Q429" s="1060"/>
      <c r="R429" s="1060"/>
      <c r="S429" s="1060"/>
      <c r="T429" s="1060"/>
      <c r="U429" s="1060"/>
      <c r="V429" s="1060"/>
      <c r="W429" s="1060"/>
      <c r="X429" s="1060"/>
      <c r="Y429" s="1060"/>
      <c r="Z429" s="1060"/>
      <c r="AA429" s="1060"/>
      <c r="AB429" s="1060"/>
      <c r="AC429" s="1060"/>
      <c r="AD429" s="1060"/>
      <c r="AE429" s="1060"/>
      <c r="AF429" s="1060"/>
      <c r="AG429" s="1060"/>
      <c r="AH429" s="1060"/>
    </row>
    <row r="430" spans="1:36" ht="12.95" customHeight="1">
      <c r="E430" t="s">
        <v>501</v>
      </c>
      <c r="P430" s="1"/>
      <c r="Q430" s="1066" t="s">
        <v>71</v>
      </c>
      <c r="R430" s="1060"/>
      <c r="AE430" s="1"/>
      <c r="AF430" s="1"/>
    </row>
    <row r="431" spans="1:36" ht="12.95" customHeight="1">
      <c r="F431" t="s">
        <v>502</v>
      </c>
      <c r="P431" s="1"/>
      <c r="Q431" s="1"/>
      <c r="AE431" s="1066" t="s">
        <v>155</v>
      </c>
      <c r="AF431" s="1060"/>
    </row>
    <row r="432" spans="1:36" ht="12.95" customHeight="1"/>
    <row r="433" spans="1:36" ht="12.95" customHeight="1">
      <c r="A433" s="3"/>
      <c r="B433" s="3"/>
      <c r="C433" s="3"/>
      <c r="E433" s="5" t="s">
        <v>503</v>
      </c>
      <c r="Z433" s="1066" t="s">
        <v>14</v>
      </c>
      <c r="AA433" s="1060"/>
    </row>
    <row r="434" spans="1:36" ht="12.95" customHeight="1">
      <c r="F434" s="48" t="s">
        <v>504</v>
      </c>
      <c r="G434" s="49"/>
      <c r="H434" s="49"/>
      <c r="I434" s="49"/>
      <c r="J434" s="49"/>
      <c r="K434" s="49"/>
      <c r="L434" s="49"/>
      <c r="M434" s="49"/>
      <c r="N434" s="49"/>
      <c r="O434" s="49"/>
      <c r="P434" s="49"/>
      <c r="Q434" s="49"/>
      <c r="R434" s="49"/>
      <c r="S434" s="49"/>
      <c r="T434" s="49"/>
      <c r="U434" s="49"/>
      <c r="V434" s="49"/>
      <c r="W434" s="49"/>
      <c r="AB434" s="49"/>
    </row>
    <row r="435" spans="1:36" ht="12.95" customHeight="1">
      <c r="F435" t="s">
        <v>505</v>
      </c>
      <c r="G435" s="49"/>
      <c r="I435" s="49"/>
      <c r="J435" s="49"/>
      <c r="K435" s="49"/>
      <c r="L435" s="49"/>
      <c r="M435" s="49"/>
      <c r="N435" s="49"/>
      <c r="Q435" s="41"/>
      <c r="R435" s="49"/>
      <c r="S435" s="49"/>
      <c r="T435" s="49"/>
      <c r="U435" s="49"/>
      <c r="V435" s="49"/>
      <c r="W435" s="49"/>
      <c r="Z435" s="1066" t="s">
        <v>155</v>
      </c>
      <c r="AA435" s="1060"/>
    </row>
    <row r="436" spans="1:36" ht="12.95" customHeight="1"/>
    <row r="437" spans="1:36" ht="12.95" customHeight="1">
      <c r="A437" s="3" t="s">
        <v>279</v>
      </c>
      <c r="B437" s="3"/>
      <c r="C437" s="3"/>
      <c r="D437" s="3" t="s">
        <v>506</v>
      </c>
      <c r="AF437" s="54"/>
    </row>
    <row r="438" spans="1:36" ht="12.95" customHeight="1">
      <c r="D438" s="1125" t="s">
        <v>507</v>
      </c>
      <c r="E438" s="973"/>
      <c r="F438" s="973"/>
      <c r="G438" s="973"/>
      <c r="H438" s="973"/>
      <c r="I438" s="973"/>
      <c r="J438" s="973"/>
      <c r="K438" s="973"/>
      <c r="L438" s="973"/>
      <c r="M438" s="973"/>
      <c r="N438" s="973"/>
      <c r="O438" s="973"/>
      <c r="P438" s="973"/>
      <c r="Q438" s="973"/>
      <c r="R438" s="973"/>
      <c r="S438" s="973"/>
      <c r="T438" s="973"/>
      <c r="U438" s="973"/>
      <c r="V438" s="973"/>
      <c r="W438" s="973"/>
      <c r="X438" s="973"/>
      <c r="Y438" s="973"/>
      <c r="Z438" s="973"/>
      <c r="AA438" s="973"/>
      <c r="AB438" s="973"/>
      <c r="AC438" s="973"/>
      <c r="AD438" s="973"/>
      <c r="AE438" s="973"/>
      <c r="AF438" s="974"/>
      <c r="AG438" s="1139">
        <v>39</v>
      </c>
      <c r="AH438" s="1063"/>
      <c r="AI438" s="1063"/>
      <c r="AJ438" s="1064"/>
    </row>
    <row r="439" spans="1:36" ht="12.95" customHeight="1">
      <c r="D439" s="1218" t="s">
        <v>508</v>
      </c>
      <c r="E439" s="973"/>
      <c r="F439" s="973"/>
      <c r="G439" s="973"/>
      <c r="H439" s="973"/>
      <c r="I439" s="973"/>
      <c r="J439" s="973"/>
      <c r="K439" s="973"/>
      <c r="L439" s="973"/>
      <c r="M439" s="973"/>
      <c r="N439" s="973"/>
      <c r="O439" s="973"/>
      <c r="P439" s="973"/>
      <c r="Q439" s="973"/>
      <c r="R439" s="973"/>
      <c r="S439" s="973"/>
      <c r="T439" s="973"/>
      <c r="U439" s="973"/>
      <c r="V439" s="973"/>
      <c r="W439" s="973"/>
      <c r="X439" s="973"/>
      <c r="Y439" s="973"/>
      <c r="Z439" s="973"/>
      <c r="AA439" s="973"/>
      <c r="AB439" s="973"/>
      <c r="AC439" s="973"/>
      <c r="AD439" s="973"/>
      <c r="AE439" s="973"/>
      <c r="AF439" s="974"/>
      <c r="AG439" s="1213">
        <v>0</v>
      </c>
      <c r="AH439" s="1063"/>
      <c r="AI439" s="1063"/>
      <c r="AJ439" s="1064"/>
    </row>
    <row r="440" spans="1:36" ht="12.95" customHeight="1">
      <c r="D440" s="1149" t="s">
        <v>509</v>
      </c>
      <c r="E440" s="973"/>
      <c r="F440" s="973"/>
      <c r="G440" s="973"/>
      <c r="H440" s="973"/>
      <c r="I440" s="973"/>
      <c r="J440" s="973"/>
      <c r="K440" s="973"/>
      <c r="L440" s="973"/>
      <c r="M440" s="973"/>
      <c r="N440" s="973"/>
      <c r="O440" s="973"/>
      <c r="P440" s="973"/>
      <c r="Q440" s="973"/>
      <c r="R440" s="973"/>
      <c r="S440" s="973"/>
      <c r="T440" s="973"/>
      <c r="U440" s="973"/>
      <c r="V440" s="973"/>
      <c r="W440" s="973"/>
      <c r="X440" s="973"/>
      <c r="Y440" s="973"/>
      <c r="Z440" s="973"/>
      <c r="AA440" s="973"/>
      <c r="AB440" s="973"/>
      <c r="AC440" s="973"/>
      <c r="AD440" s="973"/>
      <c r="AE440" s="973"/>
      <c r="AF440" s="974"/>
      <c r="AG440" s="1139">
        <v>38</v>
      </c>
      <c r="AH440" s="1063"/>
      <c r="AI440" s="1063"/>
      <c r="AJ440" s="1064"/>
    </row>
    <row r="441" spans="1:36" ht="12.95" customHeight="1">
      <c r="D441" s="1149" t="s">
        <v>510</v>
      </c>
      <c r="E441" s="973"/>
      <c r="F441" s="973"/>
      <c r="G441" s="973"/>
      <c r="H441" s="973"/>
      <c r="I441" s="973"/>
      <c r="J441" s="973"/>
      <c r="K441" s="973"/>
      <c r="L441" s="973"/>
      <c r="M441" s="973"/>
      <c r="N441" s="973"/>
      <c r="O441" s="973"/>
      <c r="P441" s="973"/>
      <c r="Q441" s="973"/>
      <c r="R441" s="973"/>
      <c r="S441" s="973"/>
      <c r="T441" s="973"/>
      <c r="U441" s="973"/>
      <c r="V441" s="973"/>
      <c r="W441" s="973"/>
      <c r="X441" s="973"/>
      <c r="Y441" s="973"/>
      <c r="Z441" s="973"/>
      <c r="AA441" s="973"/>
      <c r="AB441" s="973"/>
      <c r="AC441" s="973"/>
      <c r="AD441" s="973"/>
      <c r="AE441" s="973"/>
      <c r="AF441" s="974"/>
      <c r="AG441" s="1139">
        <v>38</v>
      </c>
      <c r="AH441" s="1063"/>
      <c r="AI441" s="1063"/>
      <c r="AJ441" s="1064"/>
    </row>
    <row r="442" spans="1:36" ht="12.95" customHeight="1">
      <c r="D442" s="1149" t="s">
        <v>511</v>
      </c>
      <c r="E442" s="973"/>
      <c r="F442" s="973"/>
      <c r="G442" s="973"/>
      <c r="H442" s="973"/>
      <c r="I442" s="973"/>
      <c r="J442" s="973"/>
      <c r="K442" s="973"/>
      <c r="L442" s="973"/>
      <c r="M442" s="973"/>
      <c r="N442" s="973"/>
      <c r="O442" s="973"/>
      <c r="P442" s="973"/>
      <c r="Q442" s="973"/>
      <c r="R442" s="973"/>
      <c r="S442" s="973"/>
      <c r="T442" s="973"/>
      <c r="U442" s="973"/>
      <c r="V442" s="973"/>
      <c r="W442" s="973"/>
      <c r="X442" s="973"/>
      <c r="Y442" s="973"/>
      <c r="Z442" s="973"/>
      <c r="AA442" s="973"/>
      <c r="AB442" s="973"/>
      <c r="AC442" s="973"/>
      <c r="AD442" s="973"/>
      <c r="AE442" s="973"/>
      <c r="AF442" s="974"/>
      <c r="AG442" s="1080">
        <f>IF(ISERROR(AG441/AG440),"",AG441/AG440)</f>
        <v>1</v>
      </c>
      <c r="AH442" s="973"/>
      <c r="AI442" s="973"/>
      <c r="AJ442" s="974"/>
    </row>
    <row r="443" spans="1:36" ht="12.95" customHeight="1">
      <c r="D443" s="1149" t="s">
        <v>512</v>
      </c>
      <c r="E443" s="973"/>
      <c r="F443" s="973"/>
      <c r="G443" s="973"/>
      <c r="H443" s="973"/>
      <c r="I443" s="973"/>
      <c r="J443" s="973"/>
      <c r="K443" s="973"/>
      <c r="L443" s="973"/>
      <c r="M443" s="973"/>
      <c r="N443" s="973"/>
      <c r="O443" s="973"/>
      <c r="P443" s="973"/>
      <c r="Q443" s="973"/>
      <c r="R443" s="973"/>
      <c r="S443" s="973"/>
      <c r="T443" s="973"/>
      <c r="U443" s="973"/>
      <c r="V443" s="973"/>
      <c r="W443" s="973"/>
      <c r="X443" s="973"/>
      <c r="Y443" s="973"/>
      <c r="Z443" s="973"/>
      <c r="AA443" s="973"/>
      <c r="AB443" s="973"/>
      <c r="AC443" s="973"/>
      <c r="AD443" s="973"/>
      <c r="AE443" s="973"/>
      <c r="AF443" s="974"/>
      <c r="AG443" s="1222">
        <v>18468</v>
      </c>
      <c r="AH443" s="1063"/>
      <c r="AI443" s="1063"/>
      <c r="AJ443" s="1064"/>
    </row>
    <row r="444" spans="1:36" ht="12.95" customHeight="1">
      <c r="D444" s="1149" t="s">
        <v>513</v>
      </c>
      <c r="E444" s="973"/>
      <c r="F444" s="973"/>
      <c r="G444" s="973"/>
      <c r="H444" s="973"/>
      <c r="I444" s="973"/>
      <c r="J444" s="973"/>
      <c r="K444" s="973"/>
      <c r="L444" s="973"/>
      <c r="M444" s="973"/>
      <c r="N444" s="973"/>
      <c r="O444" s="973"/>
      <c r="P444" s="973"/>
      <c r="Q444" s="973"/>
      <c r="R444" s="973"/>
      <c r="S444" s="973"/>
      <c r="T444" s="973"/>
      <c r="U444" s="973"/>
      <c r="V444" s="973"/>
      <c r="W444" s="973"/>
      <c r="X444" s="973"/>
      <c r="Y444" s="973"/>
      <c r="Z444" s="973"/>
      <c r="AA444" s="973"/>
      <c r="AB444" s="973"/>
      <c r="AC444" s="973"/>
      <c r="AD444" s="973"/>
      <c r="AE444" s="973"/>
      <c r="AF444" s="974"/>
      <c r="AG444" s="1222">
        <v>18468</v>
      </c>
      <c r="AH444" s="1063"/>
      <c r="AI444" s="1063"/>
      <c r="AJ444" s="1064"/>
    </row>
    <row r="445" spans="1:36" ht="12.95" customHeight="1">
      <c r="D445" s="1149" t="s">
        <v>514</v>
      </c>
      <c r="E445" s="973"/>
      <c r="F445" s="973"/>
      <c r="G445" s="973"/>
      <c r="H445" s="973"/>
      <c r="I445" s="973"/>
      <c r="J445" s="973"/>
      <c r="K445" s="973"/>
      <c r="L445" s="973"/>
      <c r="M445" s="973"/>
      <c r="N445" s="973"/>
      <c r="O445" s="973"/>
      <c r="P445" s="973"/>
      <c r="Q445" s="973"/>
      <c r="R445" s="973"/>
      <c r="S445" s="973"/>
      <c r="T445" s="973"/>
      <c r="U445" s="973"/>
      <c r="V445" s="973"/>
      <c r="W445" s="973"/>
      <c r="X445" s="973"/>
      <c r="Y445" s="973"/>
      <c r="Z445" s="973"/>
      <c r="AA445" s="973"/>
      <c r="AB445" s="973"/>
      <c r="AC445" s="973"/>
      <c r="AD445" s="973"/>
      <c r="AE445" s="973"/>
      <c r="AF445" s="974"/>
      <c r="AG445" s="1080">
        <f>IF(ISERROR(AG444/AG443),"",AG444/AG443)</f>
        <v>1</v>
      </c>
      <c r="AH445" s="973"/>
      <c r="AI445" s="973"/>
      <c r="AJ445" s="974"/>
    </row>
    <row r="446" spans="1:36" ht="12.95" customHeight="1">
      <c r="D446" s="1149" t="s">
        <v>515</v>
      </c>
      <c r="E446" s="973"/>
      <c r="F446" s="973"/>
      <c r="G446" s="973"/>
      <c r="H446" s="973"/>
      <c r="I446" s="973"/>
      <c r="J446" s="973"/>
      <c r="K446" s="973"/>
      <c r="L446" s="973"/>
      <c r="M446" s="973"/>
      <c r="N446" s="973"/>
      <c r="O446" s="973"/>
      <c r="P446" s="973"/>
      <c r="Q446" s="973"/>
      <c r="R446" s="973"/>
      <c r="S446" s="973"/>
      <c r="T446" s="973"/>
      <c r="U446" s="973"/>
      <c r="V446" s="973"/>
      <c r="W446" s="973"/>
      <c r="X446" s="973"/>
      <c r="Y446" s="973"/>
      <c r="Z446" s="973"/>
      <c r="AA446" s="973"/>
      <c r="AB446" s="973"/>
      <c r="AC446" s="973"/>
      <c r="AD446" s="973"/>
      <c r="AE446" s="973"/>
      <c r="AF446" s="974"/>
      <c r="AG446" s="1080">
        <f>MIN(IF(AG442&gt;AG445,AG445,AG442),1)</f>
        <v>1</v>
      </c>
      <c r="AH446" s="973"/>
      <c r="AI446" s="973"/>
      <c r="AJ446" s="974"/>
    </row>
    <row r="447" spans="1:36" ht="12.95" customHeight="1">
      <c r="D447" s="1218" t="s">
        <v>516</v>
      </c>
      <c r="E447" s="973"/>
      <c r="F447" s="973"/>
      <c r="G447" s="973"/>
      <c r="H447" s="973"/>
      <c r="I447" s="973"/>
      <c r="J447" s="973"/>
      <c r="K447" s="973"/>
      <c r="L447" s="973"/>
      <c r="M447" s="973"/>
      <c r="N447" s="973"/>
      <c r="O447" s="973"/>
      <c r="P447" s="973"/>
      <c r="Q447" s="973"/>
      <c r="R447" s="973"/>
      <c r="S447" s="973"/>
      <c r="T447" s="973"/>
      <c r="U447" s="973"/>
      <c r="V447" s="973"/>
      <c r="W447" s="973"/>
      <c r="X447" s="973"/>
      <c r="Y447" s="973"/>
      <c r="Z447" s="973"/>
      <c r="AA447" s="973"/>
      <c r="AB447" s="973"/>
      <c r="AC447" s="973"/>
      <c r="AD447" s="973"/>
      <c r="AE447" s="973"/>
      <c r="AF447" s="974"/>
      <c r="AG447" s="1222">
        <v>4066</v>
      </c>
      <c r="AH447" s="1063"/>
      <c r="AI447" s="1063"/>
      <c r="AJ447" s="1064"/>
    </row>
    <row r="448" spans="1:36" ht="12.95" customHeight="1">
      <c r="D448" s="1149" t="s">
        <v>517</v>
      </c>
      <c r="E448" s="973"/>
      <c r="F448" s="973"/>
      <c r="G448" s="973"/>
      <c r="H448" s="973"/>
      <c r="I448" s="973"/>
      <c r="J448" s="973"/>
      <c r="K448" s="973"/>
      <c r="L448" s="973"/>
      <c r="M448" s="973"/>
      <c r="N448" s="973"/>
      <c r="O448" s="973"/>
      <c r="P448" s="973"/>
      <c r="Q448" s="973"/>
      <c r="R448" s="973"/>
      <c r="S448" s="973"/>
      <c r="T448" s="973"/>
      <c r="U448" s="973"/>
      <c r="V448" s="973"/>
      <c r="W448" s="973"/>
      <c r="X448" s="973"/>
      <c r="Y448" s="973"/>
      <c r="Z448" s="973"/>
      <c r="AA448" s="973"/>
      <c r="AB448" s="973"/>
      <c r="AC448" s="973"/>
      <c r="AD448" s="973"/>
      <c r="AE448" s="973"/>
      <c r="AF448" s="974"/>
      <c r="AG448" s="1222">
        <v>3331</v>
      </c>
      <c r="AH448" s="1063"/>
      <c r="AI448" s="1063"/>
      <c r="AJ448" s="1064"/>
    </row>
    <row r="449" spans="1:36" ht="12.95" customHeight="1">
      <c r="D449" s="1218" t="s">
        <v>518</v>
      </c>
      <c r="E449" s="973"/>
      <c r="F449" s="973"/>
      <c r="G449" s="973"/>
      <c r="H449" s="973"/>
      <c r="I449" s="973"/>
      <c r="J449" s="973"/>
      <c r="K449" s="973"/>
      <c r="L449" s="973"/>
      <c r="M449" s="973"/>
      <c r="N449" s="973"/>
      <c r="O449" s="973"/>
      <c r="P449" s="973"/>
      <c r="Q449" s="973"/>
      <c r="R449" s="973"/>
      <c r="S449" s="973"/>
      <c r="T449" s="973"/>
      <c r="U449" s="973"/>
      <c r="V449" s="973"/>
      <c r="W449" s="973"/>
      <c r="X449" s="973"/>
      <c r="Y449" s="973"/>
      <c r="Z449" s="973"/>
      <c r="AA449" s="973"/>
      <c r="AB449" s="973"/>
      <c r="AC449" s="973"/>
      <c r="AD449" s="973"/>
      <c r="AE449" s="973"/>
      <c r="AF449" s="974"/>
      <c r="AG449" s="1222">
        <v>10535</v>
      </c>
      <c r="AH449" s="1063"/>
      <c r="AI449" s="1063"/>
      <c r="AJ449" s="1064"/>
    </row>
    <row r="450" spans="1:36" ht="12.95" customHeight="1">
      <c r="D450" s="1149" t="s">
        <v>519</v>
      </c>
      <c r="E450" s="973"/>
      <c r="F450" s="973"/>
      <c r="G450" s="973"/>
      <c r="H450" s="973"/>
      <c r="I450" s="973"/>
      <c r="J450" s="973"/>
      <c r="K450" s="973"/>
      <c r="L450" s="973"/>
      <c r="M450" s="973"/>
      <c r="N450" s="973"/>
      <c r="O450" s="973"/>
      <c r="P450" s="973"/>
      <c r="Q450" s="973"/>
      <c r="R450" s="973"/>
      <c r="S450" s="973"/>
      <c r="T450" s="973"/>
      <c r="U450" s="973"/>
      <c r="V450" s="973"/>
      <c r="W450" s="973"/>
      <c r="X450" s="973"/>
      <c r="Y450" s="973"/>
      <c r="Z450" s="973"/>
      <c r="AA450" s="973"/>
      <c r="AB450" s="973"/>
      <c r="AC450" s="973"/>
      <c r="AD450" s="973"/>
      <c r="AE450" s="973"/>
      <c r="AF450" s="974"/>
      <c r="AG450" s="1222">
        <v>0</v>
      </c>
      <c r="AH450" s="1063"/>
      <c r="AI450" s="1063"/>
      <c r="AJ450" s="1064"/>
    </row>
    <row r="451" spans="1:36" ht="12.95" customHeight="1">
      <c r="D451" s="1149" t="s">
        <v>520</v>
      </c>
      <c r="E451" s="973"/>
      <c r="F451" s="973"/>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4"/>
      <c r="AG451" s="1264">
        <f>AG443+AG447+AG449+AG450</f>
        <v>33069</v>
      </c>
      <c r="AH451" s="973"/>
      <c r="AI451" s="973"/>
      <c r="AJ451" s="974"/>
    </row>
    <row r="452" spans="1:36" ht="12.95" customHeight="1">
      <c r="D452" s="1120" t="s">
        <v>521</v>
      </c>
      <c r="E452" s="1073"/>
      <c r="F452" s="1073"/>
      <c r="G452" s="1073"/>
      <c r="H452" s="1073"/>
      <c r="I452" s="1073"/>
      <c r="J452" s="1073"/>
      <c r="K452" s="1073"/>
      <c r="L452" s="1073"/>
      <c r="M452" s="1073"/>
      <c r="N452" s="1073"/>
      <c r="O452" s="1073"/>
      <c r="P452" s="1073"/>
      <c r="Q452" s="1073"/>
      <c r="R452" s="1073"/>
      <c r="S452" s="1073"/>
      <c r="T452" s="1073"/>
      <c r="U452" s="1073"/>
      <c r="V452" s="1073"/>
      <c r="W452" s="1073"/>
      <c r="X452" s="1073"/>
      <c r="Y452" s="1073"/>
      <c r="Z452" s="1073"/>
      <c r="AA452" s="1073"/>
      <c r="AB452" s="1073"/>
      <c r="AC452" s="1073"/>
      <c r="AD452" s="1073"/>
      <c r="AE452" s="1073"/>
      <c r="AF452" s="1073"/>
      <c r="AG452" s="1073"/>
      <c r="AH452" s="1073"/>
      <c r="AI452" s="1073"/>
      <c r="AJ452" s="1073"/>
    </row>
    <row r="453" spans="1:36" ht="12.95" customHeight="1">
      <c r="D453" s="976"/>
      <c r="E453" s="976"/>
      <c r="F453" s="976"/>
      <c r="G453" s="976"/>
      <c r="H453" s="976"/>
      <c r="I453" s="976"/>
      <c r="J453" s="976"/>
      <c r="K453" s="976"/>
      <c r="L453" s="976"/>
      <c r="M453" s="976"/>
      <c r="N453" s="976"/>
      <c r="O453" s="976"/>
      <c r="P453" s="976"/>
      <c r="Q453" s="976"/>
      <c r="R453" s="976"/>
      <c r="S453" s="976"/>
      <c r="T453" s="976"/>
      <c r="U453" s="976"/>
      <c r="V453" s="976"/>
      <c r="W453" s="976"/>
      <c r="X453" s="976"/>
      <c r="Y453" s="976"/>
      <c r="Z453" s="976"/>
      <c r="AA453" s="976"/>
      <c r="AB453" s="976"/>
      <c r="AC453" s="976"/>
      <c r="AD453" s="976"/>
      <c r="AE453" s="976"/>
      <c r="AF453" s="976"/>
      <c r="AG453" s="976"/>
      <c r="AH453" s="976"/>
      <c r="AI453" s="976"/>
      <c r="AJ453" s="976"/>
    </row>
    <row r="454" spans="1:36" ht="12.95" customHeight="1">
      <c r="D454" s="1079"/>
      <c r="E454" s="976"/>
      <c r="F454" s="976"/>
      <c r="G454" s="976"/>
      <c r="H454" s="976"/>
      <c r="I454" s="976"/>
      <c r="J454" s="976"/>
      <c r="K454" s="976"/>
      <c r="L454" s="976"/>
      <c r="M454" s="976"/>
      <c r="N454" s="976"/>
      <c r="O454" s="976"/>
      <c r="P454" s="976"/>
      <c r="Q454" s="976"/>
      <c r="R454" s="976"/>
      <c r="S454" s="976"/>
      <c r="T454" s="976"/>
      <c r="U454" s="976"/>
      <c r="V454" s="976"/>
      <c r="W454" s="976"/>
      <c r="X454" s="976"/>
      <c r="Y454" s="976"/>
      <c r="Z454" s="976"/>
      <c r="AA454" s="976"/>
      <c r="AB454" s="976"/>
      <c r="AC454" s="976"/>
      <c r="AD454" s="976"/>
      <c r="AE454" s="976"/>
      <c r="AF454" s="976"/>
      <c r="AG454" s="976"/>
      <c r="AH454" s="976"/>
      <c r="AI454" s="976"/>
      <c r="AJ454" s="976"/>
    </row>
    <row r="455" spans="1:36" ht="12.95" customHeight="1">
      <c r="D455" s="3" t="s">
        <v>522</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0">
        <f>IF(AG438=0,"",'Sources and Uses Budget'!B104/Application!AG438)</f>
        <v>771370.20512820513</v>
      </c>
      <c r="AD455" s="973"/>
      <c r="AE455" s="973"/>
      <c r="AF455" s="974"/>
      <c r="AG455" s="1304"/>
      <c r="AH455" s="976"/>
      <c r="AI455" s="976"/>
      <c r="AJ455" s="976"/>
    </row>
    <row r="456" spans="1:36" ht="12.95" customHeight="1">
      <c r="D456" s="3" t="s">
        <v>523</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0">
        <f>IF(AG438=0,"",'Sources and Uses Budget'!C104/Application!AG438)</f>
        <v>771370.20512820513</v>
      </c>
      <c r="AD456" s="973"/>
      <c r="AE456" s="973"/>
      <c r="AF456" s="974"/>
      <c r="AG456" s="1304"/>
      <c r="AH456" s="976"/>
      <c r="AI456" s="976"/>
      <c r="AJ456" s="976"/>
    </row>
    <row r="457" spans="1:36" ht="12.95" customHeight="1">
      <c r="D457" s="370" t="s">
        <v>524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0">
        <f>IF(AG438=0,"",('Sources and Uses Budget'!S106+'Sources and Uses Budget'!T106)/Application!AG438)</f>
        <v>654216.92307692312</v>
      </c>
      <c r="AD457" s="973"/>
      <c r="AE457" s="973"/>
      <c r="AF457" s="974"/>
      <c r="AG457" s="359"/>
      <c r="AH457" s="359"/>
      <c r="AI457" s="359"/>
      <c r="AJ457" s="359"/>
    </row>
    <row r="458" spans="1:36" ht="12.95" customHeight="1">
      <c r="D458" s="370"/>
      <c r="E458" s="305"/>
      <c r="F458" s="124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976"/>
      <c r="H458" s="976"/>
      <c r="I458" s="976"/>
      <c r="J458" s="976"/>
      <c r="K458" s="976"/>
      <c r="L458" s="976"/>
      <c r="M458" s="976"/>
      <c r="N458" s="976"/>
      <c r="O458" s="976"/>
      <c r="P458" s="976"/>
      <c r="Q458" s="976"/>
      <c r="R458" s="976"/>
      <c r="S458" s="976"/>
      <c r="T458" s="976"/>
      <c r="U458" s="976"/>
      <c r="V458" s="976"/>
      <c r="W458" s="976"/>
      <c r="X458" s="976"/>
      <c r="Y458" s="976"/>
      <c r="Z458" s="976"/>
      <c r="AA458" s="976"/>
      <c r="AB458" s="976"/>
      <c r="AC458" s="291"/>
      <c r="AD458" s="291"/>
      <c r="AE458" s="291"/>
      <c r="AF458" s="291"/>
      <c r="AG458" s="359"/>
      <c r="AH458" s="359"/>
      <c r="AI458" s="359"/>
      <c r="AJ458" s="359"/>
    </row>
    <row r="459" spans="1:36" ht="12.95" customHeight="1">
      <c r="D459" s="370"/>
      <c r="E459" s="305"/>
      <c r="F459" s="976"/>
      <c r="G459" s="976"/>
      <c r="H459" s="976"/>
      <c r="I459" s="976"/>
      <c r="J459" s="976"/>
      <c r="K459" s="976"/>
      <c r="L459" s="976"/>
      <c r="M459" s="976"/>
      <c r="N459" s="976"/>
      <c r="O459" s="976"/>
      <c r="P459" s="976"/>
      <c r="Q459" s="976"/>
      <c r="R459" s="976"/>
      <c r="S459" s="976"/>
      <c r="T459" s="976"/>
      <c r="U459" s="976"/>
      <c r="V459" s="976"/>
      <c r="W459" s="976"/>
      <c r="X459" s="976"/>
      <c r="Y459" s="976"/>
      <c r="Z459" s="976"/>
      <c r="AA459" s="976"/>
      <c r="AB459" s="976"/>
      <c r="AC459" s="291"/>
      <c r="AD459" s="291"/>
      <c r="AE459" s="291"/>
      <c r="AF459" s="291"/>
      <c r="AG459" s="359"/>
      <c r="AH459" s="359"/>
      <c r="AI459" s="359"/>
      <c r="AJ459" s="359"/>
    </row>
    <row r="460" spans="1:36" ht="12.95" customHeight="1">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525</v>
      </c>
      <c r="D461" s="3" t="s">
        <v>526</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D462" s="308" t="s">
        <v>527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D463" s="309" t="s">
        <v>528</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D464" s="308" t="s">
        <v>529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D465" s="308" t="s">
        <v>530</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531</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41" t="s">
        <v>532</v>
      </c>
      <c r="E468" s="973"/>
      <c r="F468" s="973"/>
      <c r="G468" s="973"/>
      <c r="H468" s="973"/>
      <c r="I468" s="973"/>
      <c r="J468" s="973"/>
      <c r="K468" s="973"/>
      <c r="L468" s="973"/>
      <c r="M468" s="973"/>
      <c r="N468" s="973"/>
      <c r="O468" s="973"/>
      <c r="P468" s="973"/>
      <c r="Q468" s="973"/>
      <c r="R468" s="973"/>
      <c r="S468" s="973"/>
      <c r="T468" s="973"/>
      <c r="U468" s="973"/>
      <c r="V468" s="974"/>
      <c r="W468" s="1082">
        <v>0</v>
      </c>
      <c r="X468" s="1063"/>
      <c r="Y468" s="1064"/>
      <c r="Z468" s="308"/>
      <c r="AA468" s="308"/>
      <c r="AB468" s="308"/>
      <c r="AC468" s="308"/>
      <c r="AD468" s="308"/>
      <c r="AE468" s="308"/>
      <c r="AF468" s="308"/>
      <c r="AG468" s="308"/>
      <c r="AH468" s="308"/>
      <c r="AI468" s="308"/>
      <c r="AJ468" s="41"/>
      <c r="AK468" s="41"/>
      <c r="AL468" s="41"/>
    </row>
    <row r="469" spans="1:97" ht="12.95" customHeight="1">
      <c r="A469" s="41"/>
      <c r="B469" s="41"/>
      <c r="C469" s="41"/>
      <c r="D469" s="1141" t="s">
        <v>533</v>
      </c>
      <c r="E469" s="973"/>
      <c r="F469" s="973"/>
      <c r="G469" s="973"/>
      <c r="H469" s="973"/>
      <c r="I469" s="973"/>
      <c r="J469" s="973"/>
      <c r="K469" s="973"/>
      <c r="L469" s="973"/>
      <c r="M469" s="973"/>
      <c r="N469" s="973"/>
      <c r="O469" s="973"/>
      <c r="P469" s="973"/>
      <c r="Q469" s="973"/>
      <c r="R469" s="973"/>
      <c r="S469" s="973"/>
      <c r="T469" s="973"/>
      <c r="U469" s="973"/>
      <c r="V469" s="974"/>
      <c r="W469" s="1082">
        <v>0</v>
      </c>
      <c r="X469" s="1063"/>
      <c r="Y469" s="1064"/>
      <c r="Z469" s="308"/>
      <c r="AA469" s="308"/>
      <c r="AB469" s="308"/>
      <c r="AC469" s="308"/>
      <c r="AD469" s="308"/>
      <c r="AE469" s="308"/>
      <c r="AF469" s="308"/>
      <c r="AG469" s="308"/>
      <c r="AH469" s="308"/>
      <c r="AI469" s="308"/>
      <c r="AJ469" s="41"/>
      <c r="AK469" s="41"/>
      <c r="AL469" s="41"/>
    </row>
    <row r="470" spans="1:97" ht="12.95" customHeight="1">
      <c r="A470" s="41"/>
      <c r="B470" s="41"/>
      <c r="C470" s="41"/>
      <c r="D470" s="1141" t="s">
        <v>534</v>
      </c>
      <c r="E470" s="973"/>
      <c r="F470" s="973"/>
      <c r="G470" s="973"/>
      <c r="H470" s="973"/>
      <c r="I470" s="973"/>
      <c r="J470" s="973"/>
      <c r="K470" s="973"/>
      <c r="L470" s="973"/>
      <c r="M470" s="973"/>
      <c r="N470" s="973"/>
      <c r="O470" s="973"/>
      <c r="P470" s="973"/>
      <c r="Q470" s="973"/>
      <c r="R470" s="973"/>
      <c r="S470" s="973"/>
      <c r="T470" s="973"/>
      <c r="U470" s="973"/>
      <c r="V470" s="974"/>
      <c r="W470" s="1082">
        <v>0</v>
      </c>
      <c r="X470" s="1063"/>
      <c r="Y470" s="1064"/>
      <c r="Z470" s="308"/>
      <c r="AA470" s="308"/>
      <c r="AB470" s="308"/>
      <c r="AC470" s="308"/>
      <c r="AD470" s="308"/>
      <c r="AE470" s="308"/>
      <c r="AF470" s="308"/>
      <c r="AG470" s="308"/>
      <c r="AH470" s="308"/>
      <c r="AI470" s="308"/>
      <c r="AJ470" s="41"/>
      <c r="AK470" s="41"/>
      <c r="AL470" s="41"/>
    </row>
    <row r="471" spans="1:97" ht="12.95" customHeight="1">
      <c r="A471" s="41"/>
      <c r="B471" s="41"/>
      <c r="C471" s="41"/>
      <c r="D471" s="1141" t="s">
        <v>535</v>
      </c>
      <c r="E471" s="973"/>
      <c r="F471" s="973"/>
      <c r="G471" s="973"/>
      <c r="H471" s="973"/>
      <c r="I471" s="973"/>
      <c r="J471" s="973"/>
      <c r="K471" s="973"/>
      <c r="L471" s="973"/>
      <c r="M471" s="973"/>
      <c r="N471" s="973"/>
      <c r="O471" s="973"/>
      <c r="P471" s="973"/>
      <c r="Q471" s="973"/>
      <c r="R471" s="973"/>
      <c r="S471" s="973"/>
      <c r="T471" s="973"/>
      <c r="U471" s="973"/>
      <c r="V471" s="974"/>
      <c r="W471" s="1082">
        <v>0</v>
      </c>
      <c r="X471" s="1063"/>
      <c r="Y471" s="1064"/>
      <c r="Z471" s="308"/>
      <c r="AA471" s="308"/>
      <c r="AB471" s="308"/>
      <c r="AC471" s="308"/>
      <c r="AD471" s="308"/>
      <c r="AE471" s="308"/>
      <c r="AF471" s="308"/>
      <c r="AG471" s="308"/>
      <c r="AH471" s="308"/>
      <c r="AI471" s="308"/>
      <c r="AJ471" s="41"/>
      <c r="AK471" s="41"/>
      <c r="AL471" s="41"/>
    </row>
    <row r="472" spans="1:97" ht="12.95" customHeight="1">
      <c r="A472" s="41"/>
      <c r="B472" s="41"/>
      <c r="C472" s="41"/>
      <c r="D472" s="1190" t="s">
        <v>536</v>
      </c>
      <c r="E472" s="973"/>
      <c r="F472" s="973"/>
      <c r="G472" s="973"/>
      <c r="H472" s="973"/>
      <c r="I472" s="973"/>
      <c r="J472" s="973"/>
      <c r="K472" s="973"/>
      <c r="L472" s="973"/>
      <c r="M472" s="973"/>
      <c r="N472" s="973"/>
      <c r="O472" s="973"/>
      <c r="P472" s="973"/>
      <c r="Q472" s="973"/>
      <c r="R472" s="973"/>
      <c r="S472" s="973"/>
      <c r="T472" s="973"/>
      <c r="U472" s="973"/>
      <c r="V472" s="974"/>
      <c r="W472" s="1082">
        <v>0</v>
      </c>
      <c r="X472" s="1063"/>
      <c r="Y472" s="1064"/>
      <c r="Z472" s="308"/>
      <c r="AA472" s="308"/>
      <c r="AB472" s="308"/>
      <c r="AC472" s="308"/>
      <c r="AD472" s="308"/>
      <c r="AE472" s="308"/>
      <c r="AF472" s="308"/>
      <c r="AG472" s="308"/>
      <c r="AH472" s="308"/>
      <c r="AI472" s="308"/>
      <c r="AJ472" s="41"/>
      <c r="AK472" s="41"/>
      <c r="AL472" s="41"/>
    </row>
    <row r="473" spans="1:97" ht="12.95" customHeight="1">
      <c r="A473" s="41"/>
      <c r="B473" s="41"/>
      <c r="C473" s="41"/>
      <c r="D473" s="1141" t="s">
        <v>537</v>
      </c>
      <c r="E473" s="973"/>
      <c r="F473" s="973"/>
      <c r="G473" s="973"/>
      <c r="H473" s="973"/>
      <c r="I473" s="973"/>
      <c r="J473" s="973"/>
      <c r="K473" s="973"/>
      <c r="L473" s="973"/>
      <c r="M473" s="973"/>
      <c r="N473" s="973"/>
      <c r="O473" s="973"/>
      <c r="P473" s="973"/>
      <c r="Q473" s="973"/>
      <c r="R473" s="973"/>
      <c r="S473" s="973"/>
      <c r="T473" s="973"/>
      <c r="U473" s="973"/>
      <c r="V473" s="974"/>
      <c r="W473" s="1082">
        <v>0</v>
      </c>
      <c r="X473" s="1063"/>
      <c r="Y473" s="1064"/>
      <c r="Z473" s="308"/>
      <c r="AA473" s="308"/>
      <c r="AB473" s="308"/>
      <c r="AC473" s="308"/>
      <c r="AD473" s="308"/>
      <c r="AE473" s="308"/>
      <c r="AF473" s="308"/>
      <c r="AG473" s="308"/>
      <c r="AH473" s="308"/>
      <c r="AI473" s="308"/>
      <c r="AJ473" s="41"/>
      <c r="AK473" s="41"/>
      <c r="AL473" s="41"/>
    </row>
    <row r="474" spans="1:97" ht="12.95" customHeight="1">
      <c r="A474" s="553"/>
      <c r="B474" s="553"/>
      <c r="C474" s="553"/>
      <c r="D474" s="1190" t="s">
        <v>538</v>
      </c>
      <c r="E474" s="973"/>
      <c r="F474" s="973"/>
      <c r="G474" s="973"/>
      <c r="H474" s="973"/>
      <c r="I474" s="973"/>
      <c r="J474" s="973"/>
      <c r="K474" s="973"/>
      <c r="L474" s="973"/>
      <c r="M474" s="973"/>
      <c r="N474" s="973"/>
      <c r="O474" s="973"/>
      <c r="P474" s="973"/>
      <c r="Q474" s="973"/>
      <c r="R474" s="973"/>
      <c r="S474" s="973"/>
      <c r="T474" s="973"/>
      <c r="U474" s="973"/>
      <c r="V474" s="974"/>
      <c r="W474" s="1187">
        <v>0</v>
      </c>
      <c r="X474" s="1063"/>
      <c r="Y474" s="1064"/>
      <c r="Z474" s="554"/>
      <c r="AA474" s="554"/>
      <c r="AB474" s="554"/>
      <c r="AC474" s="554"/>
      <c r="AD474" s="555"/>
      <c r="AE474" s="555"/>
      <c r="AF474" s="555"/>
      <c r="AG474" s="555"/>
      <c r="AH474" s="555"/>
      <c r="AI474" s="555"/>
      <c r="AJ474" s="359"/>
    </row>
    <row r="475" spans="1:97" ht="12.95" customHeight="1">
      <c r="A475" s="553"/>
      <c r="B475" s="553"/>
      <c r="C475" s="553"/>
      <c r="D475" s="1141" t="s">
        <v>539</v>
      </c>
      <c r="E475" s="973"/>
      <c r="F475" s="973"/>
      <c r="G475" s="973"/>
      <c r="H475" s="973"/>
      <c r="I475" s="973"/>
      <c r="J475" s="973"/>
      <c r="K475" s="973"/>
      <c r="L475" s="973"/>
      <c r="M475" s="973"/>
      <c r="N475" s="973"/>
      <c r="O475" s="973"/>
      <c r="P475" s="973"/>
      <c r="Q475" s="973"/>
      <c r="R475" s="973"/>
      <c r="S475" s="973"/>
      <c r="T475" s="973"/>
      <c r="U475" s="973"/>
      <c r="V475" s="974"/>
      <c r="W475" s="1187">
        <v>0</v>
      </c>
      <c r="X475" s="1063"/>
      <c r="Y475" s="1064"/>
      <c r="Z475" s="554"/>
      <c r="AA475" s="554"/>
      <c r="AB475" s="554"/>
      <c r="AC475" s="554"/>
      <c r="AD475" s="555"/>
      <c r="AE475" s="555"/>
      <c r="AF475" s="555"/>
      <c r="AG475" s="555"/>
      <c r="AH475" s="555"/>
      <c r="AI475" s="555"/>
      <c r="AJ475" s="359"/>
    </row>
    <row r="476" spans="1:97" ht="12.95" customHeight="1">
      <c r="A476" s="41"/>
      <c r="B476" s="41"/>
      <c r="C476" s="41"/>
      <c r="D476" s="1141" t="s">
        <v>540</v>
      </c>
      <c r="E476" s="973"/>
      <c r="F476" s="973"/>
      <c r="G476" s="973"/>
      <c r="H476" s="973"/>
      <c r="I476" s="973"/>
      <c r="J476" s="973"/>
      <c r="K476" s="973"/>
      <c r="L476" s="973"/>
      <c r="M476" s="973"/>
      <c r="N476" s="973"/>
      <c r="O476" s="973"/>
      <c r="P476" s="973"/>
      <c r="Q476" s="973"/>
      <c r="R476" s="973"/>
      <c r="S476" s="973"/>
      <c r="T476" s="973"/>
      <c r="U476" s="973"/>
      <c r="V476" s="974"/>
      <c r="W476" s="1187">
        <v>0</v>
      </c>
      <c r="X476" s="1063"/>
      <c r="Y476" s="1064"/>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2" t="s">
        <v>483</v>
      </c>
      <c r="E477" s="413"/>
      <c r="F477" s="414"/>
      <c r="G477" s="1330"/>
      <c r="H477" s="1063"/>
      <c r="I477" s="1063"/>
      <c r="J477" s="1063"/>
      <c r="K477" s="1063"/>
      <c r="L477" s="1063"/>
      <c r="M477" s="1063"/>
      <c r="N477" s="1063"/>
      <c r="O477" s="1063"/>
      <c r="P477" s="1063"/>
      <c r="Q477" s="1063"/>
      <c r="R477" s="1063"/>
      <c r="S477" s="1063"/>
      <c r="T477" s="1063"/>
      <c r="U477" s="1063"/>
      <c r="V477" s="1064"/>
      <c r="W477" s="1082">
        <v>0</v>
      </c>
      <c r="X477" s="1063"/>
      <c r="Y477" s="1064"/>
      <c r="Z477" s="308"/>
      <c r="AA477" s="308"/>
      <c r="AB477" s="308"/>
      <c r="AC477" s="308"/>
      <c r="AD477" s="308"/>
      <c r="AE477" s="308"/>
      <c r="AF477" s="308"/>
      <c r="AG477" s="308"/>
      <c r="AH477" s="308"/>
      <c r="AI477" s="308"/>
      <c r="AJ477" s="41"/>
      <c r="AK477" s="41"/>
      <c r="AL477" s="41"/>
    </row>
    <row r="478" spans="1:97" ht="12.95" customHeight="1">
      <c r="A478" s="41"/>
      <c r="B478" s="41"/>
      <c r="C478" s="41"/>
      <c r="D478" s="940" t="s">
        <v>541</v>
      </c>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308"/>
      <c r="AA478" s="308"/>
      <c r="AB478" s="308"/>
      <c r="AC478" s="308"/>
      <c r="AD478" s="308"/>
      <c r="AE478" s="308"/>
      <c r="AF478" s="308"/>
      <c r="AG478" s="308"/>
      <c r="AH478" s="308"/>
      <c r="AI478" s="308"/>
      <c r="AJ478" s="41"/>
      <c r="AK478" s="41"/>
      <c r="AL478" s="41"/>
    </row>
    <row r="479" spans="1:97" ht="12.95" customHeight="1">
      <c r="A479" s="41"/>
      <c r="B479" s="41"/>
      <c r="C479" s="41"/>
      <c r="D479" s="1200"/>
      <c r="E479" s="1038"/>
      <c r="F479" s="1038"/>
      <c r="G479" s="1038"/>
      <c r="H479" s="1038"/>
      <c r="I479" s="1038"/>
      <c r="J479" s="1038"/>
      <c r="K479" s="1038"/>
      <c r="L479" s="1038"/>
      <c r="M479" s="1038"/>
      <c r="N479" s="1038"/>
      <c r="O479" s="1038"/>
      <c r="P479" s="1038"/>
      <c r="Q479" s="1038"/>
      <c r="R479" s="1038"/>
      <c r="S479" s="1038"/>
      <c r="T479" s="1038"/>
      <c r="U479" s="1038"/>
      <c r="V479" s="1038"/>
      <c r="W479" s="1038"/>
      <c r="X479" s="1038"/>
      <c r="Y479" s="120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202"/>
      <c r="E480" s="1038"/>
      <c r="F480" s="1038"/>
      <c r="G480" s="1038"/>
      <c r="H480" s="1038"/>
      <c r="I480" s="1038"/>
      <c r="J480" s="1038"/>
      <c r="K480" s="1038"/>
      <c r="L480" s="1038"/>
      <c r="M480" s="1038"/>
      <c r="N480" s="1038"/>
      <c r="O480" s="1038"/>
      <c r="P480" s="1038"/>
      <c r="Q480" s="1038"/>
      <c r="R480" s="1038"/>
      <c r="S480" s="1038"/>
      <c r="T480" s="1038"/>
      <c r="U480" s="1038"/>
      <c r="V480" s="1038"/>
      <c r="W480" s="1038"/>
      <c r="X480" s="1038"/>
      <c r="Y480" s="120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101"/>
      <c r="E481" s="1060"/>
      <c r="F481" s="1060"/>
      <c r="G481" s="1060"/>
      <c r="H481" s="1060"/>
      <c r="I481" s="1060"/>
      <c r="J481" s="1060"/>
      <c r="K481" s="1060"/>
      <c r="L481" s="1060"/>
      <c r="M481" s="1060"/>
      <c r="N481" s="1060"/>
      <c r="O481" s="1060"/>
      <c r="P481" s="1060"/>
      <c r="Q481" s="1060"/>
      <c r="R481" s="1060"/>
      <c r="S481" s="1060"/>
      <c r="T481" s="1060"/>
      <c r="U481" s="1060"/>
      <c r="V481" s="1060"/>
      <c r="W481" s="1060"/>
      <c r="X481" s="1060"/>
      <c r="Y481" s="109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50" t="s">
        <v>542</v>
      </c>
      <c r="B484" s="976"/>
      <c r="C484" s="1113"/>
      <c r="D484" s="976"/>
      <c r="E484" s="976"/>
      <c r="F484" s="976"/>
      <c r="G484" s="976"/>
      <c r="H484" s="976"/>
      <c r="I484" s="976"/>
      <c r="J484" s="976"/>
      <c r="K484" s="976"/>
      <c r="L484" s="976"/>
      <c r="M484" s="976"/>
      <c r="N484" s="976"/>
      <c r="O484" s="976"/>
      <c r="P484" s="976"/>
      <c r="Q484" s="976"/>
      <c r="R484" s="976"/>
      <c r="S484" s="976"/>
      <c r="T484" s="976"/>
      <c r="U484" s="976"/>
      <c r="V484" s="976"/>
      <c r="W484" s="976"/>
      <c r="X484" s="976"/>
      <c r="Y484" s="976"/>
      <c r="Z484" s="976"/>
      <c r="AA484" s="976"/>
      <c r="AB484" s="976"/>
      <c r="AC484" s="976"/>
      <c r="AD484" s="976"/>
      <c r="AE484" s="976"/>
      <c r="AF484" s="976"/>
      <c r="AG484" s="976"/>
      <c r="AH484" s="976"/>
      <c r="AI484" s="976"/>
      <c r="AJ484" s="976"/>
      <c r="AK484" s="976"/>
      <c r="AL484" s="976"/>
      <c r="AM484" s="976"/>
      <c r="AN484" s="976"/>
      <c r="AO484" s="976"/>
      <c r="AP484" s="976"/>
      <c r="AQ484" s="976"/>
      <c r="AR484" s="976"/>
      <c r="AS484" s="976"/>
      <c r="AT484" s="97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76"/>
      <c r="B485" s="976"/>
      <c r="C485" s="1113"/>
      <c r="D485" s="976"/>
      <c r="E485" s="976"/>
      <c r="F485" s="976"/>
      <c r="G485" s="976"/>
      <c r="H485" s="976"/>
      <c r="I485" s="976"/>
      <c r="J485" s="976"/>
      <c r="K485" s="976"/>
      <c r="L485" s="976"/>
      <c r="M485" s="976"/>
      <c r="N485" s="976"/>
      <c r="O485" s="976"/>
      <c r="P485" s="976"/>
      <c r="Q485" s="976"/>
      <c r="R485" s="976"/>
      <c r="S485" s="976"/>
      <c r="T485" s="976"/>
      <c r="U485" s="976"/>
      <c r="V485" s="976"/>
      <c r="W485" s="976"/>
      <c r="X485" s="976"/>
      <c r="Y485" s="976"/>
      <c r="Z485" s="976"/>
      <c r="AA485" s="976"/>
      <c r="AB485" s="976"/>
      <c r="AC485" s="976"/>
      <c r="AD485" s="976"/>
      <c r="AE485" s="976"/>
      <c r="AF485" s="976"/>
      <c r="AG485" s="976"/>
      <c r="AH485" s="976"/>
      <c r="AI485" s="976"/>
      <c r="AJ485" s="976"/>
      <c r="AK485" s="976"/>
      <c r="AL485" s="976"/>
      <c r="AM485" s="976"/>
      <c r="AN485" s="976"/>
      <c r="AO485" s="976"/>
      <c r="AP485" s="976"/>
      <c r="AQ485" s="976"/>
      <c r="AR485" s="976"/>
      <c r="AS485" s="976"/>
      <c r="AT485" s="97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97</v>
      </c>
      <c r="C487" s="3" t="s">
        <v>543</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98" t="s">
        <v>544</v>
      </c>
      <c r="R489" s="973"/>
      <c r="S489" s="973"/>
      <c r="T489" s="973"/>
      <c r="U489" s="973"/>
      <c r="V489" s="973"/>
      <c r="W489" s="973"/>
      <c r="X489" s="973"/>
      <c r="Y489" s="973"/>
      <c r="Z489" s="973"/>
      <c r="AA489" s="973"/>
      <c r="AB489" s="973"/>
      <c r="AC489" s="973"/>
      <c r="AD489" s="973"/>
      <c r="AE489" s="973"/>
      <c r="AF489" s="973"/>
      <c r="AG489" s="973"/>
      <c r="AH489" s="973"/>
      <c r="AI489" s="973"/>
      <c r="AJ489" s="973"/>
      <c r="AK489" s="97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545</v>
      </c>
      <c r="C490" s="9"/>
      <c r="D490" s="9"/>
      <c r="E490" s="9"/>
      <c r="F490" s="9"/>
      <c r="G490" s="9"/>
      <c r="H490" s="9"/>
      <c r="I490" s="9"/>
      <c r="J490" s="9"/>
      <c r="K490" s="9"/>
      <c r="L490" s="9"/>
      <c r="M490" s="9"/>
      <c r="N490" s="9"/>
      <c r="O490" s="9"/>
      <c r="P490" s="9"/>
      <c r="Q490" s="1188" t="s">
        <v>2427</v>
      </c>
      <c r="R490" s="1063"/>
      <c r="S490" s="1063"/>
      <c r="T490" s="1063"/>
      <c r="U490" s="1063"/>
      <c r="V490" s="1063"/>
      <c r="W490" s="1063"/>
      <c r="X490" s="1063"/>
      <c r="Y490" s="1063"/>
      <c r="Z490" s="1063"/>
      <c r="AA490" s="1063"/>
      <c r="AB490" s="1063"/>
      <c r="AC490" s="1063"/>
      <c r="AD490" s="1063"/>
      <c r="AE490" s="1063"/>
      <c r="AF490" s="1063"/>
      <c r="AG490" s="1063"/>
      <c r="AH490" s="1063"/>
      <c r="AI490" s="1063"/>
      <c r="AJ490" s="1063"/>
      <c r="AK490" s="106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546</v>
      </c>
      <c r="C491" s="9"/>
      <c r="D491" s="9"/>
      <c r="E491" s="9"/>
      <c r="F491" s="9"/>
      <c r="G491" s="9"/>
      <c r="H491" s="9"/>
      <c r="I491" s="9"/>
      <c r="J491" s="9"/>
      <c r="K491" s="9"/>
      <c r="L491" s="9"/>
      <c r="M491" s="9"/>
      <c r="N491" s="9"/>
      <c r="O491" s="9"/>
      <c r="P491" s="9"/>
      <c r="Q491" s="1188" t="s">
        <v>2426</v>
      </c>
      <c r="R491" s="1063"/>
      <c r="S491" s="1063"/>
      <c r="T491" s="1063"/>
      <c r="U491" s="1063"/>
      <c r="V491" s="1063"/>
      <c r="W491" s="1063"/>
      <c r="X491" s="1063"/>
      <c r="Y491" s="1063"/>
      <c r="Z491" s="1063"/>
      <c r="AA491" s="1063"/>
      <c r="AB491" s="1063"/>
      <c r="AC491" s="1063"/>
      <c r="AD491" s="1063"/>
      <c r="AE491" s="1063"/>
      <c r="AF491" s="1063"/>
      <c r="AG491" s="1063"/>
      <c r="AH491" s="1063"/>
      <c r="AI491" s="1063"/>
      <c r="AJ491" s="1063"/>
      <c r="AK491" s="106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547</v>
      </c>
      <c r="C492" s="9"/>
      <c r="D492" s="9"/>
      <c r="E492" s="9"/>
      <c r="F492" s="9"/>
      <c r="G492" s="9"/>
      <c r="H492" s="9"/>
      <c r="I492" s="9"/>
      <c r="J492" s="9"/>
      <c r="K492" s="9"/>
      <c r="L492" s="9"/>
      <c r="M492" s="9"/>
      <c r="N492" s="9"/>
      <c r="O492" s="9"/>
      <c r="P492" s="9"/>
      <c r="Q492" s="1188" t="s">
        <v>2426</v>
      </c>
      <c r="R492" s="1063"/>
      <c r="S492" s="1063"/>
      <c r="T492" s="1063"/>
      <c r="U492" s="1063"/>
      <c r="V492" s="1063"/>
      <c r="W492" s="1063"/>
      <c r="X492" s="1063"/>
      <c r="Y492" s="1063"/>
      <c r="Z492" s="1063"/>
      <c r="AA492" s="1063"/>
      <c r="AB492" s="1063"/>
      <c r="AC492" s="1063"/>
      <c r="AD492" s="1063"/>
      <c r="AE492" s="1063"/>
      <c r="AF492" s="1063"/>
      <c r="AG492" s="1063"/>
      <c r="AH492" s="1063"/>
      <c r="AI492" s="1063"/>
      <c r="AJ492" s="1063"/>
      <c r="AK492" s="106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197" t="s">
        <v>548</v>
      </c>
      <c r="C493" s="1073"/>
      <c r="D493" s="1073"/>
      <c r="E493" s="1073"/>
      <c r="F493" s="1073"/>
      <c r="G493" s="1073"/>
      <c r="H493" s="1073"/>
      <c r="I493" s="1073"/>
      <c r="J493" s="1073"/>
      <c r="K493" s="1073"/>
      <c r="L493" s="1073"/>
      <c r="M493" s="1073"/>
      <c r="N493" s="1073"/>
      <c r="O493" s="1073"/>
      <c r="P493" s="1074"/>
      <c r="Q493" s="1300" t="s">
        <v>14</v>
      </c>
      <c r="R493" s="1100"/>
      <c r="S493" s="1205" t="s">
        <v>549</v>
      </c>
      <c r="T493" s="1099"/>
      <c r="U493" s="1099"/>
      <c r="V493" s="1099"/>
      <c r="W493" s="1099"/>
      <c r="X493" s="1099"/>
      <c r="Y493" s="1099"/>
      <c r="Z493" s="1099"/>
      <c r="AA493" s="1099"/>
      <c r="AB493" s="1099"/>
      <c r="AC493" s="1099"/>
      <c r="AD493" s="1099"/>
      <c r="AE493" s="1099"/>
      <c r="AF493" s="1099"/>
      <c r="AG493" s="1099"/>
      <c r="AH493" s="1099"/>
      <c r="AI493" s="1099"/>
      <c r="AJ493" s="1099"/>
      <c r="AK493" s="11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92"/>
      <c r="C494" s="1093"/>
      <c r="D494" s="1093"/>
      <c r="E494" s="1093"/>
      <c r="F494" s="1093"/>
      <c r="G494" s="1093"/>
      <c r="H494" s="1093"/>
      <c r="I494" s="1093"/>
      <c r="J494" s="1093"/>
      <c r="K494" s="1093"/>
      <c r="L494" s="1093"/>
      <c r="M494" s="1093"/>
      <c r="N494" s="1093"/>
      <c r="O494" s="1093"/>
      <c r="P494" s="1094"/>
      <c r="Q494" s="1101"/>
      <c r="R494" s="1096"/>
      <c r="S494" s="1101"/>
      <c r="T494" s="1060"/>
      <c r="U494" s="1060"/>
      <c r="V494" s="1060"/>
      <c r="W494" s="1060"/>
      <c r="X494" s="1060"/>
      <c r="Y494" s="1060"/>
      <c r="Z494" s="1060"/>
      <c r="AA494" s="1060"/>
      <c r="AB494" s="1060"/>
      <c r="AC494" s="1060"/>
      <c r="AD494" s="1060"/>
      <c r="AE494" s="1060"/>
      <c r="AF494" s="1060"/>
      <c r="AG494" s="1060"/>
      <c r="AH494" s="1060"/>
      <c r="AI494" s="1060"/>
      <c r="AJ494" s="1060"/>
      <c r="AK494" s="109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7" t="s">
        <v>550</v>
      </c>
      <c r="C495" s="808"/>
      <c r="D495" s="808"/>
      <c r="E495" s="808"/>
      <c r="F495" s="808"/>
      <c r="G495" s="808"/>
      <c r="H495" s="808"/>
      <c r="I495" s="808"/>
      <c r="J495" s="808"/>
      <c r="K495" s="808"/>
      <c r="L495" s="808"/>
      <c r="M495" s="808"/>
      <c r="N495" s="808"/>
      <c r="O495" s="808"/>
      <c r="P495" s="808"/>
      <c r="Q495" s="1205"/>
      <c r="R495" s="1063"/>
      <c r="S495" s="1063"/>
      <c r="T495" s="1063"/>
      <c r="U495" s="1063"/>
      <c r="V495" s="1063"/>
      <c r="W495" s="1063"/>
      <c r="X495" s="1063"/>
      <c r="Y495" s="1063"/>
      <c r="Z495" s="1063"/>
      <c r="AA495" s="1063"/>
      <c r="AB495" s="1063"/>
      <c r="AC495" s="1063"/>
      <c r="AD495" s="1063"/>
      <c r="AE495" s="1063"/>
      <c r="AF495" s="1063"/>
      <c r="AG495" s="1063"/>
      <c r="AH495" s="1063"/>
      <c r="AI495" s="1063"/>
      <c r="AJ495" s="1063"/>
      <c r="AK495" s="106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551</v>
      </c>
      <c r="C496" s="9"/>
      <c r="D496" s="9"/>
      <c r="E496" s="9"/>
      <c r="F496" s="9"/>
      <c r="G496" s="9"/>
      <c r="H496" s="9"/>
      <c r="I496" s="9"/>
      <c r="J496" s="9"/>
      <c r="K496" s="9"/>
      <c r="L496" s="9"/>
      <c r="M496" s="9"/>
      <c r="N496" s="9"/>
      <c r="O496" s="9"/>
      <c r="P496" s="9"/>
      <c r="Q496" s="1188" t="s">
        <v>2428</v>
      </c>
      <c r="R496" s="1063"/>
      <c r="S496" s="1063"/>
      <c r="T496" s="1063"/>
      <c r="U496" s="1063"/>
      <c r="V496" s="1063"/>
      <c r="W496" s="1063"/>
      <c r="X496" s="1063"/>
      <c r="Y496" s="1063"/>
      <c r="Z496" s="1063"/>
      <c r="AA496" s="1063"/>
      <c r="AB496" s="1063"/>
      <c r="AC496" s="1063"/>
      <c r="AD496" s="1063"/>
      <c r="AE496" s="1063"/>
      <c r="AF496" s="1063"/>
      <c r="AG496" s="1063"/>
      <c r="AH496" s="1063"/>
      <c r="AI496" s="1063"/>
      <c r="AJ496" s="1063"/>
      <c r="AK496" s="106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552</v>
      </c>
      <c r="C497" s="9"/>
      <c r="D497" s="9"/>
      <c r="E497" s="9"/>
      <c r="F497" s="9"/>
      <c r="G497" s="9"/>
      <c r="H497" s="9"/>
      <c r="I497" s="9"/>
      <c r="J497" s="9"/>
      <c r="K497" s="9"/>
      <c r="L497" s="9"/>
      <c r="M497" s="9"/>
      <c r="N497" s="9"/>
      <c r="O497" s="9"/>
      <c r="P497" s="9"/>
      <c r="Q497" s="1247">
        <v>0</v>
      </c>
      <c r="R497" s="1063"/>
      <c r="S497" s="1063"/>
      <c r="T497" s="1063"/>
      <c r="U497" s="1063"/>
      <c r="V497" s="1063"/>
      <c r="W497" s="1063"/>
      <c r="X497" s="1063"/>
      <c r="Y497" s="1063"/>
      <c r="Z497" s="1063"/>
      <c r="AA497" s="1063"/>
      <c r="AB497" s="1063"/>
      <c r="AC497" s="1063"/>
      <c r="AD497" s="1063"/>
      <c r="AE497" s="1063"/>
      <c r="AF497" s="1063"/>
      <c r="AG497" s="1063"/>
      <c r="AH497" s="1063"/>
      <c r="AI497" s="1063"/>
      <c r="AJ497" s="1063"/>
      <c r="AK497" s="106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553</v>
      </c>
      <c r="C498" s="9"/>
      <c r="D498" s="9"/>
      <c r="E498" s="9"/>
      <c r="F498" s="9"/>
      <c r="G498" s="9"/>
      <c r="H498" s="9"/>
      <c r="I498" s="9"/>
      <c r="J498" s="9"/>
      <c r="K498" s="9"/>
      <c r="L498" s="9"/>
      <c r="M498" s="9"/>
      <c r="N498" s="9"/>
      <c r="O498" s="9"/>
      <c r="P498" s="9"/>
      <c r="Q498" s="1247">
        <v>0</v>
      </c>
      <c r="R498" s="1063"/>
      <c r="S498" s="1063"/>
      <c r="T498" s="1063"/>
      <c r="U498" s="1063"/>
      <c r="V498" s="1063"/>
      <c r="W498" s="1063"/>
      <c r="X498" s="1063"/>
      <c r="Y498" s="1063"/>
      <c r="Z498" s="1063"/>
      <c r="AA498" s="1063"/>
      <c r="AB498" s="1063"/>
      <c r="AC498" s="1063"/>
      <c r="AD498" s="1063"/>
      <c r="AE498" s="1063"/>
      <c r="AF498" s="1063"/>
      <c r="AG498" s="1063"/>
      <c r="AH498" s="1063"/>
      <c r="AI498" s="1063"/>
      <c r="AJ498" s="1063"/>
      <c r="AK498" s="106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554</v>
      </c>
      <c r="C499" s="9"/>
      <c r="D499" s="9"/>
      <c r="E499" s="9"/>
      <c r="F499" s="9"/>
      <c r="G499" s="9"/>
      <c r="H499" s="9"/>
      <c r="I499" s="9"/>
      <c r="J499" s="9"/>
      <c r="K499" s="9"/>
      <c r="L499" s="9"/>
      <c r="M499" s="1157">
        <v>0</v>
      </c>
      <c r="N499" s="1063"/>
      <c r="O499" s="1063"/>
      <c r="P499" s="1064"/>
      <c r="Q499" s="212" t="s">
        <v>555</v>
      </c>
      <c r="R499" s="9"/>
      <c r="S499" s="9"/>
      <c r="T499" s="9"/>
      <c r="U499" s="9"/>
      <c r="V499" s="9"/>
      <c r="W499" s="9"/>
      <c r="X499" s="9"/>
      <c r="Y499" s="9"/>
      <c r="Z499" s="9"/>
      <c r="AA499" s="9"/>
      <c r="AB499" s="9"/>
      <c r="AC499" s="9"/>
      <c r="AD499" s="9"/>
      <c r="AE499" s="9"/>
      <c r="AF499" s="9"/>
      <c r="AG499" s="9"/>
      <c r="AH499" s="1157">
        <v>0</v>
      </c>
      <c r="AI499" s="1063"/>
      <c r="AJ499" s="1063"/>
      <c r="AK499" s="106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133</v>
      </c>
      <c r="C501" s="3" t="s">
        <v>556</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98" t="s">
        <v>557</v>
      </c>
      <c r="AD503" s="973"/>
      <c r="AE503" s="973"/>
      <c r="AF503" s="973"/>
      <c r="AG503" s="973"/>
      <c r="AH503" s="973"/>
      <c r="AI503" s="973"/>
      <c r="AJ503" s="973"/>
      <c r="AK503" s="97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4" t="s">
        <v>558</v>
      </c>
      <c r="AD504" s="973"/>
      <c r="AE504" s="973"/>
      <c r="AF504" s="973"/>
      <c r="AG504" s="56" t="s">
        <v>559</v>
      </c>
      <c r="AH504" s="1327" t="s">
        <v>560</v>
      </c>
      <c r="AI504" s="973"/>
      <c r="AJ504" s="973"/>
      <c r="AK504" s="97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27" t="s">
        <v>561</v>
      </c>
      <c r="C505" s="1073"/>
      <c r="D505" s="1073"/>
      <c r="E505" s="1073"/>
      <c r="F505" s="1073"/>
      <c r="G505" s="1073"/>
      <c r="H505" s="1074"/>
      <c r="I505" s="7" t="s">
        <v>562</v>
      </c>
      <c r="J505" s="7"/>
      <c r="K505" s="7"/>
      <c r="L505" s="7"/>
      <c r="M505" s="7"/>
      <c r="N505" s="7"/>
      <c r="O505" s="7"/>
      <c r="P505" s="7"/>
      <c r="Q505" s="7"/>
      <c r="R505" s="7"/>
      <c r="S505" s="7"/>
      <c r="T505" s="7"/>
      <c r="U505" s="7"/>
      <c r="V505" s="7"/>
      <c r="W505" s="7"/>
      <c r="AC505" s="1122" t="s">
        <v>155</v>
      </c>
      <c r="AD505" s="1060"/>
      <c r="AE505" s="1060"/>
      <c r="AF505" s="1060"/>
      <c r="AG505" s="18" t="s">
        <v>559</v>
      </c>
      <c r="AH505" s="1062">
        <v>0</v>
      </c>
      <c r="AI505" s="1063"/>
      <c r="AJ505" s="1063"/>
      <c r="AK505" s="10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091"/>
      <c r="C506" s="1113"/>
      <c r="D506" s="976"/>
      <c r="E506" s="976"/>
      <c r="F506" s="976"/>
      <c r="G506" s="976"/>
      <c r="H506" s="977"/>
      <c r="I506" s="54" t="s">
        <v>563</v>
      </c>
      <c r="J506" s="54"/>
      <c r="K506" s="54"/>
      <c r="L506" s="54"/>
      <c r="M506" s="54"/>
      <c r="N506" s="54"/>
      <c r="O506" s="54"/>
      <c r="P506" s="54"/>
      <c r="Q506" s="54"/>
      <c r="R506" s="54"/>
      <c r="S506" s="54"/>
      <c r="T506" s="54"/>
      <c r="U506" s="54"/>
      <c r="V506" s="54"/>
      <c r="W506" s="54"/>
      <c r="X506" s="54"/>
      <c r="Y506" s="54"/>
      <c r="Z506" s="54"/>
      <c r="AA506" s="54"/>
      <c r="AB506" s="54"/>
      <c r="AC506" s="1122">
        <v>9</v>
      </c>
      <c r="AD506" s="1060"/>
      <c r="AE506" s="1060"/>
      <c r="AF506" s="1060"/>
      <c r="AG506" s="47" t="s">
        <v>559</v>
      </c>
      <c r="AH506" s="1062">
        <v>2024</v>
      </c>
      <c r="AI506" s="1063"/>
      <c r="AJ506" s="1063"/>
      <c r="AK506" s="106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27" t="s">
        <v>564</v>
      </c>
      <c r="C507" s="1073"/>
      <c r="D507" s="1073"/>
      <c r="E507" s="1073"/>
      <c r="F507" s="1073"/>
      <c r="G507" s="1073"/>
      <c r="H507" s="1074"/>
      <c r="I507" s="7" t="s">
        <v>565</v>
      </c>
      <c r="J507" s="7"/>
      <c r="K507" s="7"/>
      <c r="L507" s="7"/>
      <c r="M507" s="7"/>
      <c r="N507" s="7"/>
      <c r="O507" s="7"/>
      <c r="P507" s="7"/>
      <c r="Q507" s="7"/>
      <c r="R507" s="7"/>
      <c r="S507" s="7"/>
      <c r="T507" s="7"/>
      <c r="U507" s="7"/>
      <c r="V507" s="7"/>
      <c r="W507" s="7"/>
      <c r="AC507" s="1122" t="s">
        <v>155</v>
      </c>
      <c r="AD507" s="1060"/>
      <c r="AE507" s="1060"/>
      <c r="AF507" s="1060"/>
      <c r="AG507" s="18" t="s">
        <v>559</v>
      </c>
      <c r="AH507" s="1062"/>
      <c r="AI507" s="1063"/>
      <c r="AJ507" s="1063"/>
      <c r="AK507" s="106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091"/>
      <c r="C508" s="1113"/>
      <c r="D508" s="976"/>
      <c r="E508" s="976"/>
      <c r="F508" s="976"/>
      <c r="G508" s="976"/>
      <c r="H508" s="977"/>
      <c r="I508" t="s">
        <v>566</v>
      </c>
      <c r="AC508" s="1122" t="s">
        <v>155</v>
      </c>
      <c r="AD508" s="1060"/>
      <c r="AE508" s="1060"/>
      <c r="AF508" s="1060"/>
      <c r="AG508" s="18" t="s">
        <v>559</v>
      </c>
      <c r="AH508" s="1062"/>
      <c r="AI508" s="1063"/>
      <c r="AJ508" s="1063"/>
      <c r="AK508" s="106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091"/>
      <c r="C509" s="1113"/>
      <c r="D509" s="976"/>
      <c r="E509" s="976"/>
      <c r="F509" s="976"/>
      <c r="G509" s="976"/>
      <c r="H509" s="977"/>
      <c r="I509" t="s">
        <v>567</v>
      </c>
      <c r="AC509" s="1122" t="s">
        <v>155</v>
      </c>
      <c r="AD509" s="1060"/>
      <c r="AE509" s="1060"/>
      <c r="AF509" s="1060"/>
      <c r="AG509" s="18" t="s">
        <v>559</v>
      </c>
      <c r="AH509" s="1062"/>
      <c r="AI509" s="1063"/>
      <c r="AJ509" s="1063"/>
      <c r="AK509" s="106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091"/>
      <c r="C510" s="1113"/>
      <c r="D510" s="976"/>
      <c r="E510" s="976"/>
      <c r="F510" s="976"/>
      <c r="G510" s="976"/>
      <c r="H510" s="977"/>
      <c r="I510" t="s">
        <v>568</v>
      </c>
      <c r="AC510" s="1122" t="s">
        <v>155</v>
      </c>
      <c r="AD510" s="1060"/>
      <c r="AE510" s="1060"/>
      <c r="AF510" s="1060"/>
      <c r="AG510" s="18" t="s">
        <v>559</v>
      </c>
      <c r="AH510" s="1062"/>
      <c r="AI510" s="1063"/>
      <c r="AJ510" s="1063"/>
      <c r="AK510" s="106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091"/>
      <c r="C511" s="1113"/>
      <c r="D511" s="976"/>
      <c r="E511" s="976"/>
      <c r="F511" s="976"/>
      <c r="G511" s="976"/>
      <c r="H511" s="977"/>
      <c r="I511" s="41" t="s">
        <v>569</v>
      </c>
      <c r="AC511" s="1169">
        <v>12</v>
      </c>
      <c r="AD511" s="1063"/>
      <c r="AE511" s="1063"/>
      <c r="AF511" s="1063"/>
      <c r="AG511" s="18" t="s">
        <v>559</v>
      </c>
      <c r="AH511" s="1062">
        <v>2026</v>
      </c>
      <c r="AI511" s="1063"/>
      <c r="AJ511" s="1063"/>
      <c r="AK511" s="106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091"/>
      <c r="C512" s="1113"/>
      <c r="D512" s="976"/>
      <c r="E512" s="976"/>
      <c r="F512" s="976"/>
      <c r="G512" s="976"/>
      <c r="H512" s="977"/>
      <c r="I512" s="407" t="s">
        <v>483</v>
      </c>
      <c r="J512" s="54"/>
      <c r="K512" s="54"/>
      <c r="L512" s="1221" t="s">
        <v>484</v>
      </c>
      <c r="M512" s="1060"/>
      <c r="N512" s="1060"/>
      <c r="O512" s="1060"/>
      <c r="P512" s="1060"/>
      <c r="Q512" s="1060"/>
      <c r="R512" s="1060"/>
      <c r="S512" s="1060"/>
      <c r="T512" s="1060"/>
      <c r="U512" s="1060"/>
      <c r="V512" s="1060"/>
      <c r="W512" s="1060"/>
      <c r="X512" s="1060"/>
      <c r="Y512" s="1060"/>
      <c r="Z512" s="1060"/>
      <c r="AA512" s="1060"/>
      <c r="AB512" s="1096"/>
      <c r="AC512" s="1296" t="s">
        <v>155</v>
      </c>
      <c r="AD512" s="1060"/>
      <c r="AE512" s="1060"/>
      <c r="AF512" s="1060"/>
      <c r="AG512" s="47" t="s">
        <v>559</v>
      </c>
      <c r="AH512" s="1062"/>
      <c r="AI512" s="1063"/>
      <c r="AJ512" s="1063"/>
      <c r="AK512" s="106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91"/>
      <c r="C513" s="1113"/>
      <c r="D513" s="976"/>
      <c r="E513" s="976"/>
      <c r="F513" s="976"/>
      <c r="G513" s="976"/>
      <c r="H513" s="977"/>
      <c r="I513" s="41" t="s">
        <v>570</v>
      </c>
      <c r="AC513" s="1085" t="s">
        <v>14</v>
      </c>
      <c r="AD513" s="1063"/>
      <c r="AE513" s="1063"/>
      <c r="AF513" s="1064"/>
      <c r="AG513" s="18"/>
      <c r="AH513" s="1209"/>
      <c r="AI513" s="976"/>
      <c r="AJ513" s="976"/>
      <c r="AK513" s="97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91"/>
      <c r="C514" s="1113"/>
      <c r="D514" s="976"/>
      <c r="E514" s="976"/>
      <c r="F514" s="976"/>
      <c r="G514" s="976"/>
      <c r="H514" s="977"/>
      <c r="I514" t="s">
        <v>571</v>
      </c>
      <c r="AC514" s="1085"/>
      <c r="AD514" s="1063"/>
      <c r="AE514" s="1063"/>
      <c r="AF514" s="1064"/>
      <c r="AG514" s="18"/>
      <c r="AH514" s="1209"/>
      <c r="AI514" s="976"/>
      <c r="AJ514" s="976"/>
      <c r="AK514" s="97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91"/>
      <c r="C515" s="1113"/>
      <c r="D515" s="976"/>
      <c r="E515" s="976"/>
      <c r="F515" s="976"/>
      <c r="G515" s="976"/>
      <c r="H515" s="977"/>
      <c r="I515" t="s">
        <v>572</v>
      </c>
      <c r="AC515" s="828"/>
      <c r="AD515" s="829"/>
      <c r="AE515" s="829"/>
      <c r="AF515" s="830"/>
      <c r="AG515" s="18"/>
      <c r="AH515" s="1"/>
      <c r="AI515" s="1"/>
      <c r="AJ515" s="1"/>
      <c r="AK515" s="83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91"/>
      <c r="C516" s="1113"/>
      <c r="D516" s="976"/>
      <c r="E516" s="976"/>
      <c r="F516" s="976"/>
      <c r="G516" s="976"/>
      <c r="H516" s="977"/>
      <c r="I516" s="832" t="s">
        <v>573</v>
      </c>
      <c r="J516" s="54"/>
      <c r="K516" s="54"/>
      <c r="L516" s="54"/>
      <c r="M516" s="54"/>
      <c r="N516" s="54"/>
      <c r="O516" s="54"/>
      <c r="P516" s="54"/>
      <c r="Q516" s="54"/>
      <c r="R516" s="54"/>
      <c r="S516" s="54"/>
      <c r="T516" s="54"/>
      <c r="U516" s="54"/>
      <c r="V516" s="54"/>
      <c r="W516" s="54"/>
      <c r="X516" s="54"/>
      <c r="Y516" s="54"/>
      <c r="Z516" s="54"/>
      <c r="AA516" s="54"/>
      <c r="AB516" s="54"/>
      <c r="AC516" s="1173"/>
      <c r="AD516" s="1063"/>
      <c r="AE516" s="1063"/>
      <c r="AF516" s="1064"/>
      <c r="AG516" s="47"/>
      <c r="AH516" s="1329"/>
      <c r="AI516" s="1093"/>
      <c r="AJ516" s="1093"/>
      <c r="AK516" s="109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27" t="s">
        <v>574</v>
      </c>
      <c r="C517" s="1073"/>
      <c r="D517" s="1073"/>
      <c r="E517" s="1073"/>
      <c r="F517" s="1073"/>
      <c r="G517" s="1073"/>
      <c r="H517" s="1074"/>
      <c r="I517" s="7" t="s">
        <v>575</v>
      </c>
      <c r="J517" s="7"/>
      <c r="K517" s="7"/>
      <c r="L517" s="7"/>
      <c r="M517" s="7"/>
      <c r="N517" s="7"/>
      <c r="O517" s="7"/>
      <c r="P517" s="7"/>
      <c r="Q517" s="7"/>
      <c r="R517" s="7"/>
      <c r="S517" s="7"/>
      <c r="T517" s="7"/>
      <c r="U517" s="7"/>
      <c r="V517" s="7"/>
      <c r="W517" s="7"/>
      <c r="AC517" s="1122">
        <v>4</v>
      </c>
      <c r="AD517" s="1060"/>
      <c r="AE517" s="1060"/>
      <c r="AF517" s="1060"/>
      <c r="AG517" s="18" t="s">
        <v>559</v>
      </c>
      <c r="AH517" s="1062">
        <v>2026</v>
      </c>
      <c r="AI517" s="1063"/>
      <c r="AJ517" s="1063"/>
      <c r="AK517" s="106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91"/>
      <c r="C518" s="1113"/>
      <c r="D518" s="976"/>
      <c r="E518" s="976"/>
      <c r="F518" s="976"/>
      <c r="G518" s="976"/>
      <c r="H518" s="977"/>
      <c r="I518" t="s">
        <v>576</v>
      </c>
      <c r="AC518" s="1122">
        <v>4</v>
      </c>
      <c r="AD518" s="1060"/>
      <c r="AE518" s="1060"/>
      <c r="AF518" s="1060"/>
      <c r="AG518" s="18" t="s">
        <v>559</v>
      </c>
      <c r="AH518" s="1062">
        <v>2026</v>
      </c>
      <c r="AI518" s="1063"/>
      <c r="AJ518" s="1063"/>
      <c r="AK518" s="106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91"/>
      <c r="C519" s="1113"/>
      <c r="D519" s="976"/>
      <c r="E519" s="976"/>
      <c r="F519" s="976"/>
      <c r="G519" s="976"/>
      <c r="H519" s="977"/>
      <c r="I519" s="54" t="s">
        <v>577</v>
      </c>
      <c r="J519" s="54"/>
      <c r="K519" s="54"/>
      <c r="L519" s="54"/>
      <c r="M519" s="54"/>
      <c r="N519" s="54"/>
      <c r="O519" s="54"/>
      <c r="P519" s="54"/>
      <c r="Q519" s="54"/>
      <c r="R519" s="54"/>
      <c r="S519" s="54"/>
      <c r="T519" s="54"/>
      <c r="U519" s="54"/>
      <c r="V519" s="54"/>
      <c r="W519" s="54"/>
      <c r="X519" s="54"/>
      <c r="Y519" s="54"/>
      <c r="Z519" s="54"/>
      <c r="AA519" s="54"/>
      <c r="AB519" s="54"/>
      <c r="AC519" s="1122">
        <v>12</v>
      </c>
      <c r="AD519" s="1060"/>
      <c r="AE519" s="1060"/>
      <c r="AF519" s="1060"/>
      <c r="AG519" s="47" t="s">
        <v>559</v>
      </c>
      <c r="AH519" s="1062">
        <v>2026</v>
      </c>
      <c r="AI519" s="1063"/>
      <c r="AJ519" s="1063"/>
      <c r="AK519" s="106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21" t="s">
        <v>578</v>
      </c>
      <c r="C520" s="1073"/>
      <c r="D520" s="1073"/>
      <c r="E520" s="1073"/>
      <c r="F520" s="1073"/>
      <c r="G520" s="1073"/>
      <c r="H520" s="1074"/>
      <c r="I520" s="7" t="s">
        <v>575</v>
      </c>
      <c r="J520" s="7"/>
      <c r="K520" s="7"/>
      <c r="L520" s="7"/>
      <c r="M520" s="7"/>
      <c r="N520" s="7"/>
      <c r="O520" s="7"/>
      <c r="P520" s="7"/>
      <c r="Q520" s="7"/>
      <c r="R520" s="7"/>
      <c r="S520" s="7"/>
      <c r="T520" s="7"/>
      <c r="U520" s="7"/>
      <c r="V520" s="7"/>
      <c r="W520" s="7"/>
      <c r="X520" s="7"/>
      <c r="Y520" s="7"/>
      <c r="Z520" s="7"/>
      <c r="AA520" s="7"/>
      <c r="AB520" s="7"/>
      <c r="AC520" s="1081">
        <v>4</v>
      </c>
      <c r="AD520" s="1063"/>
      <c r="AE520" s="1063"/>
      <c r="AF520" s="1063"/>
      <c r="AG520" s="228" t="s">
        <v>559</v>
      </c>
      <c r="AH520" s="1062">
        <v>2026</v>
      </c>
      <c r="AI520" s="1063"/>
      <c r="AJ520" s="1063"/>
      <c r="AK520" s="106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91"/>
      <c r="C521" s="1113"/>
      <c r="D521" s="976"/>
      <c r="E521" s="976"/>
      <c r="F521" s="976"/>
      <c r="G521" s="976"/>
      <c r="H521" s="977"/>
      <c r="I521" t="s">
        <v>576</v>
      </c>
      <c r="AC521" s="1122">
        <v>4</v>
      </c>
      <c r="AD521" s="1060"/>
      <c r="AE521" s="1060"/>
      <c r="AF521" s="1060"/>
      <c r="AG521" s="18" t="s">
        <v>559</v>
      </c>
      <c r="AH521" s="1062">
        <v>2026</v>
      </c>
      <c r="AI521" s="1063"/>
      <c r="AJ521" s="1063"/>
      <c r="AK521" s="106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92"/>
      <c r="C522" s="1093"/>
      <c r="D522" s="1093"/>
      <c r="E522" s="1093"/>
      <c r="F522" s="1093"/>
      <c r="G522" s="1093"/>
      <c r="H522" s="1094"/>
      <c r="I522" s="54" t="s">
        <v>577</v>
      </c>
      <c r="J522" s="54"/>
      <c r="K522" s="54"/>
      <c r="L522" s="54"/>
      <c r="M522" s="54"/>
      <c r="N522" s="54"/>
      <c r="O522" s="54"/>
      <c r="P522" s="54"/>
      <c r="Q522" s="54"/>
      <c r="R522" s="54"/>
      <c r="S522" s="54"/>
      <c r="T522" s="54"/>
      <c r="U522" s="54"/>
      <c r="V522" s="54"/>
      <c r="W522" s="54"/>
      <c r="X522" s="54"/>
      <c r="Y522" s="54"/>
      <c r="Z522" s="54"/>
      <c r="AA522" s="54"/>
      <c r="AB522" s="54"/>
      <c r="AC522" s="1122">
        <v>12</v>
      </c>
      <c r="AD522" s="1060"/>
      <c r="AE522" s="1060"/>
      <c r="AF522" s="1060"/>
      <c r="AG522" s="47" t="s">
        <v>559</v>
      </c>
      <c r="AH522" s="1062">
        <v>2026</v>
      </c>
      <c r="AI522" s="1063"/>
      <c r="AJ522" s="1063"/>
      <c r="AK522" s="106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21" t="s">
        <v>579</v>
      </c>
      <c r="C523" s="1073"/>
      <c r="D523" s="1073"/>
      <c r="E523" s="1073"/>
      <c r="F523" s="1073"/>
      <c r="G523" s="1073"/>
      <c r="H523" s="1074"/>
      <c r="I523" s="6" t="s">
        <v>580</v>
      </c>
      <c r="J523" s="7"/>
      <c r="K523" s="7"/>
      <c r="L523" s="7"/>
      <c r="M523" s="7"/>
      <c r="N523" s="7"/>
      <c r="O523" s="1129" t="s">
        <v>484</v>
      </c>
      <c r="P523" s="1060"/>
      <c r="Q523" s="1060"/>
      <c r="R523" s="1060"/>
      <c r="S523" s="1060"/>
      <c r="T523" s="1060"/>
      <c r="U523" s="1060"/>
      <c r="V523" s="1060"/>
      <c r="W523" s="1060"/>
      <c r="X523" s="1060"/>
      <c r="Y523" s="1060"/>
      <c r="Z523" s="1060"/>
      <c r="AA523" s="1060"/>
      <c r="AB523" s="64"/>
      <c r="AC523" s="1081" t="s">
        <v>155</v>
      </c>
      <c r="AD523" s="1063"/>
      <c r="AE523" s="1063"/>
      <c r="AF523" s="1063"/>
      <c r="AG523" s="228" t="s">
        <v>559</v>
      </c>
      <c r="AH523" s="1062"/>
      <c r="AI523" s="1063"/>
      <c r="AJ523" s="1063"/>
      <c r="AK523" s="106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91"/>
      <c r="C524" s="1113"/>
      <c r="D524" s="976"/>
      <c r="E524" s="976"/>
      <c r="F524" s="976"/>
      <c r="G524" s="976"/>
      <c r="H524" s="977"/>
      <c r="I524" s="202" t="s">
        <v>581</v>
      </c>
      <c r="AB524" s="71"/>
      <c r="AC524" s="1122" t="s">
        <v>155</v>
      </c>
      <c r="AD524" s="1060"/>
      <c r="AE524" s="1060"/>
      <c r="AF524" s="1060"/>
      <c r="AG524" s="18" t="s">
        <v>559</v>
      </c>
      <c r="AH524" s="1062"/>
      <c r="AI524" s="1063"/>
      <c r="AJ524" s="1063"/>
      <c r="AK524" s="106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91"/>
      <c r="C525" s="1113"/>
      <c r="D525" s="976"/>
      <c r="E525" s="976"/>
      <c r="F525" s="976"/>
      <c r="G525" s="976"/>
      <c r="H525" s="977"/>
      <c r="I525" s="53" t="s">
        <v>582</v>
      </c>
      <c r="J525" s="54"/>
      <c r="K525" s="54"/>
      <c r="L525" s="54"/>
      <c r="M525" s="54"/>
      <c r="N525" s="54"/>
      <c r="O525" s="54"/>
      <c r="P525" s="54"/>
      <c r="Q525" s="54"/>
      <c r="R525" s="54"/>
      <c r="S525" s="54"/>
      <c r="T525" s="54"/>
      <c r="U525" s="54"/>
      <c r="V525" s="54"/>
      <c r="W525" s="54"/>
      <c r="X525" s="54"/>
      <c r="Y525" s="54"/>
      <c r="Z525" s="54"/>
      <c r="AA525" s="54"/>
      <c r="AB525" s="55"/>
      <c r="AC525" s="1122" t="s">
        <v>155</v>
      </c>
      <c r="AD525" s="1060"/>
      <c r="AE525" s="1060"/>
      <c r="AF525" s="1060"/>
      <c r="AG525" s="47" t="s">
        <v>559</v>
      </c>
      <c r="AH525" s="1062"/>
      <c r="AI525" s="1063"/>
      <c r="AJ525" s="1063"/>
      <c r="AK525" s="1064"/>
      <c r="AM525" s="41"/>
      <c r="AN525" s="41"/>
      <c r="AO525" s="41"/>
      <c r="AP525" s="41"/>
      <c r="AQ525" s="41"/>
      <c r="AR525" s="41"/>
      <c r="AS525" s="41"/>
      <c r="AT525" s="41"/>
      <c r="AU525" s="41"/>
      <c r="AV525" s="41"/>
      <c r="AW525" s="41"/>
      <c r="AX525" s="41"/>
      <c r="AY525" s="41"/>
      <c r="AZ525" s="41" t="s">
        <v>475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91"/>
      <c r="C526" s="1113"/>
      <c r="D526" s="976"/>
      <c r="E526" s="976"/>
      <c r="F526" s="976"/>
      <c r="G526" s="976"/>
      <c r="H526" s="977"/>
      <c r="I526" s="7" t="s">
        <v>583</v>
      </c>
      <c r="J526" s="7"/>
      <c r="K526" s="7"/>
      <c r="L526" s="7"/>
      <c r="M526" s="7"/>
      <c r="N526" s="7"/>
      <c r="O526" s="1129" t="s">
        <v>484</v>
      </c>
      <c r="P526" s="1060"/>
      <c r="Q526" s="1060"/>
      <c r="R526" s="1060"/>
      <c r="S526" s="1060"/>
      <c r="T526" s="1060"/>
      <c r="U526" s="1060"/>
      <c r="V526" s="1060"/>
      <c r="W526" s="1060"/>
      <c r="X526" s="1060"/>
      <c r="Y526" s="1060"/>
      <c r="Z526" s="1060"/>
      <c r="AA526" s="1060"/>
      <c r="AC526" s="1122" t="s">
        <v>155</v>
      </c>
      <c r="AD526" s="1060"/>
      <c r="AE526" s="1060"/>
      <c r="AF526" s="1060"/>
      <c r="AG526" s="18" t="s">
        <v>559</v>
      </c>
      <c r="AH526" s="1062"/>
      <c r="AI526" s="1063"/>
      <c r="AJ526" s="1063"/>
      <c r="AK526" s="1064"/>
      <c r="AM526" s="41"/>
      <c r="AN526" s="41"/>
      <c r="AO526" s="41"/>
      <c r="AP526" s="41"/>
      <c r="AQ526" s="41"/>
      <c r="AR526" s="41"/>
      <c r="AS526" s="41"/>
      <c r="AT526" s="41"/>
      <c r="AU526" s="41"/>
      <c r="AV526" s="41"/>
      <c r="AW526" s="41"/>
      <c r="AX526" s="41"/>
      <c r="AY526" s="41"/>
      <c r="AZ526" s="41" t="s">
        <v>584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91"/>
      <c r="C527" s="1113"/>
      <c r="D527" s="976"/>
      <c r="E527" s="976"/>
      <c r="F527" s="976"/>
      <c r="G527" s="976"/>
      <c r="H527" s="977"/>
      <c r="I527" t="s">
        <v>581</v>
      </c>
      <c r="AC527" s="1122" t="s">
        <v>155</v>
      </c>
      <c r="AD527" s="1060"/>
      <c r="AE527" s="1060"/>
      <c r="AF527" s="1060"/>
      <c r="AG527" s="18" t="s">
        <v>559</v>
      </c>
      <c r="AH527" s="1062"/>
      <c r="AI527" s="1063"/>
      <c r="AJ527" s="1063"/>
      <c r="AK527" s="1064"/>
      <c r="AM527" s="41"/>
      <c r="AN527" s="41"/>
      <c r="AO527" s="41"/>
      <c r="AP527" s="41"/>
      <c r="AQ527" s="41"/>
      <c r="AR527" s="41"/>
      <c r="AS527" s="41"/>
      <c r="AT527" s="41"/>
      <c r="AU527" s="41"/>
      <c r="AV527" s="41"/>
      <c r="AW527" s="41"/>
      <c r="AX527" s="41"/>
      <c r="AY527" s="41"/>
      <c r="AZ527" s="41" t="s">
        <v>585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91"/>
      <c r="C528" s="1113"/>
      <c r="D528" s="976"/>
      <c r="E528" s="976"/>
      <c r="F528" s="976"/>
      <c r="G528" s="976"/>
      <c r="H528" s="977"/>
      <c r="I528" s="54" t="s">
        <v>582</v>
      </c>
      <c r="J528" s="54"/>
      <c r="K528" s="54"/>
      <c r="L528" s="54"/>
      <c r="M528" s="54"/>
      <c r="N528" s="54"/>
      <c r="O528" s="54"/>
      <c r="P528" s="54"/>
      <c r="Q528" s="54"/>
      <c r="R528" s="54"/>
      <c r="S528" s="54"/>
      <c r="T528" s="54"/>
      <c r="U528" s="54"/>
      <c r="V528" s="54"/>
      <c r="W528" s="54"/>
      <c r="X528" s="54"/>
      <c r="Y528" s="54"/>
      <c r="Z528" s="54"/>
      <c r="AA528" s="54"/>
      <c r="AB528" s="54"/>
      <c r="AC528" s="1122" t="s">
        <v>155</v>
      </c>
      <c r="AD528" s="1060"/>
      <c r="AE528" s="1060"/>
      <c r="AF528" s="1060"/>
      <c r="AG528" s="47" t="s">
        <v>559</v>
      </c>
      <c r="AH528" s="1062"/>
      <c r="AI528" s="1063"/>
      <c r="AJ528" s="1063"/>
      <c r="AK528" s="1064"/>
      <c r="AM528" s="41"/>
      <c r="AN528" s="41"/>
      <c r="AO528" s="41"/>
      <c r="AP528" s="41"/>
      <c r="AQ528" s="41"/>
      <c r="AR528" s="41"/>
      <c r="AS528" s="41"/>
      <c r="AT528" s="41"/>
      <c r="AU528" s="41"/>
      <c r="AV528" s="41"/>
      <c r="AW528" s="41"/>
      <c r="AX528" s="41"/>
      <c r="AY528" s="41"/>
      <c r="AZ528" s="41" t="s">
        <v>586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091"/>
      <c r="C529" s="1113"/>
      <c r="D529" s="976"/>
      <c r="E529" s="976"/>
      <c r="F529" s="976"/>
      <c r="G529" s="976"/>
      <c r="H529" s="977"/>
      <c r="I529" s="7" t="s">
        <v>583</v>
      </c>
      <c r="J529" s="7"/>
      <c r="K529" s="7"/>
      <c r="L529" s="7"/>
      <c r="M529" s="7"/>
      <c r="N529" s="7"/>
      <c r="O529" s="1129" t="s">
        <v>484</v>
      </c>
      <c r="P529" s="1060"/>
      <c r="Q529" s="1060"/>
      <c r="R529" s="1060"/>
      <c r="S529" s="1060"/>
      <c r="T529" s="1060"/>
      <c r="U529" s="1060"/>
      <c r="V529" s="1060"/>
      <c r="W529" s="1060"/>
      <c r="X529" s="1060"/>
      <c r="Y529" s="1060"/>
      <c r="Z529" s="1060"/>
      <c r="AA529" s="1060"/>
      <c r="AC529" s="1122" t="s">
        <v>155</v>
      </c>
      <c r="AD529" s="1060"/>
      <c r="AE529" s="1060"/>
      <c r="AF529" s="1060"/>
      <c r="AG529" s="18" t="s">
        <v>559</v>
      </c>
      <c r="AH529" s="1062"/>
      <c r="AI529" s="1063"/>
      <c r="AJ529" s="1063"/>
      <c r="AK529" s="1064"/>
      <c r="AM529" s="41"/>
      <c r="AN529" s="41"/>
      <c r="AO529" s="41"/>
      <c r="AP529" s="41"/>
      <c r="AQ529" s="41"/>
      <c r="AR529" s="41"/>
      <c r="AS529" s="41"/>
      <c r="AT529" s="41"/>
      <c r="AU529" s="41"/>
      <c r="AV529" s="41"/>
      <c r="AW529" s="41"/>
      <c r="AX529" s="41"/>
      <c r="AY529" s="41"/>
      <c r="AZ529" s="41" t="s">
        <v>587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091"/>
      <c r="C530" s="1113"/>
      <c r="D530" s="976"/>
      <c r="E530" s="976"/>
      <c r="F530" s="976"/>
      <c r="G530" s="976"/>
      <c r="H530" s="977"/>
      <c r="I530" t="s">
        <v>581</v>
      </c>
      <c r="AC530" s="1122" t="s">
        <v>155</v>
      </c>
      <c r="AD530" s="1060"/>
      <c r="AE530" s="1060"/>
      <c r="AF530" s="1060"/>
      <c r="AG530" s="18" t="s">
        <v>559</v>
      </c>
      <c r="AH530" s="1062"/>
      <c r="AI530" s="1063"/>
      <c r="AJ530" s="1063"/>
      <c r="AK530" s="1064"/>
      <c r="AM530" s="41"/>
      <c r="AN530" s="41"/>
      <c r="AO530" s="41"/>
      <c r="AP530" s="41"/>
      <c r="AQ530" s="41"/>
      <c r="AR530" s="41"/>
      <c r="AS530" s="41"/>
      <c r="AT530" s="41"/>
      <c r="AU530" s="41"/>
      <c r="AV530" s="41"/>
      <c r="AW530" s="41"/>
      <c r="AX530" s="41"/>
      <c r="AY530" s="41"/>
      <c r="AZ530" s="41" t="s">
        <v>588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091"/>
      <c r="C531" s="1113"/>
      <c r="D531" s="976"/>
      <c r="E531" s="976"/>
      <c r="F531" s="976"/>
      <c r="G531" s="976"/>
      <c r="H531" s="977"/>
      <c r="I531" s="54" t="s">
        <v>582</v>
      </c>
      <c r="J531" s="54"/>
      <c r="K531" s="54"/>
      <c r="L531" s="54"/>
      <c r="M531" s="54"/>
      <c r="N531" s="54"/>
      <c r="O531" s="54"/>
      <c r="P531" s="54"/>
      <c r="Q531" s="54"/>
      <c r="R531" s="54"/>
      <c r="S531" s="54"/>
      <c r="T531" s="54"/>
      <c r="U531" s="54"/>
      <c r="V531" s="54"/>
      <c r="W531" s="54"/>
      <c r="X531" s="54"/>
      <c r="Y531" s="54"/>
      <c r="Z531" s="54"/>
      <c r="AA531" s="54"/>
      <c r="AB531" s="54"/>
      <c r="AC531" s="1122" t="s">
        <v>155</v>
      </c>
      <c r="AD531" s="1060"/>
      <c r="AE531" s="1060"/>
      <c r="AF531" s="1060"/>
      <c r="AG531" s="47" t="s">
        <v>559</v>
      </c>
      <c r="AH531" s="1062"/>
      <c r="AI531" s="1063"/>
      <c r="AJ531" s="1063"/>
      <c r="AK531" s="1064"/>
      <c r="AM531" s="41"/>
      <c r="AN531" s="41"/>
      <c r="AO531" s="41"/>
      <c r="AP531" s="41"/>
      <c r="AQ531" s="41"/>
      <c r="AR531" s="41"/>
      <c r="AS531" s="41"/>
      <c r="AT531" s="41"/>
      <c r="AU531" s="41"/>
      <c r="AV531" s="41"/>
      <c r="AW531" s="41"/>
      <c r="AX531" s="41"/>
      <c r="AY531" s="41"/>
      <c r="AZ531" s="41" t="s">
        <v>589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091"/>
      <c r="C532" s="1113"/>
      <c r="D532" s="976"/>
      <c r="E532" s="976"/>
      <c r="F532" s="976"/>
      <c r="G532" s="976"/>
      <c r="H532" s="977"/>
      <c r="I532" s="7" t="s">
        <v>583</v>
      </c>
      <c r="J532" s="7"/>
      <c r="K532" s="7"/>
      <c r="L532" s="7"/>
      <c r="M532" s="7"/>
      <c r="N532" s="7"/>
      <c r="O532" s="1129" t="s">
        <v>484</v>
      </c>
      <c r="P532" s="1060"/>
      <c r="Q532" s="1060"/>
      <c r="R532" s="1060"/>
      <c r="S532" s="1060"/>
      <c r="T532" s="1060"/>
      <c r="U532" s="1060"/>
      <c r="V532" s="1060"/>
      <c r="W532" s="1060"/>
      <c r="X532" s="1060"/>
      <c r="Y532" s="1060"/>
      <c r="Z532" s="1060"/>
      <c r="AA532" s="1060"/>
      <c r="AC532" s="1122" t="s">
        <v>155</v>
      </c>
      <c r="AD532" s="1060"/>
      <c r="AE532" s="1060"/>
      <c r="AF532" s="1060"/>
      <c r="AG532" s="18" t="s">
        <v>559</v>
      </c>
      <c r="AH532" s="1062"/>
      <c r="AI532" s="1063"/>
      <c r="AJ532" s="1063"/>
      <c r="AK532" s="1064"/>
      <c r="AM532" s="41"/>
      <c r="AN532" s="41"/>
      <c r="AO532" s="41"/>
      <c r="AP532" s="41"/>
      <c r="AQ532" s="41"/>
      <c r="AR532" s="41"/>
      <c r="AS532" s="41"/>
      <c r="AT532" s="41"/>
      <c r="AU532" s="41"/>
      <c r="AV532" s="41"/>
      <c r="AW532" s="41"/>
      <c r="AX532" s="41"/>
      <c r="AY532" s="41"/>
      <c r="AZ532" s="41" t="s">
        <v>590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091"/>
      <c r="C533" s="1113"/>
      <c r="D533" s="976"/>
      <c r="E533" s="976"/>
      <c r="F533" s="976"/>
      <c r="G533" s="976"/>
      <c r="H533" s="977"/>
      <c r="I533" t="s">
        <v>581</v>
      </c>
      <c r="AC533" s="1122" t="s">
        <v>155</v>
      </c>
      <c r="AD533" s="1060"/>
      <c r="AE533" s="1060"/>
      <c r="AF533" s="1060"/>
      <c r="AG533" s="18" t="s">
        <v>559</v>
      </c>
      <c r="AH533" s="1062"/>
      <c r="AI533" s="1063"/>
      <c r="AJ533" s="1063"/>
      <c r="AK533" s="1064"/>
      <c r="AM533" s="41"/>
      <c r="AN533" s="41"/>
      <c r="AO533" s="41"/>
      <c r="AP533" s="41"/>
      <c r="AQ533" s="41"/>
      <c r="AR533" s="41"/>
      <c r="AS533" s="41"/>
      <c r="AT533" s="41"/>
      <c r="AU533" s="41"/>
      <c r="AV533" s="41"/>
      <c r="AW533" s="41"/>
      <c r="AX533" s="41"/>
      <c r="AY533" s="41"/>
      <c r="AZ533" s="41" t="s">
        <v>591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091"/>
      <c r="C534" s="1113"/>
      <c r="D534" s="976"/>
      <c r="E534" s="976"/>
      <c r="F534" s="976"/>
      <c r="G534" s="976"/>
      <c r="H534" s="977"/>
      <c r="I534" s="54" t="s">
        <v>582</v>
      </c>
      <c r="J534" s="54"/>
      <c r="K534" s="54"/>
      <c r="L534" s="54"/>
      <c r="M534" s="54"/>
      <c r="N534" s="54"/>
      <c r="O534" s="54"/>
      <c r="P534" s="54"/>
      <c r="Q534" s="54"/>
      <c r="R534" s="54"/>
      <c r="S534" s="54"/>
      <c r="T534" s="54"/>
      <c r="U534" s="54"/>
      <c r="V534" s="54"/>
      <c r="W534" s="54"/>
      <c r="X534" s="54"/>
      <c r="Y534" s="54"/>
      <c r="Z534" s="54"/>
      <c r="AA534" s="54"/>
      <c r="AB534" s="54"/>
      <c r="AC534" s="1122" t="s">
        <v>155</v>
      </c>
      <c r="AD534" s="1060"/>
      <c r="AE534" s="1060"/>
      <c r="AF534" s="1060"/>
      <c r="AG534" s="47" t="s">
        <v>559</v>
      </c>
      <c r="AH534" s="1062"/>
      <c r="AI534" s="1063"/>
      <c r="AJ534" s="1063"/>
      <c r="AK534" s="1064"/>
      <c r="AM534" s="41"/>
      <c r="AN534" s="41"/>
      <c r="AO534" s="41"/>
      <c r="AP534" s="41"/>
      <c r="AQ534" s="41"/>
      <c r="AR534" s="41"/>
      <c r="AS534" s="41"/>
      <c r="AT534" s="41"/>
      <c r="AU534" s="41"/>
      <c r="AV534" s="41"/>
      <c r="AW534" s="41"/>
      <c r="AX534" s="41"/>
      <c r="AY534" s="41"/>
      <c r="AZ534" s="41" t="s">
        <v>592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091"/>
      <c r="C535" s="1113"/>
      <c r="D535" s="976"/>
      <c r="E535" s="976"/>
      <c r="F535" s="976"/>
      <c r="G535" s="976"/>
      <c r="H535" s="977"/>
      <c r="I535" s="7" t="s">
        <v>583</v>
      </c>
      <c r="J535" s="7"/>
      <c r="K535" s="7"/>
      <c r="L535" s="7"/>
      <c r="M535" s="7"/>
      <c r="N535" s="7"/>
      <c r="O535" s="1129" t="s">
        <v>484</v>
      </c>
      <c r="P535" s="1060"/>
      <c r="Q535" s="1060"/>
      <c r="R535" s="1060"/>
      <c r="S535" s="1060"/>
      <c r="T535" s="1060"/>
      <c r="U535" s="1060"/>
      <c r="V535" s="1060"/>
      <c r="W535" s="1060"/>
      <c r="X535" s="1060"/>
      <c r="Y535" s="1060"/>
      <c r="Z535" s="1060"/>
      <c r="AA535" s="1060"/>
      <c r="AC535" s="1122" t="s">
        <v>155</v>
      </c>
      <c r="AD535" s="1060"/>
      <c r="AE535" s="1060"/>
      <c r="AF535" s="1060"/>
      <c r="AG535" s="18" t="s">
        <v>559</v>
      </c>
      <c r="AH535" s="1062"/>
      <c r="AI535" s="1063"/>
      <c r="AJ535" s="1063"/>
      <c r="AK535" s="1064"/>
      <c r="AM535" s="41"/>
      <c r="AN535" s="41"/>
      <c r="AO535" s="41"/>
      <c r="AP535" s="41"/>
      <c r="AQ535" s="41"/>
      <c r="AR535" s="41"/>
      <c r="AS535" s="41"/>
      <c r="AT535" s="41"/>
      <c r="AU535" s="41"/>
      <c r="AV535" s="41"/>
      <c r="AW535" s="41"/>
      <c r="AX535" s="41"/>
      <c r="AY535" s="41"/>
      <c r="AZ535" s="41" t="s">
        <v>593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091"/>
      <c r="C536" s="1113"/>
      <c r="D536" s="976"/>
      <c r="E536" s="976"/>
      <c r="F536" s="976"/>
      <c r="G536" s="976"/>
      <c r="H536" s="977"/>
      <c r="I536" t="s">
        <v>581</v>
      </c>
      <c r="AC536" s="1122" t="s">
        <v>155</v>
      </c>
      <c r="AD536" s="1060"/>
      <c r="AE536" s="1060"/>
      <c r="AF536" s="1060"/>
      <c r="AG536" s="47" t="s">
        <v>559</v>
      </c>
      <c r="AH536" s="1062"/>
      <c r="AI536" s="1063"/>
      <c r="AJ536" s="1063"/>
      <c r="AK536" s="1064"/>
      <c r="AM536" s="41"/>
      <c r="AN536" s="41"/>
      <c r="AO536" s="41"/>
      <c r="AP536" s="41"/>
      <c r="AQ536" s="41"/>
      <c r="AR536" s="41"/>
      <c r="AS536" s="41"/>
      <c r="AT536" s="41"/>
      <c r="AU536" s="41"/>
      <c r="AV536" s="41"/>
      <c r="AW536" s="41"/>
      <c r="AX536" s="41"/>
      <c r="AY536" s="41"/>
      <c r="AZ536" s="41" t="s">
        <v>594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091"/>
      <c r="C537" s="1113"/>
      <c r="D537" s="976"/>
      <c r="E537" s="976"/>
      <c r="F537" s="976"/>
      <c r="G537" s="976"/>
      <c r="H537" s="977"/>
      <c r="I537" s="54" t="s">
        <v>582</v>
      </c>
      <c r="J537" s="54"/>
      <c r="K537" s="54"/>
      <c r="L537" s="54"/>
      <c r="M537" s="54"/>
      <c r="N537" s="54"/>
      <c r="O537" s="54"/>
      <c r="P537" s="54"/>
      <c r="Q537" s="54"/>
      <c r="R537" s="54"/>
      <c r="S537" s="54"/>
      <c r="T537" s="54"/>
      <c r="U537" s="54"/>
      <c r="V537" s="54"/>
      <c r="W537" s="54"/>
      <c r="X537" s="54"/>
      <c r="Y537" s="54"/>
      <c r="Z537" s="54"/>
      <c r="AA537" s="54"/>
      <c r="AB537" s="54"/>
      <c r="AC537" s="1122" t="s">
        <v>155</v>
      </c>
      <c r="AD537" s="1060"/>
      <c r="AE537" s="1060"/>
      <c r="AF537" s="1060"/>
      <c r="AG537" s="18" t="s">
        <v>559</v>
      </c>
      <c r="AH537" s="1062"/>
      <c r="AI537" s="1063"/>
      <c r="AJ537" s="1063"/>
      <c r="AK537" s="1064"/>
      <c r="AM537" s="41"/>
      <c r="AN537" s="41"/>
      <c r="AO537" s="41"/>
      <c r="AP537" s="41"/>
      <c r="AQ537" s="41"/>
      <c r="AR537" s="41"/>
      <c r="AS537" s="41"/>
      <c r="AT537" s="41"/>
      <c r="AU537" s="41"/>
      <c r="AV537" s="41"/>
      <c r="AW537" s="41"/>
      <c r="AX537" s="41"/>
      <c r="AY537" s="41"/>
      <c r="AZ537" s="41" t="s">
        <v>595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091"/>
      <c r="C538" s="1113"/>
      <c r="D538" s="976"/>
      <c r="E538" s="976"/>
      <c r="F538" s="976"/>
      <c r="G538" s="976"/>
      <c r="H538" s="977"/>
      <c r="I538" s="7" t="s">
        <v>583</v>
      </c>
      <c r="J538" s="7"/>
      <c r="K538" s="7"/>
      <c r="L538" s="7"/>
      <c r="M538" s="7"/>
      <c r="N538" s="7"/>
      <c r="O538" s="1129" t="s">
        <v>484</v>
      </c>
      <c r="P538" s="1060"/>
      <c r="Q538" s="1060"/>
      <c r="R538" s="1060"/>
      <c r="S538" s="1060"/>
      <c r="T538" s="1060"/>
      <c r="U538" s="1060"/>
      <c r="V538" s="1060"/>
      <c r="W538" s="1060"/>
      <c r="X538" s="1060"/>
      <c r="Y538" s="1060"/>
      <c r="Z538" s="1060"/>
      <c r="AA538" s="1060"/>
      <c r="AC538" s="1122" t="s">
        <v>155</v>
      </c>
      <c r="AD538" s="1060"/>
      <c r="AE538" s="1060"/>
      <c r="AF538" s="1060"/>
      <c r="AG538" s="47" t="s">
        <v>559</v>
      </c>
      <c r="AH538" s="1062"/>
      <c r="AI538" s="1063"/>
      <c r="AJ538" s="1063"/>
      <c r="AK538" s="1064"/>
      <c r="AM538" s="41"/>
      <c r="AN538" s="41"/>
      <c r="AO538" s="41"/>
      <c r="AP538" s="41"/>
      <c r="AQ538" s="41"/>
      <c r="AR538" s="41"/>
      <c r="AS538" s="41"/>
      <c r="AT538" s="41"/>
      <c r="AU538" s="41"/>
      <c r="AV538" s="41"/>
      <c r="AW538" s="41"/>
      <c r="AX538" s="41"/>
      <c r="AY538" s="41"/>
      <c r="AZ538" s="41" t="s">
        <v>596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091"/>
      <c r="C539" s="1113"/>
      <c r="D539" s="976"/>
      <c r="E539" s="976"/>
      <c r="F539" s="976"/>
      <c r="G539" s="976"/>
      <c r="H539" s="977"/>
      <c r="I539" t="s">
        <v>581</v>
      </c>
      <c r="AC539" s="1122" t="s">
        <v>155</v>
      </c>
      <c r="AD539" s="1060"/>
      <c r="AE539" s="1060"/>
      <c r="AF539" s="1060"/>
      <c r="AG539" s="18" t="s">
        <v>559</v>
      </c>
      <c r="AH539" s="1062"/>
      <c r="AI539" s="1063"/>
      <c r="AJ539" s="1063"/>
      <c r="AK539" s="1064"/>
      <c r="AM539" s="41"/>
      <c r="AN539" s="41"/>
      <c r="AO539" s="41"/>
      <c r="AP539" s="41"/>
      <c r="AQ539" s="41"/>
      <c r="AR539" s="41"/>
      <c r="AS539" s="41"/>
      <c r="AT539" s="41"/>
      <c r="AU539" s="41"/>
      <c r="AV539" s="41"/>
      <c r="AW539" s="41"/>
      <c r="AX539" s="41"/>
      <c r="AY539" s="41"/>
      <c r="AZ539" s="41" t="s">
        <v>597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091"/>
      <c r="C540" s="1113"/>
      <c r="D540" s="976"/>
      <c r="E540" s="976"/>
      <c r="F540" s="976"/>
      <c r="G540" s="976"/>
      <c r="H540" s="977"/>
      <c r="I540" s="54" t="s">
        <v>582</v>
      </c>
      <c r="J540" s="54"/>
      <c r="K540" s="54"/>
      <c r="L540" s="54"/>
      <c r="M540" s="54"/>
      <c r="N540" s="54"/>
      <c r="O540" s="54"/>
      <c r="P540" s="54"/>
      <c r="Q540" s="54"/>
      <c r="R540" s="54"/>
      <c r="S540" s="54"/>
      <c r="T540" s="54"/>
      <c r="U540" s="54"/>
      <c r="V540" s="54"/>
      <c r="W540" s="54"/>
      <c r="X540" s="54"/>
      <c r="Y540" s="54"/>
      <c r="Z540" s="54"/>
      <c r="AA540" s="54"/>
      <c r="AB540" s="54"/>
      <c r="AC540" s="1122" t="s">
        <v>155</v>
      </c>
      <c r="AD540" s="1060"/>
      <c r="AE540" s="1060"/>
      <c r="AF540" s="1060"/>
      <c r="AG540" s="47" t="s">
        <v>559</v>
      </c>
      <c r="AH540" s="1062"/>
      <c r="AI540" s="1063"/>
      <c r="AJ540" s="1063"/>
      <c r="AK540" s="1064"/>
      <c r="AM540" s="41"/>
      <c r="AN540" s="41"/>
      <c r="AO540" s="41"/>
      <c r="AP540" s="41"/>
      <c r="AQ540" s="41"/>
      <c r="AR540" s="41"/>
      <c r="AS540" s="41"/>
      <c r="AT540" s="41"/>
      <c r="AU540" s="41"/>
      <c r="AV540" s="41"/>
      <c r="AW540" s="41"/>
      <c r="AX540" s="41"/>
      <c r="AY540" s="41"/>
      <c r="AZ540" s="41" t="s">
        <v>598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091"/>
      <c r="C541" s="1113"/>
      <c r="D541" s="976"/>
      <c r="E541" s="976"/>
      <c r="F541" s="976"/>
      <c r="G541" s="976"/>
      <c r="H541" s="977"/>
      <c r="I541" s="7" t="s">
        <v>599</v>
      </c>
      <c r="J541" s="7"/>
      <c r="K541" s="7"/>
      <c r="L541" s="7"/>
      <c r="M541" s="7"/>
      <c r="N541" s="7"/>
      <c r="O541" s="7"/>
      <c r="P541" s="7"/>
      <c r="Q541" s="7"/>
      <c r="R541" s="7"/>
      <c r="S541" s="7"/>
      <c r="T541" s="7"/>
      <c r="U541" s="7"/>
      <c r="V541" s="7"/>
      <c r="W541" s="7"/>
      <c r="AC541" s="1122" t="s">
        <v>155</v>
      </c>
      <c r="AD541" s="1060"/>
      <c r="AE541" s="1060"/>
      <c r="AF541" s="1060"/>
      <c r="AG541" s="47" t="s">
        <v>559</v>
      </c>
      <c r="AH541" s="1062"/>
      <c r="AI541" s="1063"/>
      <c r="AJ541" s="1063"/>
      <c r="AK541" s="1064"/>
      <c r="AM541" s="41"/>
      <c r="AN541" s="41"/>
      <c r="AO541" s="41"/>
      <c r="AP541" s="41"/>
      <c r="AQ541" s="41"/>
      <c r="AR541" s="41"/>
      <c r="AS541" s="41"/>
      <c r="AT541" s="41"/>
      <c r="AU541" s="41"/>
      <c r="AV541" s="41"/>
      <c r="AW541" s="41"/>
      <c r="AX541" s="41"/>
      <c r="AY541" s="41"/>
      <c r="AZ541" s="41" t="s">
        <v>600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091"/>
      <c r="C542" s="1113"/>
      <c r="D542" s="976"/>
      <c r="E542" s="976"/>
      <c r="F542" s="976"/>
      <c r="G542" s="976"/>
      <c r="H542" s="977"/>
      <c r="I542" t="s">
        <v>601</v>
      </c>
      <c r="AC542" s="1122" t="s">
        <v>155</v>
      </c>
      <c r="AD542" s="1060"/>
      <c r="AE542" s="1060"/>
      <c r="AF542" s="1060"/>
      <c r="AG542" s="18" t="s">
        <v>559</v>
      </c>
      <c r="AH542" s="1062"/>
      <c r="AI542" s="1063"/>
      <c r="AJ542" s="1063"/>
      <c r="AK542" s="1064"/>
      <c r="AM542" s="41"/>
      <c r="AN542" s="41"/>
      <c r="AO542" s="41"/>
      <c r="AP542" s="41"/>
      <c r="AQ542" s="41"/>
      <c r="AR542" s="41"/>
      <c r="AS542" s="41"/>
      <c r="AT542" s="41"/>
      <c r="AU542" s="41"/>
      <c r="AV542" s="41"/>
      <c r="AW542" s="41"/>
      <c r="AX542" s="41"/>
      <c r="AY542" s="41"/>
      <c r="AZ542" s="41" t="s">
        <v>602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091"/>
      <c r="C543" s="1113"/>
      <c r="D543" s="976"/>
      <c r="E543" s="976"/>
      <c r="F543" s="976"/>
      <c r="G543" s="976"/>
      <c r="H543" s="977"/>
      <c r="I543" t="s">
        <v>603</v>
      </c>
      <c r="AC543" s="1122" t="s">
        <v>155</v>
      </c>
      <c r="AD543" s="1060"/>
      <c r="AE543" s="1060"/>
      <c r="AF543" s="1060"/>
      <c r="AG543" s="47" t="s">
        <v>559</v>
      </c>
      <c r="AH543" s="1062"/>
      <c r="AI543" s="1063"/>
      <c r="AJ543" s="1063"/>
      <c r="AK543" s="1064"/>
      <c r="AM543" s="41"/>
      <c r="AN543" s="41"/>
      <c r="AO543" s="41"/>
      <c r="AP543" s="41"/>
      <c r="AQ543" s="41"/>
      <c r="AR543" s="41"/>
      <c r="AS543" s="41"/>
      <c r="AT543" s="41"/>
      <c r="AU543" s="41"/>
      <c r="AV543" s="41"/>
      <c r="AW543" s="41"/>
      <c r="AX543" s="41"/>
      <c r="AY543" s="41"/>
      <c r="AZ543" s="41" t="s">
        <v>604</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091"/>
      <c r="C544" s="1113"/>
      <c r="D544" s="976"/>
      <c r="E544" s="976"/>
      <c r="F544" s="976"/>
      <c r="G544" s="976"/>
      <c r="H544" s="977"/>
      <c r="I544" t="s">
        <v>605</v>
      </c>
      <c r="AC544" s="1122" t="s">
        <v>155</v>
      </c>
      <c r="AD544" s="1060"/>
      <c r="AE544" s="1060"/>
      <c r="AF544" s="1060"/>
      <c r="AG544" s="47" t="s">
        <v>559</v>
      </c>
      <c r="AH544" s="1062"/>
      <c r="AI544" s="1063"/>
      <c r="AJ544" s="1063"/>
      <c r="AK544" s="1064"/>
      <c r="AM544" s="41"/>
      <c r="AN544" s="41"/>
      <c r="AO544" s="41"/>
      <c r="AP544" s="41"/>
      <c r="AQ544" s="41"/>
      <c r="AR544" s="41"/>
      <c r="AS544" s="41"/>
      <c r="AT544" s="41"/>
      <c r="AU544" s="41"/>
      <c r="AV544" s="41"/>
      <c r="AW544" s="41"/>
      <c r="AX544" s="41"/>
      <c r="AY544" s="41"/>
      <c r="AZ544" s="41" t="s">
        <v>606</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092"/>
      <c r="C545" s="1093"/>
      <c r="D545" s="1093"/>
      <c r="E545" s="1093"/>
      <c r="F545" s="1093"/>
      <c r="G545" s="1093"/>
      <c r="H545" s="1094"/>
      <c r="I545" s="54" t="s">
        <v>607</v>
      </c>
      <c r="J545" s="54"/>
      <c r="K545" s="54"/>
      <c r="L545" s="54"/>
      <c r="M545" s="54"/>
      <c r="N545" s="54"/>
      <c r="O545" s="54"/>
      <c r="P545" s="54"/>
      <c r="Q545" s="54"/>
      <c r="R545" s="54"/>
      <c r="S545" s="54"/>
      <c r="T545" s="54"/>
      <c r="U545" s="54"/>
      <c r="V545" s="54"/>
      <c r="W545" s="54"/>
      <c r="X545" s="54"/>
      <c r="Y545" s="54"/>
      <c r="Z545" s="54"/>
      <c r="AA545" s="54"/>
      <c r="AB545" s="54"/>
      <c r="AC545" s="1122" t="s">
        <v>155</v>
      </c>
      <c r="AD545" s="1060"/>
      <c r="AE545" s="1060"/>
      <c r="AF545" s="1060"/>
      <c r="AG545" s="47" t="s">
        <v>559</v>
      </c>
      <c r="AH545" s="1062"/>
      <c r="AI545" s="1063"/>
      <c r="AJ545" s="1063"/>
      <c r="AK545" s="1064"/>
      <c r="AM545" s="41"/>
      <c r="AN545" s="41"/>
      <c r="AO545" s="41"/>
      <c r="AP545" s="41"/>
      <c r="AQ545" s="41"/>
      <c r="AR545" s="41"/>
      <c r="AS545" s="41"/>
      <c r="AT545" s="41"/>
      <c r="AU545" s="41"/>
      <c r="AV545" s="41"/>
      <c r="AW545" s="41"/>
      <c r="AX545" s="41"/>
      <c r="AY545" s="41"/>
      <c r="AZ545" s="41" t="s">
        <v>608</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AO546" s="41"/>
      <c r="AP546" s="41"/>
      <c r="AQ546" s="41"/>
      <c r="AR546" s="41"/>
      <c r="AS546" s="41"/>
      <c r="AT546" s="41"/>
      <c r="AU546" s="41"/>
      <c r="AV546" s="41"/>
      <c r="AW546" s="41"/>
      <c r="AX546" s="41"/>
      <c r="AY546" s="41"/>
      <c r="AZ546" s="41" t="s">
        <v>609</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245" t="s">
        <v>610</v>
      </c>
      <c r="B547" s="976"/>
      <c r="C547" s="1113"/>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611</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1113"/>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612</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AT549" s="41"/>
      <c r="AU549" s="41"/>
      <c r="AV549" s="41"/>
      <c r="AW549" s="41"/>
      <c r="AX549" s="41"/>
      <c r="AY549" s="41"/>
      <c r="AZ549" s="41" t="s">
        <v>613</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97</v>
      </c>
      <c r="B550" s="3"/>
      <c r="C550" s="3" t="s">
        <v>614</v>
      </c>
      <c r="AT550" s="41"/>
      <c r="AU550" s="41"/>
      <c r="AV550" s="41"/>
      <c r="AW550" s="41"/>
      <c r="AX550" s="41"/>
      <c r="AY550" s="41"/>
      <c r="AZ550" t="s">
        <v>615</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616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02" t="s">
        <v>617</v>
      </c>
      <c r="C554" s="1073"/>
      <c r="D554" s="1073"/>
      <c r="E554" s="1073"/>
      <c r="F554" s="1073"/>
      <c r="G554" s="1073"/>
      <c r="H554" s="1073"/>
      <c r="I554" s="1073"/>
      <c r="J554" s="1073"/>
      <c r="K554" s="1073"/>
      <c r="L554" s="1073"/>
      <c r="M554" s="1121" t="s">
        <v>618</v>
      </c>
      <c r="N554" s="1073"/>
      <c r="O554" s="1073"/>
      <c r="P554" s="1074"/>
      <c r="Q554" s="1121" t="s">
        <v>619</v>
      </c>
      <c r="R554" s="1073"/>
      <c r="S554" s="1074"/>
      <c r="T554" s="1121" t="s">
        <v>620</v>
      </c>
      <c r="U554" s="1073"/>
      <c r="V554" s="1074"/>
      <c r="W554" s="1121" t="s">
        <v>621</v>
      </c>
      <c r="X554" s="1073"/>
      <c r="Y554" s="1074"/>
      <c r="Z554" s="1121" t="s">
        <v>622</v>
      </c>
      <c r="AA554" s="1073"/>
      <c r="AB554" s="1073"/>
      <c r="AC554" s="1073"/>
      <c r="AD554" s="1074"/>
      <c r="AE554" s="1121" t="s">
        <v>623</v>
      </c>
      <c r="AF554" s="1073"/>
      <c r="AG554" s="1073"/>
      <c r="AH554" s="1074"/>
      <c r="AI554" s="1121" t="s">
        <v>624</v>
      </c>
      <c r="AJ554" s="1073"/>
      <c r="AK554" s="1073"/>
      <c r="AL554" s="1074"/>
      <c r="AM554" s="1121" t="s">
        <v>625</v>
      </c>
      <c r="AN554" s="1073"/>
      <c r="AO554" s="1073"/>
      <c r="AP554" s="1073"/>
      <c r="AQ554" s="1073"/>
      <c r="AR554" s="1073"/>
      <c r="AS554" s="107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091"/>
      <c r="C555" s="1113"/>
      <c r="D555" s="976"/>
      <c r="E555" s="976"/>
      <c r="F555" s="976"/>
      <c r="G555" s="976"/>
      <c r="H555" s="976"/>
      <c r="I555" s="976"/>
      <c r="J555" s="976"/>
      <c r="K555" s="976"/>
      <c r="L555" s="976"/>
      <c r="M555" s="1091"/>
      <c r="N555" s="976"/>
      <c r="O555" s="976"/>
      <c r="P555" s="977"/>
      <c r="Q555" s="1091"/>
      <c r="R555" s="976"/>
      <c r="S555" s="977"/>
      <c r="T555" s="1091"/>
      <c r="U555" s="976"/>
      <c r="V555" s="977"/>
      <c r="W555" s="1091"/>
      <c r="X555" s="976"/>
      <c r="Y555" s="977"/>
      <c r="Z555" s="1091"/>
      <c r="AA555" s="976"/>
      <c r="AB555" s="976"/>
      <c r="AC555" s="976"/>
      <c r="AD555" s="977"/>
      <c r="AE555" s="1091"/>
      <c r="AF555" s="976"/>
      <c r="AG555" s="976"/>
      <c r="AH555" s="977"/>
      <c r="AI555" s="1091"/>
      <c r="AJ555" s="976"/>
      <c r="AK555" s="976"/>
      <c r="AL555" s="977"/>
      <c r="AM555" s="1091"/>
      <c r="AN555" s="976"/>
      <c r="AO555" s="976"/>
      <c r="AP555" s="976"/>
      <c r="AQ555" s="976"/>
      <c r="AR555" s="976"/>
      <c r="AS555" s="97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092"/>
      <c r="C556" s="1093"/>
      <c r="D556" s="1093"/>
      <c r="E556" s="1093"/>
      <c r="F556" s="1093"/>
      <c r="G556" s="1093"/>
      <c r="H556" s="1093"/>
      <c r="I556" s="1093"/>
      <c r="J556" s="1093"/>
      <c r="K556" s="1093"/>
      <c r="L556" s="1093"/>
      <c r="M556" s="1092"/>
      <c r="N556" s="1093"/>
      <c r="O556" s="1093"/>
      <c r="P556" s="1094"/>
      <c r="Q556" s="1092"/>
      <c r="R556" s="1093"/>
      <c r="S556" s="1094"/>
      <c r="T556" s="1092"/>
      <c r="U556" s="1093"/>
      <c r="V556" s="1094"/>
      <c r="W556" s="1092"/>
      <c r="X556" s="1093"/>
      <c r="Y556" s="1094"/>
      <c r="Z556" s="1092"/>
      <c r="AA556" s="1093"/>
      <c r="AB556" s="1093"/>
      <c r="AC556" s="1093"/>
      <c r="AD556" s="1094"/>
      <c r="AE556" s="1092"/>
      <c r="AF556" s="1093"/>
      <c r="AG556" s="1093"/>
      <c r="AH556" s="1094"/>
      <c r="AI556" s="1092"/>
      <c r="AJ556" s="1093"/>
      <c r="AK556" s="1093"/>
      <c r="AL556" s="1094"/>
      <c r="AM556" s="1092"/>
      <c r="AN556" s="1093"/>
      <c r="AO556" s="1093"/>
      <c r="AP556" s="1093"/>
      <c r="AQ556" s="1093"/>
      <c r="AR556" s="1093"/>
      <c r="AS556" s="109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626</v>
      </c>
      <c r="C557" s="1206" t="s">
        <v>2429</v>
      </c>
      <c r="D557" s="1063"/>
      <c r="E557" s="1063"/>
      <c r="F557" s="1063"/>
      <c r="G557" s="1063"/>
      <c r="H557" s="1063"/>
      <c r="I557" s="1063"/>
      <c r="J557" s="1063"/>
      <c r="K557" s="1063"/>
      <c r="L557" s="1063"/>
      <c r="M557" s="1132" t="s">
        <v>593</v>
      </c>
      <c r="N557" s="1063"/>
      <c r="O557" s="1063"/>
      <c r="P557" s="1064"/>
      <c r="Q557" s="1212">
        <v>30</v>
      </c>
      <c r="R557" s="1063"/>
      <c r="S557" s="1064"/>
      <c r="T557" s="1086">
        <v>30</v>
      </c>
      <c r="U557" s="1063"/>
      <c r="V557" s="1064"/>
      <c r="W557" s="1172">
        <v>6.7500000000000004E-2</v>
      </c>
      <c r="X557" s="1063"/>
      <c r="Y557" s="1064"/>
      <c r="Z557" s="1151" t="s">
        <v>475</v>
      </c>
      <c r="AA557" s="1063"/>
      <c r="AB557" s="1063"/>
      <c r="AC557" s="1063"/>
      <c r="AD557" s="1063"/>
      <c r="AE557" s="1158"/>
      <c r="AF557" s="1063"/>
      <c r="AG557" s="1063"/>
      <c r="AH557" s="1064"/>
      <c r="AI557" s="1077"/>
      <c r="AJ557" s="1063"/>
      <c r="AK557" s="1063"/>
      <c r="AL557" s="1064"/>
      <c r="AM557" s="1069">
        <v>25667690</v>
      </c>
      <c r="AN557" s="1063"/>
      <c r="AO557" s="1063"/>
      <c r="AP557" s="1063"/>
      <c r="AQ557" s="1063"/>
      <c r="AR557" s="1063"/>
      <c r="AS557" s="1064"/>
      <c r="AT557" s="936"/>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627</v>
      </c>
      <c r="C558" s="1206" t="s">
        <v>2433</v>
      </c>
      <c r="D558" s="1063"/>
      <c r="E558" s="1063"/>
      <c r="F558" s="1063"/>
      <c r="G558" s="1063"/>
      <c r="H558" s="1063"/>
      <c r="I558" s="1063"/>
      <c r="J558" s="1063"/>
      <c r="K558" s="1063"/>
      <c r="L558" s="1063"/>
      <c r="M558" s="1132" t="s">
        <v>590</v>
      </c>
      <c r="N558" s="1063"/>
      <c r="O558" s="1063"/>
      <c r="P558" s="1064"/>
      <c r="Q558" s="1086"/>
      <c r="R558" s="1063"/>
      <c r="S558" s="1064"/>
      <c r="T558" s="1086"/>
      <c r="U558" s="1063"/>
      <c r="V558" s="1064"/>
      <c r="W558" s="1172"/>
      <c r="X558" s="1063"/>
      <c r="Y558" s="1064"/>
      <c r="Z558" s="1151" t="s">
        <v>475</v>
      </c>
      <c r="AA558" s="1063"/>
      <c r="AB558" s="1063"/>
      <c r="AC558" s="1063"/>
      <c r="AD558" s="1063"/>
      <c r="AE558" s="1158"/>
      <c r="AF558" s="1063"/>
      <c r="AG558" s="1063"/>
      <c r="AH558" s="1064"/>
      <c r="AI558" s="1077"/>
      <c r="AJ558" s="1063"/>
      <c r="AK558" s="1063"/>
      <c r="AL558" s="1064"/>
      <c r="AM558" s="1069">
        <f>AO643-AM557</f>
        <v>4415748</v>
      </c>
      <c r="AN558" s="1063"/>
      <c r="AO558" s="1063"/>
      <c r="AP558" s="1063"/>
      <c r="AQ558" s="1063"/>
      <c r="AR558" s="1063"/>
      <c r="AS558" s="1064"/>
      <c r="AT558" s="937"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628</v>
      </c>
      <c r="C559" s="1206"/>
      <c r="D559" s="1063"/>
      <c r="E559" s="1063"/>
      <c r="F559" s="1063"/>
      <c r="G559" s="1063"/>
      <c r="H559" s="1063"/>
      <c r="I559" s="1063"/>
      <c r="J559" s="1063"/>
      <c r="K559" s="1063"/>
      <c r="L559" s="1063"/>
      <c r="M559" s="1132" t="s">
        <v>475</v>
      </c>
      <c r="N559" s="1063"/>
      <c r="O559" s="1063"/>
      <c r="P559" s="1064"/>
      <c r="Q559" s="1086"/>
      <c r="R559" s="1063"/>
      <c r="S559" s="1064"/>
      <c r="T559" s="1086"/>
      <c r="U559" s="1063"/>
      <c r="V559" s="1064"/>
      <c r="W559" s="1172"/>
      <c r="X559" s="1063"/>
      <c r="Y559" s="1064"/>
      <c r="Z559" s="1151" t="s">
        <v>475</v>
      </c>
      <c r="AA559" s="1063"/>
      <c r="AB559" s="1063"/>
      <c r="AC559" s="1063"/>
      <c r="AD559" s="1063"/>
      <c r="AE559" s="1158"/>
      <c r="AF559" s="1063"/>
      <c r="AG559" s="1063"/>
      <c r="AH559" s="1064"/>
      <c r="AI559" s="1077"/>
      <c r="AJ559" s="1063"/>
      <c r="AK559" s="1063"/>
      <c r="AL559" s="1064"/>
      <c r="AM559" s="1069"/>
      <c r="AN559" s="1063"/>
      <c r="AO559" s="1063"/>
      <c r="AP559" s="1063"/>
      <c r="AQ559" s="1063"/>
      <c r="AR559" s="1063"/>
      <c r="AS559" s="1064"/>
      <c r="AT559" s="937"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629</v>
      </c>
      <c r="C560" s="1206"/>
      <c r="D560" s="1063"/>
      <c r="E560" s="1063"/>
      <c r="F560" s="1063"/>
      <c r="G560" s="1063"/>
      <c r="H560" s="1063"/>
      <c r="I560" s="1063"/>
      <c r="J560" s="1063"/>
      <c r="K560" s="1063"/>
      <c r="L560" s="1063"/>
      <c r="M560" s="1132" t="s">
        <v>475</v>
      </c>
      <c r="N560" s="1063"/>
      <c r="O560" s="1063"/>
      <c r="P560" s="1064"/>
      <c r="Q560" s="1086"/>
      <c r="R560" s="1063"/>
      <c r="S560" s="1064"/>
      <c r="T560" s="1086"/>
      <c r="U560" s="1063"/>
      <c r="V560" s="1064"/>
      <c r="W560" s="1172"/>
      <c r="X560" s="1063"/>
      <c r="Y560" s="1064"/>
      <c r="Z560" s="1151" t="s">
        <v>475</v>
      </c>
      <c r="AA560" s="1063"/>
      <c r="AB560" s="1063"/>
      <c r="AC560" s="1063"/>
      <c r="AD560" s="1063"/>
      <c r="AE560" s="1158"/>
      <c r="AF560" s="1063"/>
      <c r="AG560" s="1063"/>
      <c r="AH560" s="1064"/>
      <c r="AI560" s="1077"/>
      <c r="AJ560" s="1063"/>
      <c r="AK560" s="1063"/>
      <c r="AL560" s="1064"/>
      <c r="AM560" s="1069"/>
      <c r="AN560" s="1063"/>
      <c r="AO560" s="1063"/>
      <c r="AP560" s="1063"/>
      <c r="AQ560" s="1063"/>
      <c r="AR560" s="1063"/>
      <c r="AS560" s="1064"/>
      <c r="AT560" s="937"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630</v>
      </c>
      <c r="C561" s="1206"/>
      <c r="D561" s="1063"/>
      <c r="E561" s="1063"/>
      <c r="F561" s="1063"/>
      <c r="G561" s="1063"/>
      <c r="H561" s="1063"/>
      <c r="I561" s="1063"/>
      <c r="J561" s="1063"/>
      <c r="K561" s="1063"/>
      <c r="L561" s="1063"/>
      <c r="M561" s="1132" t="s">
        <v>475</v>
      </c>
      <c r="N561" s="1063"/>
      <c r="O561" s="1063"/>
      <c r="P561" s="1064"/>
      <c r="Q561" s="1086"/>
      <c r="R561" s="1063"/>
      <c r="S561" s="1064"/>
      <c r="T561" s="1086"/>
      <c r="U561" s="1063"/>
      <c r="V561" s="1064"/>
      <c r="W561" s="1172"/>
      <c r="X561" s="1063"/>
      <c r="Y561" s="1064"/>
      <c r="Z561" s="1151" t="s">
        <v>475</v>
      </c>
      <c r="AA561" s="1063"/>
      <c r="AB561" s="1063"/>
      <c r="AC561" s="1063"/>
      <c r="AD561" s="1063"/>
      <c r="AE561" s="1158"/>
      <c r="AF561" s="1063"/>
      <c r="AG561" s="1063"/>
      <c r="AH561" s="1064"/>
      <c r="AI561" s="1077"/>
      <c r="AJ561" s="1063"/>
      <c r="AK561" s="1063"/>
      <c r="AL561" s="1064"/>
      <c r="AM561" s="1069"/>
      <c r="AN561" s="1063"/>
      <c r="AO561" s="1063"/>
      <c r="AP561" s="1063"/>
      <c r="AQ561" s="1063"/>
      <c r="AR561" s="1063"/>
      <c r="AS561" s="1064"/>
      <c r="AT561" s="937"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631</v>
      </c>
      <c r="C562" s="1206"/>
      <c r="D562" s="1063"/>
      <c r="E562" s="1063"/>
      <c r="F562" s="1063"/>
      <c r="G562" s="1063"/>
      <c r="H562" s="1063"/>
      <c r="I562" s="1063"/>
      <c r="J562" s="1063"/>
      <c r="K562" s="1063"/>
      <c r="L562" s="1063"/>
      <c r="M562" s="1132" t="s">
        <v>475</v>
      </c>
      <c r="N562" s="1063"/>
      <c r="O562" s="1063"/>
      <c r="P562" s="1064"/>
      <c r="Q562" s="1086"/>
      <c r="R562" s="1063"/>
      <c r="S562" s="1064"/>
      <c r="T562" s="1086"/>
      <c r="U562" s="1063"/>
      <c r="V562" s="1064"/>
      <c r="W562" s="1172"/>
      <c r="X562" s="1063"/>
      <c r="Y562" s="1064"/>
      <c r="Z562" s="1151" t="s">
        <v>475</v>
      </c>
      <c r="AA562" s="1063"/>
      <c r="AB562" s="1063"/>
      <c r="AC562" s="1063"/>
      <c r="AD562" s="1063"/>
      <c r="AE562" s="1158"/>
      <c r="AF562" s="1063"/>
      <c r="AG562" s="1063"/>
      <c r="AH562" s="1064"/>
      <c r="AI562" s="1077"/>
      <c r="AJ562" s="1063"/>
      <c r="AK562" s="1063"/>
      <c r="AL562" s="1064"/>
      <c r="AM562" s="1069"/>
      <c r="AN562" s="1063"/>
      <c r="AO562" s="1063"/>
      <c r="AP562" s="1063"/>
      <c r="AQ562" s="1063"/>
      <c r="AR562" s="1063"/>
      <c r="AS562" s="1064"/>
      <c r="AT562" s="937" t="str">
        <f t="shared" si="0"/>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632</v>
      </c>
      <c r="C563" s="1206"/>
      <c r="D563" s="1063"/>
      <c r="E563" s="1063"/>
      <c r="F563" s="1063"/>
      <c r="G563" s="1063"/>
      <c r="H563" s="1063"/>
      <c r="I563" s="1063"/>
      <c r="J563" s="1063"/>
      <c r="K563" s="1063"/>
      <c r="L563" s="1063"/>
      <c r="M563" s="1132" t="s">
        <v>475</v>
      </c>
      <c r="N563" s="1063"/>
      <c r="O563" s="1063"/>
      <c r="P563" s="1064"/>
      <c r="Q563" s="1086"/>
      <c r="R563" s="1063"/>
      <c r="S563" s="1064"/>
      <c r="T563" s="1086"/>
      <c r="U563" s="1063"/>
      <c r="V563" s="1064"/>
      <c r="W563" s="1172"/>
      <c r="X563" s="1063"/>
      <c r="Y563" s="1064"/>
      <c r="Z563" s="1151" t="s">
        <v>475</v>
      </c>
      <c r="AA563" s="1063"/>
      <c r="AB563" s="1063"/>
      <c r="AC563" s="1063"/>
      <c r="AD563" s="1063"/>
      <c r="AE563" s="1158"/>
      <c r="AF563" s="1063"/>
      <c r="AG563" s="1063"/>
      <c r="AH563" s="1064"/>
      <c r="AI563" s="1077"/>
      <c r="AJ563" s="1063"/>
      <c r="AK563" s="1063"/>
      <c r="AL563" s="1064"/>
      <c r="AM563" s="1069"/>
      <c r="AN563" s="1063"/>
      <c r="AO563" s="1063"/>
      <c r="AP563" s="1063"/>
      <c r="AQ563" s="1063"/>
      <c r="AR563" s="1063"/>
      <c r="AS563" s="1064"/>
      <c r="AT563" s="937"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633</v>
      </c>
      <c r="C564" s="1206"/>
      <c r="D564" s="1063"/>
      <c r="E564" s="1063"/>
      <c r="F564" s="1063"/>
      <c r="G564" s="1063"/>
      <c r="H564" s="1063"/>
      <c r="I564" s="1063"/>
      <c r="J564" s="1063"/>
      <c r="K564" s="1063"/>
      <c r="L564" s="1063"/>
      <c r="M564" s="1132" t="s">
        <v>475</v>
      </c>
      <c r="N564" s="1063"/>
      <c r="O564" s="1063"/>
      <c r="P564" s="1064"/>
      <c r="Q564" s="1086"/>
      <c r="R564" s="1063"/>
      <c r="S564" s="1064"/>
      <c r="T564" s="1086"/>
      <c r="U564" s="1063"/>
      <c r="V564" s="1064"/>
      <c r="W564" s="1172"/>
      <c r="X564" s="1063"/>
      <c r="Y564" s="1064"/>
      <c r="Z564" s="1151" t="s">
        <v>475</v>
      </c>
      <c r="AA564" s="1063"/>
      <c r="AB564" s="1063"/>
      <c r="AC564" s="1063"/>
      <c r="AD564" s="1063"/>
      <c r="AE564" s="1158"/>
      <c r="AF564" s="1063"/>
      <c r="AG564" s="1063"/>
      <c r="AH564" s="1064"/>
      <c r="AI564" s="1077"/>
      <c r="AJ564" s="1063"/>
      <c r="AK564" s="1063"/>
      <c r="AL564" s="1064"/>
      <c r="AM564" s="1069"/>
      <c r="AN564" s="1063"/>
      <c r="AO564" s="1063"/>
      <c r="AP564" s="1063"/>
      <c r="AQ564" s="1063"/>
      <c r="AR564" s="1063"/>
      <c r="AS564" s="1064"/>
      <c r="AT564" s="937"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634</v>
      </c>
      <c r="C565" s="1206"/>
      <c r="D565" s="1063"/>
      <c r="E565" s="1063"/>
      <c r="F565" s="1063"/>
      <c r="G565" s="1063"/>
      <c r="H565" s="1063"/>
      <c r="I565" s="1063"/>
      <c r="J565" s="1063"/>
      <c r="K565" s="1063"/>
      <c r="L565" s="1063"/>
      <c r="M565" s="1132" t="s">
        <v>475</v>
      </c>
      <c r="N565" s="1063"/>
      <c r="O565" s="1063"/>
      <c r="P565" s="1064"/>
      <c r="Q565" s="1086"/>
      <c r="R565" s="1063"/>
      <c r="S565" s="1064"/>
      <c r="T565" s="1086"/>
      <c r="U565" s="1063"/>
      <c r="V565" s="1064"/>
      <c r="W565" s="1172"/>
      <c r="X565" s="1063"/>
      <c r="Y565" s="1064"/>
      <c r="Z565" s="1151" t="s">
        <v>475</v>
      </c>
      <c r="AA565" s="1063"/>
      <c r="AB565" s="1063"/>
      <c r="AC565" s="1063"/>
      <c r="AD565" s="1063"/>
      <c r="AE565" s="1158"/>
      <c r="AF565" s="1063"/>
      <c r="AG565" s="1063"/>
      <c r="AH565" s="1064"/>
      <c r="AI565" s="1077"/>
      <c r="AJ565" s="1063"/>
      <c r="AK565" s="1063"/>
      <c r="AL565" s="1064"/>
      <c r="AM565" s="1069"/>
      <c r="AN565" s="1063"/>
      <c r="AO565" s="1063"/>
      <c r="AP565" s="1063"/>
      <c r="AQ565" s="1063"/>
      <c r="AR565" s="1063"/>
      <c r="AS565" s="1064"/>
      <c r="AT565" s="937"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635</v>
      </c>
      <c r="C566" s="1206"/>
      <c r="D566" s="1063"/>
      <c r="E566" s="1063"/>
      <c r="F566" s="1063"/>
      <c r="G566" s="1063"/>
      <c r="H566" s="1063"/>
      <c r="I566" s="1063"/>
      <c r="J566" s="1063"/>
      <c r="K566" s="1063"/>
      <c r="L566" s="1063"/>
      <c r="M566" s="1132" t="s">
        <v>475</v>
      </c>
      <c r="N566" s="1063"/>
      <c r="O566" s="1063"/>
      <c r="P566" s="1064"/>
      <c r="Q566" s="1086"/>
      <c r="R566" s="1063"/>
      <c r="S566" s="1064"/>
      <c r="T566" s="1086"/>
      <c r="U566" s="1063"/>
      <c r="V566" s="1064"/>
      <c r="W566" s="1172"/>
      <c r="X566" s="1063"/>
      <c r="Y566" s="1064"/>
      <c r="Z566" s="1151" t="s">
        <v>475</v>
      </c>
      <c r="AA566" s="1063"/>
      <c r="AB566" s="1063"/>
      <c r="AC566" s="1063"/>
      <c r="AD566" s="1063"/>
      <c r="AE566" s="1158"/>
      <c r="AF566" s="1063"/>
      <c r="AG566" s="1063"/>
      <c r="AH566" s="1064"/>
      <c r="AI566" s="1077"/>
      <c r="AJ566" s="1063"/>
      <c r="AK566" s="1063"/>
      <c r="AL566" s="1064"/>
      <c r="AM566" s="1069"/>
      <c r="AN566" s="1063"/>
      <c r="AO566" s="1063"/>
      <c r="AP566" s="1063"/>
      <c r="AQ566" s="1063"/>
      <c r="AR566" s="1063"/>
      <c r="AS566" s="1064"/>
      <c r="AT566" s="937"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636</v>
      </c>
      <c r="C567" s="1206"/>
      <c r="D567" s="1063"/>
      <c r="E567" s="1063"/>
      <c r="F567" s="1063"/>
      <c r="G567" s="1063"/>
      <c r="H567" s="1063"/>
      <c r="I567" s="1063"/>
      <c r="J567" s="1063"/>
      <c r="K567" s="1063"/>
      <c r="L567" s="1063"/>
      <c r="M567" s="1132" t="s">
        <v>475</v>
      </c>
      <c r="N567" s="1063"/>
      <c r="O567" s="1063"/>
      <c r="P567" s="1064"/>
      <c r="Q567" s="1086"/>
      <c r="R567" s="1063"/>
      <c r="S567" s="1064"/>
      <c r="T567" s="1086"/>
      <c r="U567" s="1063"/>
      <c r="V567" s="1064"/>
      <c r="W567" s="1172"/>
      <c r="X567" s="1063"/>
      <c r="Y567" s="1064"/>
      <c r="Z567" s="1151" t="s">
        <v>475</v>
      </c>
      <c r="AA567" s="1063"/>
      <c r="AB567" s="1063"/>
      <c r="AC567" s="1063"/>
      <c r="AD567" s="1063"/>
      <c r="AE567" s="1158"/>
      <c r="AF567" s="1063"/>
      <c r="AG567" s="1063"/>
      <c r="AH567" s="1064"/>
      <c r="AI567" s="1077"/>
      <c r="AJ567" s="1063"/>
      <c r="AK567" s="1063"/>
      <c r="AL567" s="1064"/>
      <c r="AM567" s="1069"/>
      <c r="AN567" s="1063"/>
      <c r="AO567" s="1063"/>
      <c r="AP567" s="1063"/>
      <c r="AQ567" s="1063"/>
      <c r="AR567" s="1063"/>
      <c r="AS567" s="1064"/>
      <c r="AT567" s="937"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637</v>
      </c>
      <c r="C568" s="1206"/>
      <c r="D568" s="1063"/>
      <c r="E568" s="1063"/>
      <c r="F568" s="1063"/>
      <c r="G568" s="1063"/>
      <c r="H568" s="1063"/>
      <c r="I568" s="1063"/>
      <c r="J568" s="1063"/>
      <c r="K568" s="1063"/>
      <c r="L568" s="1063"/>
      <c r="M568" s="1132" t="s">
        <v>475</v>
      </c>
      <c r="N568" s="1063"/>
      <c r="O568" s="1063"/>
      <c r="P568" s="1064"/>
      <c r="Q568" s="1086"/>
      <c r="R568" s="1063"/>
      <c r="S568" s="1064"/>
      <c r="T568" s="1086"/>
      <c r="U568" s="1063"/>
      <c r="V568" s="1064"/>
      <c r="W568" s="1172"/>
      <c r="X568" s="1063"/>
      <c r="Y568" s="1064"/>
      <c r="Z568" s="1151" t="s">
        <v>475</v>
      </c>
      <c r="AA568" s="1063"/>
      <c r="AB568" s="1063"/>
      <c r="AC568" s="1063"/>
      <c r="AD568" s="1063"/>
      <c r="AE568" s="1158"/>
      <c r="AF568" s="1063"/>
      <c r="AG568" s="1063"/>
      <c r="AH568" s="1064"/>
      <c r="AI568" s="1077"/>
      <c r="AJ568" s="1063"/>
      <c r="AK568" s="1063"/>
      <c r="AL568" s="1064"/>
      <c r="AM568" s="1069"/>
      <c r="AN568" s="1063"/>
      <c r="AO568" s="1063"/>
      <c r="AP568" s="1063"/>
      <c r="AQ568" s="1063"/>
      <c r="AR568" s="1063"/>
      <c r="AS568" s="1064"/>
      <c r="AT568" s="937"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60" t="s">
        <v>638</v>
      </c>
      <c r="C569" s="973"/>
      <c r="D569" s="973"/>
      <c r="E569" s="973"/>
      <c r="F569" s="973"/>
      <c r="G569" s="973"/>
      <c r="H569" s="973"/>
      <c r="I569" s="973"/>
      <c r="J569" s="973"/>
      <c r="K569" s="973"/>
      <c r="L569" s="973"/>
      <c r="M569" s="973"/>
      <c r="N569" s="973"/>
      <c r="O569" s="973"/>
      <c r="P569" s="973"/>
      <c r="Q569" s="973"/>
      <c r="R569" s="973"/>
      <c r="S569" s="973"/>
      <c r="T569" s="973"/>
      <c r="U569" s="973"/>
      <c r="V569" s="973"/>
      <c r="W569" s="973"/>
      <c r="X569" s="973"/>
      <c r="Y569" s="973"/>
      <c r="Z569" s="973"/>
      <c r="AA569" s="973"/>
      <c r="AB569" s="973"/>
      <c r="AC569" s="973"/>
      <c r="AD569" s="973"/>
      <c r="AE569" s="973"/>
      <c r="AF569" s="973"/>
      <c r="AG569" s="973"/>
      <c r="AH569" s="973"/>
      <c r="AI569" s="973"/>
      <c r="AJ569" s="973"/>
      <c r="AK569" s="973"/>
      <c r="AL569" s="974"/>
      <c r="AM569" s="1088">
        <f>SUM(AM557:AS568)</f>
        <v>30083438</v>
      </c>
      <c r="AN569" s="973"/>
      <c r="AO569" s="973"/>
      <c r="AP569" s="973"/>
      <c r="AQ569" s="973"/>
      <c r="AR569" s="973"/>
      <c r="AS569" s="97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626</v>
      </c>
      <c r="B571" t="s">
        <v>639</v>
      </c>
      <c r="G571" s="1127" t="str">
        <f>C557</f>
        <v>Citi Bank</v>
      </c>
      <c r="H571" s="1093"/>
      <c r="I571" s="1093"/>
      <c r="J571" s="1093"/>
      <c r="K571" s="1093"/>
      <c r="L571" s="1093"/>
      <c r="M571" s="1093"/>
      <c r="N571" s="1093"/>
      <c r="O571" s="1093"/>
      <c r="P571" s="1093"/>
      <c r="Q571" s="1093"/>
      <c r="R571" s="1093"/>
      <c r="S571" s="12"/>
      <c r="T571" s="61" t="s">
        <v>627</v>
      </c>
      <c r="U571" t="s">
        <v>639</v>
      </c>
      <c r="Z571" s="1127" t="str">
        <f>C558</f>
        <v>Equity</v>
      </c>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295</v>
      </c>
      <c r="G572" s="1117" t="s">
        <v>2434</v>
      </c>
      <c r="H572" s="1060"/>
      <c r="I572" s="1060"/>
      <c r="J572" s="1060"/>
      <c r="K572" s="1060"/>
      <c r="L572" s="1060"/>
      <c r="M572" s="1060"/>
      <c r="N572" s="1060"/>
      <c r="O572" s="1060"/>
      <c r="P572" s="1060"/>
      <c r="Q572" s="1060"/>
      <c r="R572" s="1060"/>
      <c r="S572" s="12"/>
      <c r="T572" s="4"/>
      <c r="U572" t="s">
        <v>295</v>
      </c>
      <c r="Z572" s="1117" t="s">
        <v>394</v>
      </c>
      <c r="AA572" s="1060"/>
      <c r="AB572" s="1060"/>
      <c r="AC572" s="1060"/>
      <c r="AD572" s="1060"/>
      <c r="AE572" s="1060"/>
      <c r="AF572" s="1060"/>
      <c r="AG572" s="1060"/>
      <c r="AH572" s="1060"/>
      <c r="AI572" s="1060"/>
      <c r="AJ572" s="1060"/>
      <c r="AK572" s="106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153</v>
      </c>
      <c r="G573" s="1117" t="s">
        <v>2435</v>
      </c>
      <c r="H573" s="1060"/>
      <c r="I573" s="1060"/>
      <c r="J573" s="1060"/>
      <c r="K573" s="1060"/>
      <c r="L573" s="1060"/>
      <c r="M573" s="1060"/>
      <c r="N573" s="1060"/>
      <c r="O573" s="1060"/>
      <c r="P573" s="1060"/>
      <c r="Q573" s="1060"/>
      <c r="R573" s="1060"/>
      <c r="T573" s="4"/>
      <c r="U573" t="s">
        <v>153</v>
      </c>
      <c r="Z573" s="1126" t="s">
        <v>395</v>
      </c>
      <c r="AA573" s="1063"/>
      <c r="AB573" s="1063"/>
      <c r="AC573" s="1063"/>
      <c r="AD573" s="1063"/>
      <c r="AE573" s="1063"/>
      <c r="AF573" s="1063"/>
      <c r="AG573" s="1063"/>
      <c r="AH573" s="1063"/>
      <c r="AI573" s="1063"/>
      <c r="AJ573" s="1063"/>
      <c r="AK573" s="10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640</v>
      </c>
      <c r="G574" s="1117" t="s">
        <v>2436</v>
      </c>
      <c r="H574" s="1060"/>
      <c r="I574" s="1060"/>
      <c r="J574" s="1060"/>
      <c r="K574" s="1060"/>
      <c r="L574" s="1060"/>
      <c r="M574" s="1060"/>
      <c r="N574" s="1060"/>
      <c r="O574" s="1060"/>
      <c r="P574" s="1060"/>
      <c r="Q574" s="1060"/>
      <c r="R574" s="1060"/>
      <c r="S574" s="12"/>
      <c r="T574" s="4"/>
      <c r="U574" t="s">
        <v>640</v>
      </c>
      <c r="Z574" s="1126" t="s">
        <v>396</v>
      </c>
      <c r="AA574" s="1063"/>
      <c r="AB574" s="1063"/>
      <c r="AC574" s="1063"/>
      <c r="AD574" s="1063"/>
      <c r="AE574" s="1063"/>
      <c r="AF574" s="1063"/>
      <c r="AG574" s="1063"/>
      <c r="AH574" s="1063"/>
      <c r="AI574" s="1063"/>
      <c r="AJ574" s="1063"/>
      <c r="AK574" s="106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68</v>
      </c>
      <c r="G575" s="1176" t="s">
        <v>2437</v>
      </c>
      <c r="H575" s="1063"/>
      <c r="I575" s="1063"/>
      <c r="J575" s="1063"/>
      <c r="K575" s="1063"/>
      <c r="L575" s="1063"/>
      <c r="O575" s="42" t="s">
        <v>305</v>
      </c>
      <c r="P575" s="1112"/>
      <c r="Q575" s="1063"/>
      <c r="R575" s="1063"/>
      <c r="S575" s="14"/>
      <c r="T575" s="4"/>
      <c r="U575" t="s">
        <v>68</v>
      </c>
      <c r="Z575" s="1176" t="s">
        <v>397</v>
      </c>
      <c r="AA575" s="1063"/>
      <c r="AB575" s="1063"/>
      <c r="AC575" s="1063"/>
      <c r="AD575" s="1063"/>
      <c r="AE575" s="1063"/>
      <c r="AH575" s="42" t="s">
        <v>305</v>
      </c>
      <c r="AI575" s="1112"/>
      <c r="AJ575" s="1063"/>
      <c r="AK575" s="1063"/>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641</v>
      </c>
      <c r="H576" s="1117" t="s">
        <v>2438</v>
      </c>
      <c r="I576" s="1060"/>
      <c r="J576" s="1060"/>
      <c r="K576" s="1060"/>
      <c r="L576" s="1060"/>
      <c r="M576" s="1060"/>
      <c r="N576" s="1060"/>
      <c r="O576" s="1060"/>
      <c r="P576" s="1060"/>
      <c r="Q576" s="1060"/>
      <c r="R576" s="1060"/>
      <c r="S576" s="12"/>
      <c r="T576" s="4"/>
      <c r="U576" t="s">
        <v>641</v>
      </c>
      <c r="AA576" s="1117" t="s">
        <v>2433</v>
      </c>
      <c r="AB576" s="1060"/>
      <c r="AC576" s="1060"/>
      <c r="AD576" s="1060"/>
      <c r="AE576" s="1060"/>
      <c r="AF576" s="1060"/>
      <c r="AG576" s="1060"/>
      <c r="AH576" s="1060"/>
      <c r="AI576" s="1060"/>
      <c r="AJ576" s="1060"/>
      <c r="AK576" s="106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642</v>
      </c>
      <c r="N577" s="1066" t="s">
        <v>71</v>
      </c>
      <c r="O577" s="1060"/>
      <c r="T577" s="4"/>
      <c r="U577" t="s">
        <v>642</v>
      </c>
      <c r="AG577" s="1066" t="s">
        <v>71</v>
      </c>
      <c r="AH577" s="106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628</v>
      </c>
      <c r="B579" t="s">
        <v>639</v>
      </c>
      <c r="G579" s="1127">
        <f>C559</f>
        <v>0</v>
      </c>
      <c r="H579" s="1093"/>
      <c r="I579" s="1093"/>
      <c r="J579" s="1093"/>
      <c r="K579" s="1093"/>
      <c r="L579" s="1093"/>
      <c r="M579" s="1093"/>
      <c r="N579" s="1093"/>
      <c r="O579" s="1093"/>
      <c r="P579" s="1093"/>
      <c r="Q579" s="1093"/>
      <c r="R579" s="1093"/>
      <c r="T579" s="61" t="s">
        <v>629</v>
      </c>
      <c r="U579" t="s">
        <v>639</v>
      </c>
      <c r="Z579" s="1127">
        <f>C560</f>
        <v>0</v>
      </c>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295</v>
      </c>
      <c r="G580" s="1059"/>
      <c r="H580" s="1060"/>
      <c r="I580" s="1060"/>
      <c r="J580" s="1060"/>
      <c r="K580" s="1060"/>
      <c r="L580" s="1060"/>
      <c r="M580" s="1060"/>
      <c r="N580" s="1060"/>
      <c r="O580" s="1060"/>
      <c r="P580" s="1060"/>
      <c r="Q580" s="1060"/>
      <c r="R580" s="1060"/>
      <c r="T580" s="4"/>
      <c r="U580" t="s">
        <v>295</v>
      </c>
      <c r="Z580" s="1059"/>
      <c r="AA580" s="1060"/>
      <c r="AB580" s="1060"/>
      <c r="AC580" s="1060"/>
      <c r="AD580" s="1060"/>
      <c r="AE580" s="1060"/>
      <c r="AF580" s="1060"/>
      <c r="AG580" s="1060"/>
      <c r="AH580" s="1060"/>
      <c r="AI580" s="1060"/>
      <c r="AJ580" s="1060"/>
      <c r="AK580" s="106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153</v>
      </c>
      <c r="G581" s="1068"/>
      <c r="H581" s="1063"/>
      <c r="I581" s="1063"/>
      <c r="J581" s="1063"/>
      <c r="K581" s="1063"/>
      <c r="L581" s="1063"/>
      <c r="M581" s="1063"/>
      <c r="N581" s="1063"/>
      <c r="O581" s="1063"/>
      <c r="P581" s="1063"/>
      <c r="Q581" s="1063"/>
      <c r="R581" s="1063"/>
      <c r="T581" s="4"/>
      <c r="U581" t="s">
        <v>153</v>
      </c>
      <c r="Z581" s="1068"/>
      <c r="AA581" s="1063"/>
      <c r="AB581" s="1063"/>
      <c r="AC581" s="1063"/>
      <c r="AD581" s="1063"/>
      <c r="AE581" s="1063"/>
      <c r="AF581" s="1063"/>
      <c r="AG581" s="1063"/>
      <c r="AH581" s="1063"/>
      <c r="AI581" s="1063"/>
      <c r="AJ581" s="1063"/>
      <c r="AK581" s="10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640</v>
      </c>
      <c r="G582" s="1068"/>
      <c r="H582" s="1063"/>
      <c r="I582" s="1063"/>
      <c r="J582" s="1063"/>
      <c r="K582" s="1063"/>
      <c r="L582" s="1063"/>
      <c r="M582" s="1063"/>
      <c r="N582" s="1063"/>
      <c r="O582" s="1063"/>
      <c r="P582" s="1063"/>
      <c r="Q582" s="1063"/>
      <c r="R582" s="1063"/>
      <c r="T582" s="4"/>
      <c r="U582" t="s">
        <v>640</v>
      </c>
      <c r="Z582" s="1068"/>
      <c r="AA582" s="1063"/>
      <c r="AB582" s="1063"/>
      <c r="AC582" s="1063"/>
      <c r="AD582" s="1063"/>
      <c r="AE582" s="1063"/>
      <c r="AF582" s="1063"/>
      <c r="AG582" s="1063"/>
      <c r="AH582" s="1063"/>
      <c r="AI582" s="1063"/>
      <c r="AJ582" s="1063"/>
      <c r="AK582" s="10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68</v>
      </c>
      <c r="G583" s="1084"/>
      <c r="H583" s="1063"/>
      <c r="I583" s="1063"/>
      <c r="J583" s="1063"/>
      <c r="K583" s="1063"/>
      <c r="L583" s="1063"/>
      <c r="O583" s="42" t="s">
        <v>305</v>
      </c>
      <c r="P583" s="1112"/>
      <c r="Q583" s="1063"/>
      <c r="R583" s="1063"/>
      <c r="T583" s="4"/>
      <c r="U583" t="s">
        <v>68</v>
      </c>
      <c r="Z583" s="1084"/>
      <c r="AA583" s="1063"/>
      <c r="AB583" s="1063"/>
      <c r="AC583" s="1063"/>
      <c r="AD583" s="1063"/>
      <c r="AE583" s="1063"/>
      <c r="AH583" s="42" t="s">
        <v>305</v>
      </c>
      <c r="AI583" s="1112"/>
      <c r="AJ583" s="1063"/>
      <c r="AK583" s="10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641</v>
      </c>
      <c r="H584" s="1059"/>
      <c r="I584" s="1060"/>
      <c r="J584" s="1060"/>
      <c r="K584" s="1060"/>
      <c r="L584" s="1060"/>
      <c r="M584" s="1060"/>
      <c r="N584" s="1060"/>
      <c r="O584" s="1060"/>
      <c r="P584" s="1060"/>
      <c r="Q584" s="1060"/>
      <c r="R584" s="1060"/>
      <c r="T584" s="4"/>
      <c r="U584" t="s">
        <v>641</v>
      </c>
      <c r="AA584" s="1059"/>
      <c r="AB584" s="1060"/>
      <c r="AC584" s="1060"/>
      <c r="AD584" s="1060"/>
      <c r="AE584" s="1060"/>
      <c r="AF584" s="1060"/>
      <c r="AG584" s="1060"/>
      <c r="AH584" s="1060"/>
      <c r="AI584" s="1060"/>
      <c r="AJ584" s="1060"/>
      <c r="AK584" s="106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642</v>
      </c>
      <c r="N585" s="1207" t="s">
        <v>14</v>
      </c>
      <c r="O585" s="1063"/>
      <c r="T585" s="4"/>
      <c r="U585" t="s">
        <v>642</v>
      </c>
      <c r="AG585" s="1207" t="s">
        <v>14</v>
      </c>
      <c r="AH585" s="106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630</v>
      </c>
      <c r="B587" t="s">
        <v>639</v>
      </c>
      <c r="G587" s="1127">
        <f>C561</f>
        <v>0</v>
      </c>
      <c r="H587" s="1093"/>
      <c r="I587" s="1093"/>
      <c r="J587" s="1093"/>
      <c r="K587" s="1093"/>
      <c r="L587" s="1093"/>
      <c r="M587" s="1093"/>
      <c r="N587" s="1093"/>
      <c r="O587" s="1093"/>
      <c r="P587" s="1093"/>
      <c r="Q587" s="1093"/>
      <c r="R587" s="1093"/>
      <c r="T587" s="61" t="s">
        <v>631</v>
      </c>
      <c r="U587" t="s">
        <v>639</v>
      </c>
      <c r="Z587" s="1127">
        <f>C562</f>
        <v>0</v>
      </c>
      <c r="AA587" s="1093"/>
      <c r="AB587" s="1093"/>
      <c r="AC587" s="1093"/>
      <c r="AD587" s="1093"/>
      <c r="AE587" s="1093"/>
      <c r="AF587" s="1093"/>
      <c r="AG587" s="1093"/>
      <c r="AH587" s="1093"/>
      <c r="AI587" s="1093"/>
      <c r="AJ587" s="1093"/>
      <c r="AK587" s="109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295</v>
      </c>
      <c r="G588" s="1059"/>
      <c r="H588" s="1060"/>
      <c r="I588" s="1060"/>
      <c r="J588" s="1060"/>
      <c r="K588" s="1060"/>
      <c r="L588" s="1060"/>
      <c r="M588" s="1060"/>
      <c r="N588" s="1060"/>
      <c r="O588" s="1060"/>
      <c r="P588" s="1060"/>
      <c r="Q588" s="1060"/>
      <c r="R588" s="1060"/>
      <c r="T588" s="4"/>
      <c r="U588" t="s">
        <v>295</v>
      </c>
      <c r="Z588" s="1059"/>
      <c r="AA588" s="1060"/>
      <c r="AB588" s="1060"/>
      <c r="AC588" s="1060"/>
      <c r="AD588" s="1060"/>
      <c r="AE588" s="1060"/>
      <c r="AF588" s="1060"/>
      <c r="AG588" s="1060"/>
      <c r="AH588" s="1060"/>
      <c r="AI588" s="1060"/>
      <c r="AJ588" s="1060"/>
      <c r="AK588" s="106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153</v>
      </c>
      <c r="G589" s="1059"/>
      <c r="H589" s="1060"/>
      <c r="I589" s="1060"/>
      <c r="J589" s="1060"/>
      <c r="K589" s="1060"/>
      <c r="L589" s="1060"/>
      <c r="M589" s="1060"/>
      <c r="N589" s="1060"/>
      <c r="O589" s="1060"/>
      <c r="P589" s="1060"/>
      <c r="Q589" s="1060"/>
      <c r="R589" s="1060"/>
      <c r="T589" s="4"/>
      <c r="U589" t="s">
        <v>153</v>
      </c>
      <c r="Z589" s="1068"/>
      <c r="AA589" s="1063"/>
      <c r="AB589" s="1063"/>
      <c r="AC589" s="1063"/>
      <c r="AD589" s="1063"/>
      <c r="AE589" s="1063"/>
      <c r="AF589" s="1063"/>
      <c r="AG589" s="1063"/>
      <c r="AH589" s="1063"/>
      <c r="AI589" s="1063"/>
      <c r="AJ589" s="1063"/>
      <c r="AK589" s="106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640</v>
      </c>
      <c r="G590" s="1059"/>
      <c r="H590" s="1060"/>
      <c r="I590" s="1060"/>
      <c r="J590" s="1060"/>
      <c r="K590" s="1060"/>
      <c r="L590" s="1060"/>
      <c r="M590" s="1060"/>
      <c r="N590" s="1060"/>
      <c r="O590" s="1060"/>
      <c r="P590" s="1060"/>
      <c r="Q590" s="1060"/>
      <c r="R590" s="1060"/>
      <c r="T590" s="4"/>
      <c r="U590" t="s">
        <v>640</v>
      </c>
      <c r="Z590" s="1068"/>
      <c r="AA590" s="1063"/>
      <c r="AB590" s="1063"/>
      <c r="AC590" s="1063"/>
      <c r="AD590" s="1063"/>
      <c r="AE590" s="1063"/>
      <c r="AF590" s="1063"/>
      <c r="AG590" s="1063"/>
      <c r="AH590" s="1063"/>
      <c r="AI590" s="1063"/>
      <c r="AJ590" s="1063"/>
      <c r="AK590" s="106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68</v>
      </c>
      <c r="G591" s="1084"/>
      <c r="H591" s="1063"/>
      <c r="I591" s="1063"/>
      <c r="J591" s="1063"/>
      <c r="K591" s="1063"/>
      <c r="L591" s="1063"/>
      <c r="O591" s="42" t="s">
        <v>305</v>
      </c>
      <c r="P591" s="1112"/>
      <c r="Q591" s="1063"/>
      <c r="R591" s="1063"/>
      <c r="T591" s="4"/>
      <c r="U591" t="s">
        <v>68</v>
      </c>
      <c r="Z591" s="1084"/>
      <c r="AA591" s="1063"/>
      <c r="AB591" s="1063"/>
      <c r="AC591" s="1063"/>
      <c r="AD591" s="1063"/>
      <c r="AE591" s="1063"/>
      <c r="AH591" s="42" t="s">
        <v>305</v>
      </c>
      <c r="AI591" s="1112"/>
      <c r="AJ591" s="1063"/>
      <c r="AK591" s="1063"/>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641</v>
      </c>
      <c r="H592" s="1059"/>
      <c r="I592" s="1060"/>
      <c r="J592" s="1060"/>
      <c r="K592" s="1060"/>
      <c r="L592" s="1060"/>
      <c r="M592" s="1060"/>
      <c r="N592" s="1060"/>
      <c r="O592" s="1060"/>
      <c r="P592" s="1060"/>
      <c r="Q592" s="1060"/>
      <c r="R592" s="1060"/>
      <c r="T592" s="4"/>
      <c r="U592" t="s">
        <v>641</v>
      </c>
      <c r="AA592" s="1059"/>
      <c r="AB592" s="1060"/>
      <c r="AC592" s="1060"/>
      <c r="AD592" s="1060"/>
      <c r="AE592" s="1060"/>
      <c r="AF592" s="1060"/>
      <c r="AG592" s="1060"/>
      <c r="AH592" s="1060"/>
      <c r="AI592" s="1060"/>
      <c r="AJ592" s="1060"/>
      <c r="AK592" s="106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642</v>
      </c>
      <c r="N593" s="1207" t="s">
        <v>14</v>
      </c>
      <c r="O593" s="1063"/>
      <c r="T593" s="4"/>
      <c r="U593" t="s">
        <v>642</v>
      </c>
      <c r="AG593" s="1207" t="s">
        <v>14</v>
      </c>
      <c r="AH593" s="106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632</v>
      </c>
      <c r="B595" t="s">
        <v>639</v>
      </c>
      <c r="G595" s="1127">
        <f>C563</f>
        <v>0</v>
      </c>
      <c r="H595" s="1093"/>
      <c r="I595" s="1093"/>
      <c r="J595" s="1093"/>
      <c r="K595" s="1093"/>
      <c r="L595" s="1093"/>
      <c r="M595" s="1093"/>
      <c r="N595" s="1093"/>
      <c r="O595" s="1093"/>
      <c r="P595" s="1093"/>
      <c r="Q595" s="1093"/>
      <c r="R595" s="1093"/>
      <c r="T595" s="61" t="s">
        <v>633</v>
      </c>
      <c r="U595" t="s">
        <v>639</v>
      </c>
      <c r="Z595" s="1127">
        <f>C564</f>
        <v>0</v>
      </c>
      <c r="AA595" s="1093"/>
      <c r="AB595" s="1093"/>
      <c r="AC595" s="1093"/>
      <c r="AD595" s="1093"/>
      <c r="AE595" s="1093"/>
      <c r="AF595" s="1093"/>
      <c r="AG595" s="1093"/>
      <c r="AH595" s="1093"/>
      <c r="AI595" s="1093"/>
      <c r="AJ595" s="1093"/>
      <c r="AK595" s="109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295</v>
      </c>
      <c r="G596" s="1059"/>
      <c r="H596" s="1060"/>
      <c r="I596" s="1060"/>
      <c r="J596" s="1060"/>
      <c r="K596" s="1060"/>
      <c r="L596" s="1060"/>
      <c r="M596" s="1060"/>
      <c r="N596" s="1060"/>
      <c r="O596" s="1060"/>
      <c r="P596" s="1060"/>
      <c r="Q596" s="1060"/>
      <c r="R596" s="1060"/>
      <c r="T596" s="4"/>
      <c r="U596" t="s">
        <v>295</v>
      </c>
      <c r="Z596" s="1059"/>
      <c r="AA596" s="1060"/>
      <c r="AB596" s="1060"/>
      <c r="AC596" s="1060"/>
      <c r="AD596" s="1060"/>
      <c r="AE596" s="1060"/>
      <c r="AF596" s="1060"/>
      <c r="AG596" s="1060"/>
      <c r="AH596" s="1060"/>
      <c r="AI596" s="1060"/>
      <c r="AJ596" s="1060"/>
      <c r="AK596" s="106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153</v>
      </c>
      <c r="G597" s="1059"/>
      <c r="H597" s="1060"/>
      <c r="I597" s="1060"/>
      <c r="J597" s="1060"/>
      <c r="K597" s="1060"/>
      <c r="L597" s="1060"/>
      <c r="M597" s="1060"/>
      <c r="N597" s="1060"/>
      <c r="O597" s="1060"/>
      <c r="P597" s="1060"/>
      <c r="Q597" s="1060"/>
      <c r="R597" s="1060"/>
      <c r="T597" s="4"/>
      <c r="U597" t="s">
        <v>153</v>
      </c>
      <c r="Z597" s="1068"/>
      <c r="AA597" s="1063"/>
      <c r="AB597" s="1063"/>
      <c r="AC597" s="1063"/>
      <c r="AD597" s="1063"/>
      <c r="AE597" s="1063"/>
      <c r="AF597" s="1063"/>
      <c r="AG597" s="1063"/>
      <c r="AH597" s="1063"/>
      <c r="AI597" s="1063"/>
      <c r="AJ597" s="1063"/>
      <c r="AK597" s="1063"/>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643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640</v>
      </c>
      <c r="G598" s="1059"/>
      <c r="H598" s="1060"/>
      <c r="I598" s="1060"/>
      <c r="J598" s="1060"/>
      <c r="K598" s="1060"/>
      <c r="L598" s="1060"/>
      <c r="M598" s="1060"/>
      <c r="N598" s="1060"/>
      <c r="O598" s="1060"/>
      <c r="P598" s="1060"/>
      <c r="Q598" s="1060"/>
      <c r="R598" s="1060"/>
      <c r="T598" s="4"/>
      <c r="U598" t="s">
        <v>640</v>
      </c>
      <c r="Z598" s="1068"/>
      <c r="AA598" s="1063"/>
      <c r="AB598" s="1063"/>
      <c r="AC598" s="1063"/>
      <c r="AD598" s="1063"/>
      <c r="AE598" s="1063"/>
      <c r="AF598" s="1063"/>
      <c r="AG598" s="1063"/>
      <c r="AH598" s="1063"/>
      <c r="AI598" s="1063"/>
      <c r="AJ598" s="1063"/>
      <c r="AK598" s="1063"/>
      <c r="AM598" s="41"/>
      <c r="AN598" s="41"/>
      <c r="AO598" s="41"/>
      <c r="AP598" s="41"/>
      <c r="AQ598" s="41"/>
      <c r="AR598" s="41"/>
      <c r="AS598" s="41"/>
      <c r="AT598" s="41"/>
      <c r="AU598" s="41"/>
      <c r="AV598" s="41"/>
      <c r="AW598" s="41"/>
      <c r="AX598" s="41"/>
      <c r="AY598" s="41"/>
      <c r="AZ598" s="41"/>
      <c r="BN598" s="834" t="s">
        <v>644</v>
      </c>
      <c r="BO598" s="834"/>
      <c r="BP598" s="834"/>
      <c r="BQ598" s="175"/>
      <c r="BR598" s="835"/>
      <c r="BS598" s="834" t="s">
        <v>645</v>
      </c>
      <c r="BT598" s="834"/>
      <c r="BU598" s="834"/>
      <c r="BV598" s="175"/>
      <c r="BW598" s="835"/>
      <c r="BX598" s="835" t="s">
        <v>646</v>
      </c>
      <c r="BY598" s="834"/>
      <c r="BZ598" s="834"/>
      <c r="CA598" s="834"/>
      <c r="CB598" s="834"/>
      <c r="CC598" s="834" t="s">
        <v>647</v>
      </c>
      <c r="CD598" s="834"/>
      <c r="CE598" s="834"/>
      <c r="CF598" s="834"/>
      <c r="CG598" s="834"/>
      <c r="CH598" s="834" t="s">
        <v>648</v>
      </c>
      <c r="CI598" s="834"/>
      <c r="CJ598" s="834"/>
      <c r="CK598" s="834"/>
      <c r="CL598" s="834"/>
      <c r="CM598" s="834" t="s">
        <v>649</v>
      </c>
      <c r="CN598" s="834"/>
      <c r="CO598" s="834"/>
      <c r="CP598" s="175"/>
      <c r="CQ598" s="835"/>
      <c r="CS598" s="41" t="s">
        <v>650</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68</v>
      </c>
      <c r="G599" s="1084"/>
      <c r="H599" s="1063"/>
      <c r="I599" s="1063"/>
      <c r="J599" s="1063"/>
      <c r="K599" s="1063"/>
      <c r="L599" s="1063"/>
      <c r="O599" s="42" t="s">
        <v>305</v>
      </c>
      <c r="P599" s="1112"/>
      <c r="Q599" s="1063"/>
      <c r="R599" s="1063"/>
      <c r="T599" s="4"/>
      <c r="U599" t="s">
        <v>68</v>
      </c>
      <c r="Z599" s="1084"/>
      <c r="AA599" s="1063"/>
      <c r="AB599" s="1063"/>
      <c r="AC599" s="1063"/>
      <c r="AD599" s="1063"/>
      <c r="AE599" s="1063"/>
      <c r="AH599" s="42" t="s">
        <v>305</v>
      </c>
      <c r="AI599" s="1112"/>
      <c r="AJ599" s="1063"/>
      <c r="AK599" s="1063"/>
      <c r="AZ599" s="5" t="s">
        <v>651</v>
      </c>
      <c r="BA599" s="41"/>
      <c r="BB599" s="41"/>
      <c r="BC599" s="41"/>
      <c r="BD599" s="41"/>
      <c r="BE599" s="212" t="s">
        <v>652</v>
      </c>
      <c r="BF599" s="213"/>
      <c r="BG599" s="1065"/>
      <c r="BH599" s="974"/>
      <c r="BI599" s="212" t="s">
        <v>653</v>
      </c>
      <c r="BJ599" s="213"/>
      <c r="BK599" s="1065"/>
      <c r="BL599" s="974"/>
      <c r="BN599" s="1065">
        <f t="shared" ref="BN599:BN633" si="1">IF(B703="SRO/Studio",G703,0)</f>
        <v>5</v>
      </c>
      <c r="BO599" s="973"/>
      <c r="BP599" s="973"/>
      <c r="BQ599" s="973"/>
      <c r="BR599" s="974"/>
      <c r="BS599" s="1065">
        <f t="shared" ref="BS599:BS633" si="2">IF(B703="1 Bedroom",G703,0)</f>
        <v>0</v>
      </c>
      <c r="BT599" s="973"/>
      <c r="BU599" s="973"/>
      <c r="BV599" s="973"/>
      <c r="BW599" s="974"/>
      <c r="BX599" s="1065">
        <f t="shared" ref="BX599:BX633" si="3">IF(B703="2 Bedrooms",G703,0)</f>
        <v>0</v>
      </c>
      <c r="BY599" s="973"/>
      <c r="BZ599" s="973"/>
      <c r="CA599" s="973"/>
      <c r="CB599" s="974"/>
      <c r="CC599" s="1065">
        <f t="shared" ref="CC599:CC633" si="4">IF(B703="3 Bedrooms",G703,0)</f>
        <v>0</v>
      </c>
      <c r="CD599" s="973"/>
      <c r="CE599" s="973"/>
      <c r="CF599" s="973"/>
      <c r="CG599" s="974"/>
      <c r="CH599" s="1065">
        <f t="shared" ref="CH599:CH633" si="5">IF(B703="4 Bedrooms",G703,0)</f>
        <v>0</v>
      </c>
      <c r="CI599" s="973"/>
      <c r="CJ599" s="973"/>
      <c r="CK599" s="973"/>
      <c r="CL599" s="974"/>
      <c r="CM599" s="1194">
        <f t="shared" ref="CM599:CM633" si="6">IF(B703="5 Bedrooms",G703,0)</f>
        <v>0</v>
      </c>
      <c r="CN599" s="1093"/>
      <c r="CO599" s="1093"/>
      <c r="CP599" s="1093"/>
      <c r="CQ599" s="1094"/>
      <c r="CS599" s="834" t="s">
        <v>644</v>
      </c>
      <c r="CT599" s="834"/>
      <c r="CU599" s="834"/>
      <c r="CV599" s="834"/>
      <c r="CW599" s="834"/>
      <c r="CX599" s="834" t="s">
        <v>645</v>
      </c>
      <c r="CY599" s="834"/>
      <c r="CZ599" s="175"/>
      <c r="DA599" s="176"/>
      <c r="DB599" s="835"/>
      <c r="DC599" s="834" t="s">
        <v>646</v>
      </c>
      <c r="DD599" s="834"/>
      <c r="DE599" s="834"/>
      <c r="DF599" s="834"/>
      <c r="DG599" s="834"/>
      <c r="DH599" s="834" t="s">
        <v>647</v>
      </c>
      <c r="DI599" s="834"/>
      <c r="DJ599" s="834"/>
      <c r="DK599" s="834"/>
      <c r="DL599" s="834"/>
      <c r="DM599" s="834" t="s">
        <v>654</v>
      </c>
      <c r="DN599" s="834"/>
      <c r="DO599" s="834"/>
      <c r="DP599" s="834"/>
      <c r="DQ599" s="834"/>
      <c r="DR599" s="834" t="s">
        <v>655</v>
      </c>
      <c r="DS599" s="834"/>
      <c r="DT599" s="834"/>
      <c r="DU599" s="834"/>
      <c r="DV599" s="834"/>
    </row>
    <row r="600" spans="1:126" s="5" customFormat="1" ht="12.95" customHeight="1">
      <c r="A600" s="4"/>
      <c r="B600" t="s">
        <v>641</v>
      </c>
      <c r="H600" s="1059"/>
      <c r="I600" s="1060"/>
      <c r="J600" s="1060"/>
      <c r="K600" s="1060"/>
      <c r="L600" s="1060"/>
      <c r="M600" s="1060"/>
      <c r="N600" s="1060"/>
      <c r="O600" s="1060"/>
      <c r="P600" s="1060"/>
      <c r="Q600" s="1060"/>
      <c r="R600" s="1060"/>
      <c r="T600" s="4"/>
      <c r="U600" t="s">
        <v>641</v>
      </c>
      <c r="AA600" s="1059"/>
      <c r="AB600" s="1060"/>
      <c r="AC600" s="1060"/>
      <c r="AD600" s="1060"/>
      <c r="AE600" s="1060"/>
      <c r="AF600" s="1060"/>
      <c r="AG600" s="1060"/>
      <c r="AH600" s="1060"/>
      <c r="AI600" s="1060"/>
      <c r="AJ600" s="1060"/>
      <c r="AK600" s="1060"/>
      <c r="AZ600" s="5" t="s">
        <v>645</v>
      </c>
      <c r="BA600" s="41"/>
      <c r="BB600" s="41"/>
      <c r="BC600" s="41"/>
      <c r="BD600" s="41"/>
      <c r="BE600" s="1076">
        <f t="shared" ref="BE600:BE634" si="7">IF(AND(AH703&lt;=0.5,AH703&gt;=0.36),1,0)</f>
        <v>0</v>
      </c>
      <c r="BF600" s="974"/>
      <c r="BG600" s="1065">
        <f t="shared" ref="BG600:BG634" si="8">IF(BE600=1,G703,0)</f>
        <v>0</v>
      </c>
      <c r="BH600" s="974"/>
      <c r="BI600" s="1076">
        <f t="shared" ref="BI600:BI634" si="9">IF(AND(AH703&lt;=0.35,AH703&gt;0),1,0)</f>
        <v>1</v>
      </c>
      <c r="BJ600" s="974"/>
      <c r="BK600" s="1065">
        <f t="shared" ref="BK600:BK634" si="10">IF(BI600=1,G703,0)</f>
        <v>5</v>
      </c>
      <c r="BL600" s="974"/>
      <c r="BN600" s="1065">
        <f t="shared" si="1"/>
        <v>8</v>
      </c>
      <c r="BO600" s="973"/>
      <c r="BP600" s="973"/>
      <c r="BQ600" s="973"/>
      <c r="BR600" s="974"/>
      <c r="BS600" s="1065">
        <f t="shared" si="2"/>
        <v>0</v>
      </c>
      <c r="BT600" s="973"/>
      <c r="BU600" s="973"/>
      <c r="BV600" s="973"/>
      <c r="BW600" s="974"/>
      <c r="BX600" s="1065">
        <f t="shared" si="3"/>
        <v>0</v>
      </c>
      <c r="BY600" s="973"/>
      <c r="BZ600" s="973"/>
      <c r="CA600" s="973"/>
      <c r="CB600" s="974"/>
      <c r="CC600" s="1065">
        <f t="shared" si="4"/>
        <v>0</v>
      </c>
      <c r="CD600" s="973"/>
      <c r="CE600" s="973"/>
      <c r="CF600" s="973"/>
      <c r="CG600" s="974"/>
      <c r="CH600" s="1065">
        <f t="shared" si="5"/>
        <v>0</v>
      </c>
      <c r="CI600" s="973"/>
      <c r="CJ600" s="973"/>
      <c r="CK600" s="973"/>
      <c r="CL600" s="974"/>
      <c r="CM600" s="1194">
        <f t="shared" si="6"/>
        <v>0</v>
      </c>
      <c r="CN600" s="1093"/>
      <c r="CO600" s="1093"/>
      <c r="CP600" s="1093"/>
      <c r="CQ600" s="1094"/>
      <c r="CS600" s="1067">
        <f t="shared" ref="CS600:CS634" si="11">IF(AND(B703="SRO/Studio",AH703&lt;=0.3),G703,0)</f>
        <v>5</v>
      </c>
      <c r="CT600" s="973"/>
      <c r="CU600" s="973"/>
      <c r="CV600" s="973"/>
      <c r="CW600" s="974"/>
      <c r="CX600" s="1067">
        <f t="shared" ref="CX600:CX634" si="12">IF(AND(B703="1 Bedroom",AH703&lt;=0.3),G703,0)</f>
        <v>0</v>
      </c>
      <c r="CY600" s="973"/>
      <c r="CZ600" s="973"/>
      <c r="DA600" s="973"/>
      <c r="DB600" s="974"/>
      <c r="DC600" s="1067">
        <f t="shared" ref="DC600:DC634" si="13">IF(AND(B703="2 Bedrooms",AH703&lt;=0.3),G703,0)</f>
        <v>0</v>
      </c>
      <c r="DD600" s="973"/>
      <c r="DE600" s="973"/>
      <c r="DF600" s="973"/>
      <c r="DG600" s="974"/>
      <c r="DH600" s="1067">
        <f t="shared" ref="DH600:DH634" si="14">IF(AND(B703="3 Bedrooms",AH703&lt;=0.3),G703,0)</f>
        <v>0</v>
      </c>
      <c r="DI600" s="973"/>
      <c r="DJ600" s="973"/>
      <c r="DK600" s="973"/>
      <c r="DL600" s="974"/>
      <c r="DM600" s="1067">
        <f t="shared" ref="DM600:DM634" si="15">IF(AND(B703="4 Bedrooms",AH703&lt;=0.3),G703,0)</f>
        <v>0</v>
      </c>
      <c r="DN600" s="973"/>
      <c r="DO600" s="973"/>
      <c r="DP600" s="973"/>
      <c r="DQ600" s="974"/>
      <c r="DR600" s="1067">
        <f t="shared" ref="DR600:DR634" si="16">IF(AND(B703="5 Bedrooms",AH703&lt;=0.3),G703,0)</f>
        <v>0</v>
      </c>
      <c r="DS600" s="973"/>
      <c r="DT600" s="973"/>
      <c r="DU600" s="973"/>
      <c r="DV600" s="974"/>
    </row>
    <row r="601" spans="1:126" s="5" customFormat="1" ht="12.95" customHeight="1">
      <c r="A601" s="4"/>
      <c r="B601" t="s">
        <v>642</v>
      </c>
      <c r="N601" s="1207" t="s">
        <v>14</v>
      </c>
      <c r="O601" s="1063"/>
      <c r="T601" s="4"/>
      <c r="U601" t="s">
        <v>642</v>
      </c>
      <c r="AG601" s="1207" t="s">
        <v>14</v>
      </c>
      <c r="AH601" s="1063"/>
      <c r="AZ601" s="5" t="s">
        <v>646</v>
      </c>
      <c r="BA601" s="41"/>
      <c r="BB601" s="41"/>
      <c r="BC601" s="41"/>
      <c r="BD601" s="41"/>
      <c r="BE601" s="1076">
        <f t="shared" si="7"/>
        <v>1</v>
      </c>
      <c r="BF601" s="974"/>
      <c r="BG601" s="1065">
        <f t="shared" si="8"/>
        <v>8</v>
      </c>
      <c r="BH601" s="974"/>
      <c r="BI601" s="1076">
        <f t="shared" si="9"/>
        <v>0</v>
      </c>
      <c r="BJ601" s="974"/>
      <c r="BK601" s="1065">
        <f t="shared" si="10"/>
        <v>0</v>
      </c>
      <c r="BL601" s="974"/>
      <c r="BN601" s="1065">
        <f t="shared" si="1"/>
        <v>13</v>
      </c>
      <c r="BO601" s="973"/>
      <c r="BP601" s="973"/>
      <c r="BQ601" s="973"/>
      <c r="BR601" s="974"/>
      <c r="BS601" s="1065">
        <f t="shared" si="2"/>
        <v>0</v>
      </c>
      <c r="BT601" s="973"/>
      <c r="BU601" s="973"/>
      <c r="BV601" s="973"/>
      <c r="BW601" s="974"/>
      <c r="BX601" s="1065">
        <f t="shared" si="3"/>
        <v>0</v>
      </c>
      <c r="BY601" s="973"/>
      <c r="BZ601" s="973"/>
      <c r="CA601" s="973"/>
      <c r="CB601" s="974"/>
      <c r="CC601" s="1065">
        <f t="shared" si="4"/>
        <v>0</v>
      </c>
      <c r="CD601" s="973"/>
      <c r="CE601" s="973"/>
      <c r="CF601" s="973"/>
      <c r="CG601" s="974"/>
      <c r="CH601" s="1065">
        <f t="shared" si="5"/>
        <v>0</v>
      </c>
      <c r="CI601" s="973"/>
      <c r="CJ601" s="973"/>
      <c r="CK601" s="973"/>
      <c r="CL601" s="974"/>
      <c r="CM601" s="1194">
        <f t="shared" si="6"/>
        <v>0</v>
      </c>
      <c r="CN601" s="1093"/>
      <c r="CO601" s="1093"/>
      <c r="CP601" s="1093"/>
      <c r="CQ601" s="1094"/>
      <c r="CS601" s="1067">
        <f t="shared" si="11"/>
        <v>0</v>
      </c>
      <c r="CT601" s="973"/>
      <c r="CU601" s="973"/>
      <c r="CV601" s="973"/>
      <c r="CW601" s="974"/>
      <c r="CX601" s="1067">
        <f t="shared" si="12"/>
        <v>0</v>
      </c>
      <c r="CY601" s="973"/>
      <c r="CZ601" s="973"/>
      <c r="DA601" s="973"/>
      <c r="DB601" s="974"/>
      <c r="DC601" s="1067">
        <f t="shared" si="13"/>
        <v>0</v>
      </c>
      <c r="DD601" s="973"/>
      <c r="DE601" s="973"/>
      <c r="DF601" s="973"/>
      <c r="DG601" s="974"/>
      <c r="DH601" s="1067">
        <f t="shared" si="14"/>
        <v>0</v>
      </c>
      <c r="DI601" s="973"/>
      <c r="DJ601" s="973"/>
      <c r="DK601" s="973"/>
      <c r="DL601" s="974"/>
      <c r="DM601" s="1067">
        <f t="shared" si="15"/>
        <v>0</v>
      </c>
      <c r="DN601" s="973"/>
      <c r="DO601" s="973"/>
      <c r="DP601" s="973"/>
      <c r="DQ601" s="974"/>
      <c r="DR601" s="1067">
        <f t="shared" si="16"/>
        <v>0</v>
      </c>
      <c r="DS601" s="973"/>
      <c r="DT601" s="973"/>
      <c r="DU601" s="973"/>
      <c r="DV601" s="974"/>
    </row>
    <row r="602" spans="1:126" ht="12.95" customHeight="1">
      <c r="AZ602" s="5" t="s">
        <v>647</v>
      </c>
      <c r="BA602" s="41"/>
      <c r="BB602" s="41"/>
      <c r="BC602" s="41"/>
      <c r="BD602" s="41"/>
      <c r="BE602" s="1076">
        <f t="shared" si="7"/>
        <v>1</v>
      </c>
      <c r="BF602" s="974"/>
      <c r="BG602" s="1065">
        <f t="shared" si="8"/>
        <v>13</v>
      </c>
      <c r="BH602" s="974"/>
      <c r="BI602" s="1076">
        <f t="shared" si="9"/>
        <v>0</v>
      </c>
      <c r="BJ602" s="974"/>
      <c r="BK602" s="1065">
        <f t="shared" si="10"/>
        <v>0</v>
      </c>
      <c r="BL602" s="974"/>
      <c r="BN602" s="1065">
        <f t="shared" si="1"/>
        <v>12</v>
      </c>
      <c r="BO602" s="973"/>
      <c r="BP602" s="973"/>
      <c r="BQ602" s="973"/>
      <c r="BR602" s="974"/>
      <c r="BS602" s="1065">
        <f t="shared" si="2"/>
        <v>0</v>
      </c>
      <c r="BT602" s="973"/>
      <c r="BU602" s="973"/>
      <c r="BV602" s="973"/>
      <c r="BW602" s="974"/>
      <c r="BX602" s="1065">
        <f t="shared" si="3"/>
        <v>0</v>
      </c>
      <c r="BY602" s="973"/>
      <c r="BZ602" s="973"/>
      <c r="CA602" s="973"/>
      <c r="CB602" s="974"/>
      <c r="CC602" s="1065">
        <f t="shared" si="4"/>
        <v>0</v>
      </c>
      <c r="CD602" s="973"/>
      <c r="CE602" s="973"/>
      <c r="CF602" s="973"/>
      <c r="CG602" s="974"/>
      <c r="CH602" s="1065">
        <f t="shared" si="5"/>
        <v>0</v>
      </c>
      <c r="CI602" s="973"/>
      <c r="CJ602" s="973"/>
      <c r="CK602" s="973"/>
      <c r="CL602" s="974"/>
      <c r="CM602" s="1194">
        <f t="shared" si="6"/>
        <v>0</v>
      </c>
      <c r="CN602" s="1093"/>
      <c r="CO602" s="1093"/>
      <c r="CP602" s="1093"/>
      <c r="CQ602" s="1094"/>
      <c r="CS602" s="1067">
        <f t="shared" si="11"/>
        <v>0</v>
      </c>
      <c r="CT602" s="973"/>
      <c r="CU602" s="973"/>
      <c r="CV602" s="973"/>
      <c r="CW602" s="974"/>
      <c r="CX602" s="1067">
        <f t="shared" si="12"/>
        <v>0</v>
      </c>
      <c r="CY602" s="973"/>
      <c r="CZ602" s="973"/>
      <c r="DA602" s="973"/>
      <c r="DB602" s="974"/>
      <c r="DC602" s="1067">
        <f t="shared" si="13"/>
        <v>0</v>
      </c>
      <c r="DD602" s="973"/>
      <c r="DE602" s="973"/>
      <c r="DF602" s="973"/>
      <c r="DG602" s="974"/>
      <c r="DH602" s="1067">
        <f t="shared" si="14"/>
        <v>0</v>
      </c>
      <c r="DI602" s="973"/>
      <c r="DJ602" s="973"/>
      <c r="DK602" s="973"/>
      <c r="DL602" s="974"/>
      <c r="DM602" s="1067">
        <f t="shared" si="15"/>
        <v>0</v>
      </c>
      <c r="DN602" s="973"/>
      <c r="DO602" s="973"/>
      <c r="DP602" s="973"/>
      <c r="DQ602" s="974"/>
      <c r="DR602" s="1067">
        <f t="shared" si="16"/>
        <v>0</v>
      </c>
      <c r="DS602" s="973"/>
      <c r="DT602" s="973"/>
      <c r="DU602" s="973"/>
      <c r="DV602" s="974"/>
    </row>
    <row r="603" spans="1:126" ht="12.95" customHeight="1">
      <c r="A603" s="61" t="s">
        <v>634</v>
      </c>
      <c r="B603" t="s">
        <v>639</v>
      </c>
      <c r="G603" s="1127">
        <f>C565</f>
        <v>0</v>
      </c>
      <c r="H603" s="1093"/>
      <c r="I603" s="1093"/>
      <c r="J603" s="1093"/>
      <c r="K603" s="1093"/>
      <c r="L603" s="1093"/>
      <c r="M603" s="1093"/>
      <c r="N603" s="1093"/>
      <c r="O603" s="1093"/>
      <c r="P603" s="1093"/>
      <c r="Q603" s="1093"/>
      <c r="R603" s="1093"/>
      <c r="T603" s="61" t="s">
        <v>635</v>
      </c>
      <c r="U603" t="s">
        <v>639</v>
      </c>
      <c r="Z603" s="1127">
        <f>C566</f>
        <v>0</v>
      </c>
      <c r="AA603" s="1093"/>
      <c r="AB603" s="1093"/>
      <c r="AC603" s="1093"/>
      <c r="AD603" s="1093"/>
      <c r="AE603" s="1093"/>
      <c r="AF603" s="1093"/>
      <c r="AG603" s="1093"/>
      <c r="AH603" s="1093"/>
      <c r="AI603" s="1093"/>
      <c r="AJ603" s="1093"/>
      <c r="AK603" s="1093"/>
      <c r="AZ603" s="5" t="s">
        <v>648</v>
      </c>
      <c r="BA603" s="41"/>
      <c r="BB603" s="41"/>
      <c r="BC603" s="41"/>
      <c r="BD603" s="41"/>
      <c r="BE603" s="1076">
        <f t="shared" si="7"/>
        <v>0</v>
      </c>
      <c r="BF603" s="974"/>
      <c r="BG603" s="1065">
        <f t="shared" si="8"/>
        <v>0</v>
      </c>
      <c r="BH603" s="974"/>
      <c r="BI603" s="1076">
        <f t="shared" si="9"/>
        <v>0</v>
      </c>
      <c r="BJ603" s="974"/>
      <c r="BK603" s="1065">
        <f t="shared" si="10"/>
        <v>0</v>
      </c>
      <c r="BL603" s="974"/>
      <c r="BN603" s="1065">
        <f t="shared" si="1"/>
        <v>0</v>
      </c>
      <c r="BO603" s="973"/>
      <c r="BP603" s="973"/>
      <c r="BQ603" s="973"/>
      <c r="BR603" s="974"/>
      <c r="BS603" s="1065">
        <f t="shared" si="2"/>
        <v>0</v>
      </c>
      <c r="BT603" s="973"/>
      <c r="BU603" s="973"/>
      <c r="BV603" s="973"/>
      <c r="BW603" s="974"/>
      <c r="BX603" s="1065">
        <f t="shared" si="3"/>
        <v>0</v>
      </c>
      <c r="BY603" s="973"/>
      <c r="BZ603" s="973"/>
      <c r="CA603" s="973"/>
      <c r="CB603" s="974"/>
      <c r="CC603" s="1065">
        <f t="shared" si="4"/>
        <v>0</v>
      </c>
      <c r="CD603" s="973"/>
      <c r="CE603" s="973"/>
      <c r="CF603" s="973"/>
      <c r="CG603" s="974"/>
      <c r="CH603" s="1065">
        <f t="shared" si="5"/>
        <v>0</v>
      </c>
      <c r="CI603" s="973"/>
      <c r="CJ603" s="973"/>
      <c r="CK603" s="973"/>
      <c r="CL603" s="974"/>
      <c r="CM603" s="1194">
        <f t="shared" si="6"/>
        <v>0</v>
      </c>
      <c r="CN603" s="1093"/>
      <c r="CO603" s="1093"/>
      <c r="CP603" s="1093"/>
      <c r="CQ603" s="1094"/>
      <c r="CS603" s="1067">
        <f t="shared" si="11"/>
        <v>0</v>
      </c>
      <c r="CT603" s="973"/>
      <c r="CU603" s="973"/>
      <c r="CV603" s="973"/>
      <c r="CW603" s="974"/>
      <c r="CX603" s="1067">
        <f t="shared" si="12"/>
        <v>0</v>
      </c>
      <c r="CY603" s="973"/>
      <c r="CZ603" s="973"/>
      <c r="DA603" s="973"/>
      <c r="DB603" s="974"/>
      <c r="DC603" s="1067">
        <f t="shared" si="13"/>
        <v>0</v>
      </c>
      <c r="DD603" s="973"/>
      <c r="DE603" s="973"/>
      <c r="DF603" s="973"/>
      <c r="DG603" s="974"/>
      <c r="DH603" s="1067">
        <f t="shared" si="14"/>
        <v>0</v>
      </c>
      <c r="DI603" s="973"/>
      <c r="DJ603" s="973"/>
      <c r="DK603" s="973"/>
      <c r="DL603" s="974"/>
      <c r="DM603" s="1067">
        <f t="shared" si="15"/>
        <v>0</v>
      </c>
      <c r="DN603" s="973"/>
      <c r="DO603" s="973"/>
      <c r="DP603" s="973"/>
      <c r="DQ603" s="974"/>
      <c r="DR603" s="1067">
        <f t="shared" si="16"/>
        <v>0</v>
      </c>
      <c r="DS603" s="973"/>
      <c r="DT603" s="973"/>
      <c r="DU603" s="973"/>
      <c r="DV603" s="974"/>
    </row>
    <row r="604" spans="1:126" ht="12.95" customHeight="1">
      <c r="A604" s="4"/>
      <c r="B604" t="s">
        <v>295</v>
      </c>
      <c r="G604" s="1059"/>
      <c r="H604" s="1060"/>
      <c r="I604" s="1060"/>
      <c r="J604" s="1060"/>
      <c r="K604" s="1060"/>
      <c r="L604" s="1060"/>
      <c r="M604" s="1060"/>
      <c r="N604" s="1060"/>
      <c r="O604" s="1060"/>
      <c r="P604" s="1060"/>
      <c r="Q604" s="1060"/>
      <c r="R604" s="1060"/>
      <c r="T604" s="4"/>
      <c r="U604" t="s">
        <v>295</v>
      </c>
      <c r="Z604" s="1059"/>
      <c r="AA604" s="1060"/>
      <c r="AB604" s="1060"/>
      <c r="AC604" s="1060"/>
      <c r="AD604" s="1060"/>
      <c r="AE604" s="1060"/>
      <c r="AF604" s="1060"/>
      <c r="AG604" s="1060"/>
      <c r="AH604" s="1060"/>
      <c r="AI604" s="1060"/>
      <c r="AJ604" s="1060"/>
      <c r="AK604" s="1060"/>
      <c r="AZ604" s="5" t="s">
        <v>655</v>
      </c>
      <c r="BA604" s="41"/>
      <c r="BB604" s="41"/>
      <c r="BC604" s="41"/>
      <c r="BD604" s="41"/>
      <c r="BE604" s="1076">
        <f t="shared" si="7"/>
        <v>0</v>
      </c>
      <c r="BF604" s="974"/>
      <c r="BG604" s="1065">
        <f t="shared" si="8"/>
        <v>0</v>
      </c>
      <c r="BH604" s="974"/>
      <c r="BI604" s="1076">
        <f t="shared" si="9"/>
        <v>0</v>
      </c>
      <c r="BJ604" s="974"/>
      <c r="BK604" s="1065">
        <f t="shared" si="10"/>
        <v>0</v>
      </c>
      <c r="BL604" s="974"/>
      <c r="BN604" s="1065">
        <f t="shared" si="1"/>
        <v>0</v>
      </c>
      <c r="BO604" s="973"/>
      <c r="BP604" s="973"/>
      <c r="BQ604" s="973"/>
      <c r="BR604" s="974"/>
      <c r="BS604" s="1065">
        <f t="shared" si="2"/>
        <v>0</v>
      </c>
      <c r="BT604" s="973"/>
      <c r="BU604" s="973"/>
      <c r="BV604" s="973"/>
      <c r="BW604" s="974"/>
      <c r="BX604" s="1065">
        <f t="shared" si="3"/>
        <v>0</v>
      </c>
      <c r="BY604" s="973"/>
      <c r="BZ604" s="973"/>
      <c r="CA604" s="973"/>
      <c r="CB604" s="974"/>
      <c r="CC604" s="1065">
        <f t="shared" si="4"/>
        <v>0</v>
      </c>
      <c r="CD604" s="973"/>
      <c r="CE604" s="973"/>
      <c r="CF604" s="973"/>
      <c r="CG604" s="974"/>
      <c r="CH604" s="1065">
        <f t="shared" si="5"/>
        <v>0</v>
      </c>
      <c r="CI604" s="973"/>
      <c r="CJ604" s="973"/>
      <c r="CK604" s="973"/>
      <c r="CL604" s="974"/>
      <c r="CM604" s="1194">
        <f t="shared" si="6"/>
        <v>0</v>
      </c>
      <c r="CN604" s="1093"/>
      <c r="CO604" s="1093"/>
      <c r="CP604" s="1093"/>
      <c r="CQ604" s="1094"/>
      <c r="CS604" s="1067">
        <f t="shared" si="11"/>
        <v>0</v>
      </c>
      <c r="CT604" s="973"/>
      <c r="CU604" s="973"/>
      <c r="CV604" s="973"/>
      <c r="CW604" s="974"/>
      <c r="CX604" s="1067">
        <f t="shared" si="12"/>
        <v>0</v>
      </c>
      <c r="CY604" s="973"/>
      <c r="CZ604" s="973"/>
      <c r="DA604" s="973"/>
      <c r="DB604" s="974"/>
      <c r="DC604" s="1067">
        <f t="shared" si="13"/>
        <v>0</v>
      </c>
      <c r="DD604" s="973"/>
      <c r="DE604" s="973"/>
      <c r="DF604" s="973"/>
      <c r="DG604" s="974"/>
      <c r="DH604" s="1067">
        <f t="shared" si="14"/>
        <v>0</v>
      </c>
      <c r="DI604" s="973"/>
      <c r="DJ604" s="973"/>
      <c r="DK604" s="973"/>
      <c r="DL604" s="974"/>
      <c r="DM604" s="1067">
        <f t="shared" si="15"/>
        <v>0</v>
      </c>
      <c r="DN604" s="973"/>
      <c r="DO604" s="973"/>
      <c r="DP604" s="973"/>
      <c r="DQ604" s="974"/>
      <c r="DR604" s="1067">
        <f t="shared" si="16"/>
        <v>0</v>
      </c>
      <c r="DS604" s="973"/>
      <c r="DT604" s="973"/>
      <c r="DU604" s="973"/>
      <c r="DV604" s="974"/>
    </row>
    <row r="605" spans="1:126" ht="12.95" customHeight="1">
      <c r="A605" s="4"/>
      <c r="B605" t="s">
        <v>153</v>
      </c>
      <c r="G605" s="1059"/>
      <c r="H605" s="1060"/>
      <c r="I605" s="1060"/>
      <c r="J605" s="1060"/>
      <c r="K605" s="1060"/>
      <c r="L605" s="1060"/>
      <c r="M605" s="1060"/>
      <c r="N605" s="1060"/>
      <c r="O605" s="1060"/>
      <c r="P605" s="1060"/>
      <c r="Q605" s="1060"/>
      <c r="R605" s="1060"/>
      <c r="T605" s="4"/>
      <c r="U605" t="s">
        <v>153</v>
      </c>
      <c r="Z605" s="1068"/>
      <c r="AA605" s="1063"/>
      <c r="AB605" s="1063"/>
      <c r="AC605" s="1063"/>
      <c r="AD605" s="1063"/>
      <c r="AE605" s="1063"/>
      <c r="AF605" s="1063"/>
      <c r="AG605" s="1063"/>
      <c r="AH605" s="1063"/>
      <c r="AI605" s="1063"/>
      <c r="AJ605" s="1063"/>
      <c r="AK605" s="1063"/>
      <c r="AZ605" s="41"/>
      <c r="BA605" s="41"/>
      <c r="BB605" s="41"/>
      <c r="BC605" s="41"/>
      <c r="BD605" s="41"/>
      <c r="BE605" s="1076">
        <f t="shared" si="7"/>
        <v>0</v>
      </c>
      <c r="BF605" s="974"/>
      <c r="BG605" s="1065">
        <f t="shared" si="8"/>
        <v>0</v>
      </c>
      <c r="BH605" s="974"/>
      <c r="BI605" s="1076">
        <f t="shared" si="9"/>
        <v>0</v>
      </c>
      <c r="BJ605" s="974"/>
      <c r="BK605" s="1065">
        <f t="shared" si="10"/>
        <v>0</v>
      </c>
      <c r="BL605" s="974"/>
      <c r="BN605" s="1065">
        <f t="shared" si="1"/>
        <v>0</v>
      </c>
      <c r="BO605" s="973"/>
      <c r="BP605" s="973"/>
      <c r="BQ605" s="973"/>
      <c r="BR605" s="974"/>
      <c r="BS605" s="1065">
        <f t="shared" si="2"/>
        <v>0</v>
      </c>
      <c r="BT605" s="973"/>
      <c r="BU605" s="973"/>
      <c r="BV605" s="973"/>
      <c r="BW605" s="974"/>
      <c r="BX605" s="1065">
        <f t="shared" si="3"/>
        <v>0</v>
      </c>
      <c r="BY605" s="973"/>
      <c r="BZ605" s="973"/>
      <c r="CA605" s="973"/>
      <c r="CB605" s="974"/>
      <c r="CC605" s="1065">
        <f t="shared" si="4"/>
        <v>0</v>
      </c>
      <c r="CD605" s="973"/>
      <c r="CE605" s="973"/>
      <c r="CF605" s="973"/>
      <c r="CG605" s="974"/>
      <c r="CH605" s="1065">
        <f t="shared" si="5"/>
        <v>0</v>
      </c>
      <c r="CI605" s="973"/>
      <c r="CJ605" s="973"/>
      <c r="CK605" s="973"/>
      <c r="CL605" s="974"/>
      <c r="CM605" s="1194">
        <f t="shared" si="6"/>
        <v>0</v>
      </c>
      <c r="CN605" s="1093"/>
      <c r="CO605" s="1093"/>
      <c r="CP605" s="1093"/>
      <c r="CQ605" s="1094"/>
      <c r="CS605" s="1067">
        <f t="shared" si="11"/>
        <v>0</v>
      </c>
      <c r="CT605" s="973"/>
      <c r="CU605" s="973"/>
      <c r="CV605" s="973"/>
      <c r="CW605" s="974"/>
      <c r="CX605" s="1067">
        <f t="shared" si="12"/>
        <v>0</v>
      </c>
      <c r="CY605" s="973"/>
      <c r="CZ605" s="973"/>
      <c r="DA605" s="973"/>
      <c r="DB605" s="974"/>
      <c r="DC605" s="1067">
        <f t="shared" si="13"/>
        <v>0</v>
      </c>
      <c r="DD605" s="973"/>
      <c r="DE605" s="973"/>
      <c r="DF605" s="973"/>
      <c r="DG605" s="974"/>
      <c r="DH605" s="1067">
        <f t="shared" si="14"/>
        <v>0</v>
      </c>
      <c r="DI605" s="973"/>
      <c r="DJ605" s="973"/>
      <c r="DK605" s="973"/>
      <c r="DL605" s="974"/>
      <c r="DM605" s="1067">
        <f t="shared" si="15"/>
        <v>0</v>
      </c>
      <c r="DN605" s="973"/>
      <c r="DO605" s="973"/>
      <c r="DP605" s="973"/>
      <c r="DQ605" s="974"/>
      <c r="DR605" s="1067">
        <f t="shared" si="16"/>
        <v>0</v>
      </c>
      <c r="DS605" s="973"/>
      <c r="DT605" s="973"/>
      <c r="DU605" s="973"/>
      <c r="DV605" s="974"/>
    </row>
    <row r="606" spans="1:126" ht="12.95" customHeight="1">
      <c r="A606" s="4"/>
      <c r="B606" t="s">
        <v>640</v>
      </c>
      <c r="G606" s="1059"/>
      <c r="H606" s="1060"/>
      <c r="I606" s="1060"/>
      <c r="J606" s="1060"/>
      <c r="K606" s="1060"/>
      <c r="L606" s="1060"/>
      <c r="M606" s="1060"/>
      <c r="N606" s="1060"/>
      <c r="O606" s="1060"/>
      <c r="P606" s="1060"/>
      <c r="Q606" s="1060"/>
      <c r="R606" s="1060"/>
      <c r="T606" s="4"/>
      <c r="U606" t="s">
        <v>640</v>
      </c>
      <c r="Z606" s="1068"/>
      <c r="AA606" s="1063"/>
      <c r="AB606" s="1063"/>
      <c r="AC606" s="1063"/>
      <c r="AD606" s="1063"/>
      <c r="AE606" s="1063"/>
      <c r="AF606" s="1063"/>
      <c r="AG606" s="1063"/>
      <c r="AH606" s="1063"/>
      <c r="AI606" s="1063"/>
      <c r="AJ606" s="1063"/>
      <c r="AK606" s="1063"/>
      <c r="AZ606" s="41"/>
      <c r="BA606" s="41"/>
      <c r="BB606" s="41"/>
      <c r="BC606" s="41"/>
      <c r="BD606" s="41"/>
      <c r="BE606" s="1076">
        <f t="shared" si="7"/>
        <v>0</v>
      </c>
      <c r="BF606" s="974"/>
      <c r="BG606" s="1065">
        <f t="shared" si="8"/>
        <v>0</v>
      </c>
      <c r="BH606" s="974"/>
      <c r="BI606" s="1076">
        <f t="shared" si="9"/>
        <v>0</v>
      </c>
      <c r="BJ606" s="974"/>
      <c r="BK606" s="1065">
        <f t="shared" si="10"/>
        <v>0</v>
      </c>
      <c r="BL606" s="974"/>
      <c r="BN606" s="1065">
        <f t="shared" si="1"/>
        <v>0</v>
      </c>
      <c r="BO606" s="973"/>
      <c r="BP606" s="973"/>
      <c r="BQ606" s="973"/>
      <c r="BR606" s="974"/>
      <c r="BS606" s="1065">
        <f t="shared" si="2"/>
        <v>0</v>
      </c>
      <c r="BT606" s="973"/>
      <c r="BU606" s="973"/>
      <c r="BV606" s="973"/>
      <c r="BW606" s="974"/>
      <c r="BX606" s="1065">
        <f t="shared" si="3"/>
        <v>0</v>
      </c>
      <c r="BY606" s="973"/>
      <c r="BZ606" s="973"/>
      <c r="CA606" s="973"/>
      <c r="CB606" s="974"/>
      <c r="CC606" s="1065">
        <f t="shared" si="4"/>
        <v>0</v>
      </c>
      <c r="CD606" s="973"/>
      <c r="CE606" s="973"/>
      <c r="CF606" s="973"/>
      <c r="CG606" s="974"/>
      <c r="CH606" s="1065">
        <f t="shared" si="5"/>
        <v>0</v>
      </c>
      <c r="CI606" s="973"/>
      <c r="CJ606" s="973"/>
      <c r="CK606" s="973"/>
      <c r="CL606" s="974"/>
      <c r="CM606" s="1194">
        <f t="shared" si="6"/>
        <v>0</v>
      </c>
      <c r="CN606" s="1093"/>
      <c r="CO606" s="1093"/>
      <c r="CP606" s="1093"/>
      <c r="CQ606" s="1094"/>
      <c r="CS606" s="1067">
        <f t="shared" si="11"/>
        <v>0</v>
      </c>
      <c r="CT606" s="973"/>
      <c r="CU606" s="973"/>
      <c r="CV606" s="973"/>
      <c r="CW606" s="974"/>
      <c r="CX606" s="1067">
        <f t="shared" si="12"/>
        <v>0</v>
      </c>
      <c r="CY606" s="973"/>
      <c r="CZ606" s="973"/>
      <c r="DA606" s="973"/>
      <c r="DB606" s="974"/>
      <c r="DC606" s="1067">
        <f t="shared" si="13"/>
        <v>0</v>
      </c>
      <c r="DD606" s="973"/>
      <c r="DE606" s="973"/>
      <c r="DF606" s="973"/>
      <c r="DG606" s="974"/>
      <c r="DH606" s="1067">
        <f t="shared" si="14"/>
        <v>0</v>
      </c>
      <c r="DI606" s="973"/>
      <c r="DJ606" s="973"/>
      <c r="DK606" s="973"/>
      <c r="DL606" s="974"/>
      <c r="DM606" s="1067">
        <f t="shared" si="15"/>
        <v>0</v>
      </c>
      <c r="DN606" s="973"/>
      <c r="DO606" s="973"/>
      <c r="DP606" s="973"/>
      <c r="DQ606" s="974"/>
      <c r="DR606" s="1067">
        <f t="shared" si="16"/>
        <v>0</v>
      </c>
      <c r="DS606" s="973"/>
      <c r="DT606" s="973"/>
      <c r="DU606" s="973"/>
      <c r="DV606" s="974"/>
    </row>
    <row r="607" spans="1:126" ht="12.95" customHeight="1">
      <c r="A607" s="4"/>
      <c r="B607" t="s">
        <v>68</v>
      </c>
      <c r="G607" s="1084"/>
      <c r="H607" s="1063"/>
      <c r="I607" s="1063"/>
      <c r="J607" s="1063"/>
      <c r="K607" s="1063"/>
      <c r="L607" s="1063"/>
      <c r="O607" s="42" t="s">
        <v>305</v>
      </c>
      <c r="P607" s="1112"/>
      <c r="Q607" s="1063"/>
      <c r="R607" s="1063"/>
      <c r="T607" s="4"/>
      <c r="U607" t="s">
        <v>68</v>
      </c>
      <c r="Z607" s="1084"/>
      <c r="AA607" s="1063"/>
      <c r="AB607" s="1063"/>
      <c r="AC607" s="1063"/>
      <c r="AD607" s="1063"/>
      <c r="AE607" s="1063"/>
      <c r="AH607" s="42" t="s">
        <v>305</v>
      </c>
      <c r="AI607" s="1112"/>
      <c r="AJ607" s="1063"/>
      <c r="AK607" s="1063"/>
      <c r="AZ607" s="41"/>
      <c r="BA607" s="41"/>
      <c r="BB607" s="41"/>
      <c r="BC607" s="41"/>
      <c r="BD607" s="41"/>
      <c r="BE607" s="1076">
        <f t="shared" si="7"/>
        <v>0</v>
      </c>
      <c r="BF607" s="974"/>
      <c r="BG607" s="1065">
        <f t="shared" si="8"/>
        <v>0</v>
      </c>
      <c r="BH607" s="974"/>
      <c r="BI607" s="1076">
        <f t="shared" si="9"/>
        <v>0</v>
      </c>
      <c r="BJ607" s="974"/>
      <c r="BK607" s="1065">
        <f t="shared" si="10"/>
        <v>0</v>
      </c>
      <c r="BL607" s="974"/>
      <c r="BN607" s="1065">
        <f t="shared" si="1"/>
        <v>0</v>
      </c>
      <c r="BO607" s="973"/>
      <c r="BP607" s="973"/>
      <c r="BQ607" s="973"/>
      <c r="BR607" s="974"/>
      <c r="BS607" s="1065">
        <f t="shared" si="2"/>
        <v>0</v>
      </c>
      <c r="BT607" s="973"/>
      <c r="BU607" s="973"/>
      <c r="BV607" s="973"/>
      <c r="BW607" s="974"/>
      <c r="BX607" s="1065">
        <f t="shared" si="3"/>
        <v>0</v>
      </c>
      <c r="BY607" s="973"/>
      <c r="BZ607" s="973"/>
      <c r="CA607" s="973"/>
      <c r="CB607" s="974"/>
      <c r="CC607" s="1065">
        <f t="shared" si="4"/>
        <v>0</v>
      </c>
      <c r="CD607" s="973"/>
      <c r="CE607" s="973"/>
      <c r="CF607" s="973"/>
      <c r="CG607" s="974"/>
      <c r="CH607" s="1065">
        <f t="shared" si="5"/>
        <v>0</v>
      </c>
      <c r="CI607" s="973"/>
      <c r="CJ607" s="973"/>
      <c r="CK607" s="973"/>
      <c r="CL607" s="974"/>
      <c r="CM607" s="1194">
        <f t="shared" si="6"/>
        <v>0</v>
      </c>
      <c r="CN607" s="1093"/>
      <c r="CO607" s="1093"/>
      <c r="CP607" s="1093"/>
      <c r="CQ607" s="1094"/>
      <c r="CS607" s="1067">
        <f t="shared" si="11"/>
        <v>0</v>
      </c>
      <c r="CT607" s="973"/>
      <c r="CU607" s="973"/>
      <c r="CV607" s="973"/>
      <c r="CW607" s="974"/>
      <c r="CX607" s="1067">
        <f t="shared" si="12"/>
        <v>0</v>
      </c>
      <c r="CY607" s="973"/>
      <c r="CZ607" s="973"/>
      <c r="DA607" s="973"/>
      <c r="DB607" s="974"/>
      <c r="DC607" s="1067">
        <f t="shared" si="13"/>
        <v>0</v>
      </c>
      <c r="DD607" s="973"/>
      <c r="DE607" s="973"/>
      <c r="DF607" s="973"/>
      <c r="DG607" s="974"/>
      <c r="DH607" s="1067">
        <f t="shared" si="14"/>
        <v>0</v>
      </c>
      <c r="DI607" s="973"/>
      <c r="DJ607" s="973"/>
      <c r="DK607" s="973"/>
      <c r="DL607" s="974"/>
      <c r="DM607" s="1067">
        <f t="shared" si="15"/>
        <v>0</v>
      </c>
      <c r="DN607" s="973"/>
      <c r="DO607" s="973"/>
      <c r="DP607" s="973"/>
      <c r="DQ607" s="974"/>
      <c r="DR607" s="1067">
        <f t="shared" si="16"/>
        <v>0</v>
      </c>
      <c r="DS607" s="973"/>
      <c r="DT607" s="973"/>
      <c r="DU607" s="973"/>
      <c r="DV607" s="974"/>
    </row>
    <row r="608" spans="1:126" s="5" customFormat="1" ht="12.95" customHeight="1">
      <c r="A608" s="4"/>
      <c r="B608" t="s">
        <v>641</v>
      </c>
      <c r="H608" s="1059"/>
      <c r="I608" s="1060"/>
      <c r="J608" s="1060"/>
      <c r="K608" s="1060"/>
      <c r="L608" s="1060"/>
      <c r="M608" s="1060"/>
      <c r="N608" s="1060"/>
      <c r="O608" s="1060"/>
      <c r="P608" s="1060"/>
      <c r="Q608" s="1060"/>
      <c r="R608" s="1060"/>
      <c r="T608" s="4"/>
      <c r="U608" t="s">
        <v>641</v>
      </c>
      <c r="AA608" s="1059"/>
      <c r="AB608" s="1060"/>
      <c r="AC608" s="1060"/>
      <c r="AD608" s="1060"/>
      <c r="AE608" s="1060"/>
      <c r="AF608" s="1060"/>
      <c r="AG608" s="1060"/>
      <c r="AH608" s="1060"/>
      <c r="AI608" s="1060"/>
      <c r="AJ608" s="1060"/>
      <c r="AK608" s="1060"/>
      <c r="AZ608" s="41"/>
      <c r="BA608" s="41"/>
      <c r="BB608" s="41"/>
      <c r="BC608" s="41"/>
      <c r="BD608" s="41"/>
      <c r="BE608" s="1076">
        <f t="shared" si="7"/>
        <v>0</v>
      </c>
      <c r="BF608" s="974"/>
      <c r="BG608" s="1065">
        <f t="shared" si="8"/>
        <v>0</v>
      </c>
      <c r="BH608" s="974"/>
      <c r="BI608" s="1076">
        <f t="shared" si="9"/>
        <v>0</v>
      </c>
      <c r="BJ608" s="974"/>
      <c r="BK608" s="1065">
        <f t="shared" si="10"/>
        <v>0</v>
      </c>
      <c r="BL608" s="974"/>
      <c r="BN608" s="1065">
        <f t="shared" si="1"/>
        <v>0</v>
      </c>
      <c r="BO608" s="973"/>
      <c r="BP608" s="973"/>
      <c r="BQ608" s="973"/>
      <c r="BR608" s="974"/>
      <c r="BS608" s="1065">
        <f t="shared" si="2"/>
        <v>0</v>
      </c>
      <c r="BT608" s="973"/>
      <c r="BU608" s="973"/>
      <c r="BV608" s="973"/>
      <c r="BW608" s="974"/>
      <c r="BX608" s="1065">
        <f t="shared" si="3"/>
        <v>0</v>
      </c>
      <c r="BY608" s="973"/>
      <c r="BZ608" s="973"/>
      <c r="CA608" s="973"/>
      <c r="CB608" s="974"/>
      <c r="CC608" s="1065">
        <f t="shared" si="4"/>
        <v>0</v>
      </c>
      <c r="CD608" s="973"/>
      <c r="CE608" s="973"/>
      <c r="CF608" s="973"/>
      <c r="CG608" s="974"/>
      <c r="CH608" s="1065">
        <f t="shared" si="5"/>
        <v>0</v>
      </c>
      <c r="CI608" s="973"/>
      <c r="CJ608" s="973"/>
      <c r="CK608" s="973"/>
      <c r="CL608" s="974"/>
      <c r="CM608" s="1194">
        <f t="shared" si="6"/>
        <v>0</v>
      </c>
      <c r="CN608" s="1093"/>
      <c r="CO608" s="1093"/>
      <c r="CP608" s="1093"/>
      <c r="CQ608" s="1094"/>
      <c r="CS608" s="1067">
        <f t="shared" si="11"/>
        <v>0</v>
      </c>
      <c r="CT608" s="973"/>
      <c r="CU608" s="973"/>
      <c r="CV608" s="973"/>
      <c r="CW608" s="974"/>
      <c r="CX608" s="1067">
        <f t="shared" si="12"/>
        <v>0</v>
      </c>
      <c r="CY608" s="973"/>
      <c r="CZ608" s="973"/>
      <c r="DA608" s="973"/>
      <c r="DB608" s="974"/>
      <c r="DC608" s="1067">
        <f t="shared" si="13"/>
        <v>0</v>
      </c>
      <c r="DD608" s="973"/>
      <c r="DE608" s="973"/>
      <c r="DF608" s="973"/>
      <c r="DG608" s="974"/>
      <c r="DH608" s="1067">
        <f t="shared" si="14"/>
        <v>0</v>
      </c>
      <c r="DI608" s="973"/>
      <c r="DJ608" s="973"/>
      <c r="DK608" s="973"/>
      <c r="DL608" s="974"/>
      <c r="DM608" s="1067">
        <f t="shared" si="15"/>
        <v>0</v>
      </c>
      <c r="DN608" s="973"/>
      <c r="DO608" s="973"/>
      <c r="DP608" s="973"/>
      <c r="DQ608" s="974"/>
      <c r="DR608" s="1067">
        <f t="shared" si="16"/>
        <v>0</v>
      </c>
      <c r="DS608" s="973"/>
      <c r="DT608" s="973"/>
      <c r="DU608" s="973"/>
      <c r="DV608" s="974"/>
    </row>
    <row r="609" spans="1:126" s="5" customFormat="1" ht="12.95" customHeight="1">
      <c r="A609" s="4"/>
      <c r="B609" t="s">
        <v>642</v>
      </c>
      <c r="N609" s="1207" t="s">
        <v>14</v>
      </c>
      <c r="O609" s="1063"/>
      <c r="T609" s="4"/>
      <c r="U609" t="s">
        <v>642</v>
      </c>
      <c r="AG609" s="1207" t="s">
        <v>14</v>
      </c>
      <c r="AH609" s="1063"/>
      <c r="AZ609" s="41"/>
      <c r="BA609" s="41"/>
      <c r="BB609" s="41"/>
      <c r="BC609" s="41"/>
      <c r="BD609" s="41"/>
      <c r="BE609" s="1076">
        <f t="shared" si="7"/>
        <v>0</v>
      </c>
      <c r="BF609" s="974"/>
      <c r="BG609" s="1065">
        <f t="shared" si="8"/>
        <v>0</v>
      </c>
      <c r="BH609" s="974"/>
      <c r="BI609" s="1076">
        <f t="shared" si="9"/>
        <v>0</v>
      </c>
      <c r="BJ609" s="974"/>
      <c r="BK609" s="1065">
        <f t="shared" si="10"/>
        <v>0</v>
      </c>
      <c r="BL609" s="974"/>
      <c r="BN609" s="1065">
        <f t="shared" si="1"/>
        <v>0</v>
      </c>
      <c r="BO609" s="973"/>
      <c r="BP609" s="973"/>
      <c r="BQ609" s="973"/>
      <c r="BR609" s="974"/>
      <c r="BS609" s="1065">
        <f t="shared" si="2"/>
        <v>0</v>
      </c>
      <c r="BT609" s="973"/>
      <c r="BU609" s="973"/>
      <c r="BV609" s="973"/>
      <c r="BW609" s="974"/>
      <c r="BX609" s="1065">
        <f t="shared" si="3"/>
        <v>0</v>
      </c>
      <c r="BY609" s="973"/>
      <c r="BZ609" s="973"/>
      <c r="CA609" s="973"/>
      <c r="CB609" s="974"/>
      <c r="CC609" s="1065">
        <f t="shared" si="4"/>
        <v>0</v>
      </c>
      <c r="CD609" s="973"/>
      <c r="CE609" s="973"/>
      <c r="CF609" s="973"/>
      <c r="CG609" s="974"/>
      <c r="CH609" s="1065">
        <f t="shared" si="5"/>
        <v>0</v>
      </c>
      <c r="CI609" s="973"/>
      <c r="CJ609" s="973"/>
      <c r="CK609" s="973"/>
      <c r="CL609" s="974"/>
      <c r="CM609" s="1194">
        <f t="shared" si="6"/>
        <v>0</v>
      </c>
      <c r="CN609" s="1093"/>
      <c r="CO609" s="1093"/>
      <c r="CP609" s="1093"/>
      <c r="CQ609" s="1094"/>
      <c r="CS609" s="1067">
        <f t="shared" si="11"/>
        <v>0</v>
      </c>
      <c r="CT609" s="973"/>
      <c r="CU609" s="973"/>
      <c r="CV609" s="973"/>
      <c r="CW609" s="974"/>
      <c r="CX609" s="1067">
        <f t="shared" si="12"/>
        <v>0</v>
      </c>
      <c r="CY609" s="973"/>
      <c r="CZ609" s="973"/>
      <c r="DA609" s="973"/>
      <c r="DB609" s="974"/>
      <c r="DC609" s="1067">
        <f t="shared" si="13"/>
        <v>0</v>
      </c>
      <c r="DD609" s="973"/>
      <c r="DE609" s="973"/>
      <c r="DF609" s="973"/>
      <c r="DG609" s="974"/>
      <c r="DH609" s="1067">
        <f t="shared" si="14"/>
        <v>0</v>
      </c>
      <c r="DI609" s="973"/>
      <c r="DJ609" s="973"/>
      <c r="DK609" s="973"/>
      <c r="DL609" s="974"/>
      <c r="DM609" s="1067">
        <f t="shared" si="15"/>
        <v>0</v>
      </c>
      <c r="DN609" s="973"/>
      <c r="DO609" s="973"/>
      <c r="DP609" s="973"/>
      <c r="DQ609" s="974"/>
      <c r="DR609" s="1067">
        <f t="shared" si="16"/>
        <v>0</v>
      </c>
      <c r="DS609" s="973"/>
      <c r="DT609" s="973"/>
      <c r="DU609" s="973"/>
      <c r="DV609" s="974"/>
    </row>
    <row r="610" spans="1:126" s="5" customFormat="1" ht="12.95" customHeight="1">
      <c r="AZ610" s="41"/>
      <c r="BA610" s="41"/>
      <c r="BB610" s="41"/>
      <c r="BC610" s="41"/>
      <c r="BD610" s="41"/>
      <c r="BE610" s="1076">
        <f t="shared" si="7"/>
        <v>0</v>
      </c>
      <c r="BF610" s="974"/>
      <c r="BG610" s="1065">
        <f t="shared" si="8"/>
        <v>0</v>
      </c>
      <c r="BH610" s="974"/>
      <c r="BI610" s="1076">
        <f t="shared" si="9"/>
        <v>0</v>
      </c>
      <c r="BJ610" s="974"/>
      <c r="BK610" s="1065">
        <f t="shared" si="10"/>
        <v>0</v>
      </c>
      <c r="BL610" s="974"/>
      <c r="BN610" s="1065">
        <f t="shared" si="1"/>
        <v>0</v>
      </c>
      <c r="BO610" s="973"/>
      <c r="BP610" s="973"/>
      <c r="BQ610" s="973"/>
      <c r="BR610" s="974"/>
      <c r="BS610" s="1065">
        <f t="shared" si="2"/>
        <v>0</v>
      </c>
      <c r="BT610" s="973"/>
      <c r="BU610" s="973"/>
      <c r="BV610" s="973"/>
      <c r="BW610" s="974"/>
      <c r="BX610" s="1065">
        <f t="shared" si="3"/>
        <v>0</v>
      </c>
      <c r="BY610" s="973"/>
      <c r="BZ610" s="973"/>
      <c r="CA610" s="973"/>
      <c r="CB610" s="974"/>
      <c r="CC610" s="1065">
        <f t="shared" si="4"/>
        <v>0</v>
      </c>
      <c r="CD610" s="973"/>
      <c r="CE610" s="973"/>
      <c r="CF610" s="973"/>
      <c r="CG610" s="974"/>
      <c r="CH610" s="1065">
        <f t="shared" si="5"/>
        <v>0</v>
      </c>
      <c r="CI610" s="973"/>
      <c r="CJ610" s="973"/>
      <c r="CK610" s="973"/>
      <c r="CL610" s="974"/>
      <c r="CM610" s="1194">
        <f t="shared" si="6"/>
        <v>0</v>
      </c>
      <c r="CN610" s="1093"/>
      <c r="CO610" s="1093"/>
      <c r="CP610" s="1093"/>
      <c r="CQ610" s="1094"/>
      <c r="CS610" s="1067">
        <f t="shared" si="11"/>
        <v>0</v>
      </c>
      <c r="CT610" s="973"/>
      <c r="CU610" s="973"/>
      <c r="CV610" s="973"/>
      <c r="CW610" s="974"/>
      <c r="CX610" s="1067">
        <f t="shared" si="12"/>
        <v>0</v>
      </c>
      <c r="CY610" s="973"/>
      <c r="CZ610" s="973"/>
      <c r="DA610" s="973"/>
      <c r="DB610" s="974"/>
      <c r="DC610" s="1067">
        <f t="shared" si="13"/>
        <v>0</v>
      </c>
      <c r="DD610" s="973"/>
      <c r="DE610" s="973"/>
      <c r="DF610" s="973"/>
      <c r="DG610" s="974"/>
      <c r="DH610" s="1067">
        <f t="shared" si="14"/>
        <v>0</v>
      </c>
      <c r="DI610" s="973"/>
      <c r="DJ610" s="973"/>
      <c r="DK610" s="973"/>
      <c r="DL610" s="974"/>
      <c r="DM610" s="1067">
        <f t="shared" si="15"/>
        <v>0</v>
      </c>
      <c r="DN610" s="973"/>
      <c r="DO610" s="973"/>
      <c r="DP610" s="973"/>
      <c r="DQ610" s="974"/>
      <c r="DR610" s="1067">
        <f t="shared" si="16"/>
        <v>0</v>
      </c>
      <c r="DS610" s="973"/>
      <c r="DT610" s="973"/>
      <c r="DU610" s="973"/>
      <c r="DV610" s="974"/>
    </row>
    <row r="611" spans="1:126" ht="12.95" customHeight="1">
      <c r="A611" s="61" t="s">
        <v>636</v>
      </c>
      <c r="B611" t="s">
        <v>639</v>
      </c>
      <c r="G611" s="1127">
        <f>C567</f>
        <v>0</v>
      </c>
      <c r="H611" s="1093"/>
      <c r="I611" s="1093"/>
      <c r="J611" s="1093"/>
      <c r="K611" s="1093"/>
      <c r="L611" s="1093"/>
      <c r="M611" s="1093"/>
      <c r="N611" s="1093"/>
      <c r="O611" s="1093"/>
      <c r="P611" s="1093"/>
      <c r="Q611" s="1093"/>
      <c r="R611" s="1093"/>
      <c r="T611" s="61" t="s">
        <v>637</v>
      </c>
      <c r="U611" t="s">
        <v>639</v>
      </c>
      <c r="Z611" s="1127">
        <f>C568</f>
        <v>0</v>
      </c>
      <c r="AA611" s="1093"/>
      <c r="AB611" s="1093"/>
      <c r="AC611" s="1093"/>
      <c r="AD611" s="1093"/>
      <c r="AE611" s="1093"/>
      <c r="AF611" s="1093"/>
      <c r="AG611" s="1093"/>
      <c r="AH611" s="1093"/>
      <c r="AI611" s="1093"/>
      <c r="AJ611" s="1093"/>
      <c r="AK611" s="1093"/>
      <c r="AZ611" s="41"/>
      <c r="BA611" s="41"/>
      <c r="BB611" s="41"/>
      <c r="BC611" s="41"/>
      <c r="BD611" s="41"/>
      <c r="BE611" s="1076">
        <f t="shared" si="7"/>
        <v>0</v>
      </c>
      <c r="BF611" s="974"/>
      <c r="BG611" s="1065">
        <f t="shared" si="8"/>
        <v>0</v>
      </c>
      <c r="BH611" s="974"/>
      <c r="BI611" s="1076">
        <f t="shared" si="9"/>
        <v>0</v>
      </c>
      <c r="BJ611" s="974"/>
      <c r="BK611" s="1065">
        <f t="shared" si="10"/>
        <v>0</v>
      </c>
      <c r="BL611" s="974"/>
      <c r="BN611" s="1065">
        <f t="shared" si="1"/>
        <v>0</v>
      </c>
      <c r="BO611" s="973"/>
      <c r="BP611" s="973"/>
      <c r="BQ611" s="973"/>
      <c r="BR611" s="974"/>
      <c r="BS611" s="1065">
        <f t="shared" si="2"/>
        <v>0</v>
      </c>
      <c r="BT611" s="973"/>
      <c r="BU611" s="973"/>
      <c r="BV611" s="973"/>
      <c r="BW611" s="974"/>
      <c r="BX611" s="1065">
        <f t="shared" si="3"/>
        <v>0</v>
      </c>
      <c r="BY611" s="973"/>
      <c r="BZ611" s="973"/>
      <c r="CA611" s="973"/>
      <c r="CB611" s="974"/>
      <c r="CC611" s="1065">
        <f t="shared" si="4"/>
        <v>0</v>
      </c>
      <c r="CD611" s="973"/>
      <c r="CE611" s="973"/>
      <c r="CF611" s="973"/>
      <c r="CG611" s="974"/>
      <c r="CH611" s="1065">
        <f t="shared" si="5"/>
        <v>0</v>
      </c>
      <c r="CI611" s="973"/>
      <c r="CJ611" s="973"/>
      <c r="CK611" s="973"/>
      <c r="CL611" s="974"/>
      <c r="CM611" s="1194">
        <f t="shared" si="6"/>
        <v>0</v>
      </c>
      <c r="CN611" s="1093"/>
      <c r="CO611" s="1093"/>
      <c r="CP611" s="1093"/>
      <c r="CQ611" s="1094"/>
      <c r="CS611" s="1067">
        <f t="shared" si="11"/>
        <v>0</v>
      </c>
      <c r="CT611" s="973"/>
      <c r="CU611" s="973"/>
      <c r="CV611" s="973"/>
      <c r="CW611" s="974"/>
      <c r="CX611" s="1067">
        <f t="shared" si="12"/>
        <v>0</v>
      </c>
      <c r="CY611" s="973"/>
      <c r="CZ611" s="973"/>
      <c r="DA611" s="973"/>
      <c r="DB611" s="974"/>
      <c r="DC611" s="1067">
        <f t="shared" si="13"/>
        <v>0</v>
      </c>
      <c r="DD611" s="973"/>
      <c r="DE611" s="973"/>
      <c r="DF611" s="973"/>
      <c r="DG611" s="974"/>
      <c r="DH611" s="1067">
        <f t="shared" si="14"/>
        <v>0</v>
      </c>
      <c r="DI611" s="973"/>
      <c r="DJ611" s="973"/>
      <c r="DK611" s="973"/>
      <c r="DL611" s="974"/>
      <c r="DM611" s="1067">
        <f t="shared" si="15"/>
        <v>0</v>
      </c>
      <c r="DN611" s="973"/>
      <c r="DO611" s="973"/>
      <c r="DP611" s="973"/>
      <c r="DQ611" s="974"/>
      <c r="DR611" s="1067">
        <f t="shared" si="16"/>
        <v>0</v>
      </c>
      <c r="DS611" s="973"/>
      <c r="DT611" s="973"/>
      <c r="DU611" s="973"/>
      <c r="DV611" s="974"/>
    </row>
    <row r="612" spans="1:126" ht="12.95" customHeight="1">
      <c r="B612" t="s">
        <v>295</v>
      </c>
      <c r="G612" s="1059"/>
      <c r="H612" s="1060"/>
      <c r="I612" s="1060"/>
      <c r="J612" s="1060"/>
      <c r="K612" s="1060"/>
      <c r="L612" s="1060"/>
      <c r="M612" s="1060"/>
      <c r="N612" s="1060"/>
      <c r="O612" s="1060"/>
      <c r="P612" s="1060"/>
      <c r="Q612" s="1060"/>
      <c r="R612" s="1060"/>
      <c r="U612" t="s">
        <v>295</v>
      </c>
      <c r="Z612" s="1059"/>
      <c r="AA612" s="1060"/>
      <c r="AB612" s="1060"/>
      <c r="AC612" s="1060"/>
      <c r="AD612" s="1060"/>
      <c r="AE612" s="1060"/>
      <c r="AF612" s="1060"/>
      <c r="AG612" s="1060"/>
      <c r="AH612" s="1060"/>
      <c r="AI612" s="1060"/>
      <c r="AJ612" s="1060"/>
      <c r="AK612" s="1060"/>
      <c r="AZ612" s="41"/>
      <c r="BA612" s="41"/>
      <c r="BB612" s="41"/>
      <c r="BC612" s="41"/>
      <c r="BD612" s="41"/>
      <c r="BE612" s="1076">
        <f t="shared" si="7"/>
        <v>0</v>
      </c>
      <c r="BF612" s="974"/>
      <c r="BG612" s="1065">
        <f t="shared" si="8"/>
        <v>0</v>
      </c>
      <c r="BH612" s="974"/>
      <c r="BI612" s="1076">
        <f t="shared" si="9"/>
        <v>0</v>
      </c>
      <c r="BJ612" s="974"/>
      <c r="BK612" s="1065">
        <f t="shared" si="10"/>
        <v>0</v>
      </c>
      <c r="BL612" s="974"/>
      <c r="BN612" s="1065">
        <f t="shared" si="1"/>
        <v>0</v>
      </c>
      <c r="BO612" s="973"/>
      <c r="BP612" s="973"/>
      <c r="BQ612" s="973"/>
      <c r="BR612" s="974"/>
      <c r="BS612" s="1065">
        <f t="shared" si="2"/>
        <v>0</v>
      </c>
      <c r="BT612" s="973"/>
      <c r="BU612" s="973"/>
      <c r="BV612" s="973"/>
      <c r="BW612" s="974"/>
      <c r="BX612" s="1065">
        <f t="shared" si="3"/>
        <v>0</v>
      </c>
      <c r="BY612" s="973"/>
      <c r="BZ612" s="973"/>
      <c r="CA612" s="973"/>
      <c r="CB612" s="974"/>
      <c r="CC612" s="1065">
        <f t="shared" si="4"/>
        <v>0</v>
      </c>
      <c r="CD612" s="973"/>
      <c r="CE612" s="973"/>
      <c r="CF612" s="973"/>
      <c r="CG612" s="974"/>
      <c r="CH612" s="1065">
        <f t="shared" si="5"/>
        <v>0</v>
      </c>
      <c r="CI612" s="973"/>
      <c r="CJ612" s="973"/>
      <c r="CK612" s="973"/>
      <c r="CL612" s="974"/>
      <c r="CM612" s="1194">
        <f t="shared" si="6"/>
        <v>0</v>
      </c>
      <c r="CN612" s="1093"/>
      <c r="CO612" s="1093"/>
      <c r="CP612" s="1093"/>
      <c r="CQ612" s="1094"/>
      <c r="CS612" s="1067">
        <f t="shared" si="11"/>
        <v>0</v>
      </c>
      <c r="CT612" s="973"/>
      <c r="CU612" s="973"/>
      <c r="CV612" s="973"/>
      <c r="CW612" s="974"/>
      <c r="CX612" s="1067">
        <f t="shared" si="12"/>
        <v>0</v>
      </c>
      <c r="CY612" s="973"/>
      <c r="CZ612" s="973"/>
      <c r="DA612" s="973"/>
      <c r="DB612" s="974"/>
      <c r="DC612" s="1067">
        <f t="shared" si="13"/>
        <v>0</v>
      </c>
      <c r="DD612" s="973"/>
      <c r="DE612" s="973"/>
      <c r="DF612" s="973"/>
      <c r="DG612" s="974"/>
      <c r="DH612" s="1067">
        <f t="shared" si="14"/>
        <v>0</v>
      </c>
      <c r="DI612" s="973"/>
      <c r="DJ612" s="973"/>
      <c r="DK612" s="973"/>
      <c r="DL612" s="974"/>
      <c r="DM612" s="1067">
        <f t="shared" si="15"/>
        <v>0</v>
      </c>
      <c r="DN612" s="973"/>
      <c r="DO612" s="973"/>
      <c r="DP612" s="973"/>
      <c r="DQ612" s="974"/>
      <c r="DR612" s="1067">
        <f t="shared" si="16"/>
        <v>0</v>
      </c>
      <c r="DS612" s="973"/>
      <c r="DT612" s="973"/>
      <c r="DU612" s="973"/>
      <c r="DV612" s="974"/>
    </row>
    <row r="613" spans="1:126" ht="12.95" customHeight="1">
      <c r="B613" t="s">
        <v>153</v>
      </c>
      <c r="G613" s="1059"/>
      <c r="H613" s="1060"/>
      <c r="I613" s="1060"/>
      <c r="J613" s="1060"/>
      <c r="K613" s="1060"/>
      <c r="L613" s="1060"/>
      <c r="M613" s="1060"/>
      <c r="N613" s="1060"/>
      <c r="O613" s="1060"/>
      <c r="P613" s="1060"/>
      <c r="Q613" s="1060"/>
      <c r="R613" s="1060"/>
      <c r="U613" t="s">
        <v>153</v>
      </c>
      <c r="Z613" s="1068"/>
      <c r="AA613" s="1063"/>
      <c r="AB613" s="1063"/>
      <c r="AC613" s="1063"/>
      <c r="AD613" s="1063"/>
      <c r="AE613" s="1063"/>
      <c r="AF613" s="1063"/>
      <c r="AG613" s="1063"/>
      <c r="AH613" s="1063"/>
      <c r="AI613" s="1063"/>
      <c r="AJ613" s="1063"/>
      <c r="AK613" s="1063"/>
      <c r="AL613" s="303"/>
      <c r="BA613" s="41"/>
      <c r="BB613" s="41"/>
      <c r="BC613" s="41"/>
      <c r="BD613" s="41"/>
      <c r="BE613" s="1076">
        <f t="shared" si="7"/>
        <v>0</v>
      </c>
      <c r="BF613" s="974"/>
      <c r="BG613" s="1065">
        <f t="shared" si="8"/>
        <v>0</v>
      </c>
      <c r="BH613" s="974"/>
      <c r="BI613" s="1076">
        <f t="shared" si="9"/>
        <v>0</v>
      </c>
      <c r="BJ613" s="974"/>
      <c r="BK613" s="1065">
        <f t="shared" si="10"/>
        <v>0</v>
      </c>
      <c r="BL613" s="974"/>
      <c r="BN613" s="1065">
        <f t="shared" si="1"/>
        <v>0</v>
      </c>
      <c r="BO613" s="973"/>
      <c r="BP613" s="973"/>
      <c r="BQ613" s="973"/>
      <c r="BR613" s="974"/>
      <c r="BS613" s="1065">
        <f t="shared" si="2"/>
        <v>0</v>
      </c>
      <c r="BT613" s="973"/>
      <c r="BU613" s="973"/>
      <c r="BV613" s="973"/>
      <c r="BW613" s="974"/>
      <c r="BX613" s="1065">
        <f t="shared" si="3"/>
        <v>0</v>
      </c>
      <c r="BY613" s="973"/>
      <c r="BZ613" s="973"/>
      <c r="CA613" s="973"/>
      <c r="CB613" s="974"/>
      <c r="CC613" s="1065">
        <f t="shared" si="4"/>
        <v>0</v>
      </c>
      <c r="CD613" s="973"/>
      <c r="CE613" s="973"/>
      <c r="CF613" s="973"/>
      <c r="CG613" s="974"/>
      <c r="CH613" s="1065">
        <f t="shared" si="5"/>
        <v>0</v>
      </c>
      <c r="CI613" s="973"/>
      <c r="CJ613" s="973"/>
      <c r="CK613" s="973"/>
      <c r="CL613" s="974"/>
      <c r="CM613" s="1194">
        <f t="shared" si="6"/>
        <v>0</v>
      </c>
      <c r="CN613" s="1093"/>
      <c r="CO613" s="1093"/>
      <c r="CP613" s="1093"/>
      <c r="CQ613" s="1094"/>
      <c r="CS613" s="1067">
        <f t="shared" si="11"/>
        <v>0</v>
      </c>
      <c r="CT613" s="973"/>
      <c r="CU613" s="973"/>
      <c r="CV613" s="973"/>
      <c r="CW613" s="974"/>
      <c r="CX613" s="1067">
        <f t="shared" si="12"/>
        <v>0</v>
      </c>
      <c r="CY613" s="973"/>
      <c r="CZ613" s="973"/>
      <c r="DA613" s="973"/>
      <c r="DB613" s="974"/>
      <c r="DC613" s="1067">
        <f t="shared" si="13"/>
        <v>0</v>
      </c>
      <c r="DD613" s="973"/>
      <c r="DE613" s="973"/>
      <c r="DF613" s="973"/>
      <c r="DG613" s="974"/>
      <c r="DH613" s="1067">
        <f t="shared" si="14"/>
        <v>0</v>
      </c>
      <c r="DI613" s="973"/>
      <c r="DJ613" s="973"/>
      <c r="DK613" s="973"/>
      <c r="DL613" s="974"/>
      <c r="DM613" s="1067">
        <f t="shared" si="15"/>
        <v>0</v>
      </c>
      <c r="DN613" s="973"/>
      <c r="DO613" s="973"/>
      <c r="DP613" s="973"/>
      <c r="DQ613" s="974"/>
      <c r="DR613" s="1067">
        <f t="shared" si="16"/>
        <v>0</v>
      </c>
      <c r="DS613" s="973"/>
      <c r="DT613" s="973"/>
      <c r="DU613" s="973"/>
      <c r="DV613" s="974"/>
    </row>
    <row r="614" spans="1:126" ht="12.95" customHeight="1">
      <c r="B614" t="s">
        <v>640</v>
      </c>
      <c r="G614" s="1059"/>
      <c r="H614" s="1060"/>
      <c r="I614" s="1060"/>
      <c r="J614" s="1060"/>
      <c r="K614" s="1060"/>
      <c r="L614" s="1060"/>
      <c r="M614" s="1060"/>
      <c r="N614" s="1060"/>
      <c r="O614" s="1060"/>
      <c r="P614" s="1060"/>
      <c r="Q614" s="1060"/>
      <c r="R614" s="1060"/>
      <c r="U614" t="s">
        <v>640</v>
      </c>
      <c r="Z614" s="1068"/>
      <c r="AA614" s="1063"/>
      <c r="AB614" s="1063"/>
      <c r="AC614" s="1063"/>
      <c r="AD614" s="1063"/>
      <c r="AE614" s="1063"/>
      <c r="AF614" s="1063"/>
      <c r="AG614" s="1063"/>
      <c r="AH614" s="1063"/>
      <c r="AI614" s="1063"/>
      <c r="AJ614" s="1063"/>
      <c r="AK614" s="1063"/>
      <c r="AL614" s="303"/>
      <c r="BA614" s="41"/>
      <c r="BB614" s="41"/>
      <c r="BC614" s="41"/>
      <c r="BD614" s="41"/>
      <c r="BE614" s="1076">
        <f t="shared" si="7"/>
        <v>0</v>
      </c>
      <c r="BF614" s="974"/>
      <c r="BG614" s="1065">
        <f t="shared" si="8"/>
        <v>0</v>
      </c>
      <c r="BH614" s="974"/>
      <c r="BI614" s="1076">
        <f t="shared" si="9"/>
        <v>0</v>
      </c>
      <c r="BJ614" s="974"/>
      <c r="BK614" s="1065">
        <f t="shared" si="10"/>
        <v>0</v>
      </c>
      <c r="BL614" s="974"/>
      <c r="BN614" s="1065">
        <f t="shared" si="1"/>
        <v>0</v>
      </c>
      <c r="BO614" s="973"/>
      <c r="BP614" s="973"/>
      <c r="BQ614" s="973"/>
      <c r="BR614" s="974"/>
      <c r="BS614" s="1065">
        <f t="shared" si="2"/>
        <v>0</v>
      </c>
      <c r="BT614" s="973"/>
      <c r="BU614" s="973"/>
      <c r="BV614" s="973"/>
      <c r="BW614" s="974"/>
      <c r="BX614" s="1065">
        <f t="shared" si="3"/>
        <v>0</v>
      </c>
      <c r="BY614" s="973"/>
      <c r="BZ614" s="973"/>
      <c r="CA614" s="973"/>
      <c r="CB614" s="974"/>
      <c r="CC614" s="1065">
        <f t="shared" si="4"/>
        <v>0</v>
      </c>
      <c r="CD614" s="973"/>
      <c r="CE614" s="973"/>
      <c r="CF614" s="973"/>
      <c r="CG614" s="974"/>
      <c r="CH614" s="1065">
        <f t="shared" si="5"/>
        <v>0</v>
      </c>
      <c r="CI614" s="973"/>
      <c r="CJ614" s="973"/>
      <c r="CK614" s="973"/>
      <c r="CL614" s="974"/>
      <c r="CM614" s="1194">
        <f t="shared" si="6"/>
        <v>0</v>
      </c>
      <c r="CN614" s="1093"/>
      <c r="CO614" s="1093"/>
      <c r="CP614" s="1093"/>
      <c r="CQ614" s="1094"/>
      <c r="CS614" s="1067">
        <f t="shared" si="11"/>
        <v>0</v>
      </c>
      <c r="CT614" s="973"/>
      <c r="CU614" s="973"/>
      <c r="CV614" s="973"/>
      <c r="CW614" s="974"/>
      <c r="CX614" s="1067">
        <f t="shared" si="12"/>
        <v>0</v>
      </c>
      <c r="CY614" s="973"/>
      <c r="CZ614" s="973"/>
      <c r="DA614" s="973"/>
      <c r="DB614" s="974"/>
      <c r="DC614" s="1067">
        <f t="shared" si="13"/>
        <v>0</v>
      </c>
      <c r="DD614" s="973"/>
      <c r="DE614" s="973"/>
      <c r="DF614" s="973"/>
      <c r="DG614" s="974"/>
      <c r="DH614" s="1067">
        <f t="shared" si="14"/>
        <v>0</v>
      </c>
      <c r="DI614" s="973"/>
      <c r="DJ614" s="973"/>
      <c r="DK614" s="973"/>
      <c r="DL614" s="974"/>
      <c r="DM614" s="1067">
        <f t="shared" si="15"/>
        <v>0</v>
      </c>
      <c r="DN614" s="973"/>
      <c r="DO614" s="973"/>
      <c r="DP614" s="973"/>
      <c r="DQ614" s="974"/>
      <c r="DR614" s="1067">
        <f t="shared" si="16"/>
        <v>0</v>
      </c>
      <c r="DS614" s="973"/>
      <c r="DT614" s="973"/>
      <c r="DU614" s="973"/>
      <c r="DV614" s="974"/>
    </row>
    <row r="615" spans="1:126" ht="12.95" customHeight="1">
      <c r="B615" t="s">
        <v>68</v>
      </c>
      <c r="G615" s="1084"/>
      <c r="H615" s="1063"/>
      <c r="I615" s="1063"/>
      <c r="J615" s="1063"/>
      <c r="K615" s="1063"/>
      <c r="L615" s="1063"/>
      <c r="O615" s="42" t="s">
        <v>305</v>
      </c>
      <c r="P615" s="1112"/>
      <c r="Q615" s="1063"/>
      <c r="R615" s="1063"/>
      <c r="U615" t="s">
        <v>68</v>
      </c>
      <c r="Z615" s="1084"/>
      <c r="AA615" s="1063"/>
      <c r="AB615" s="1063"/>
      <c r="AC615" s="1063"/>
      <c r="AD615" s="1063"/>
      <c r="AE615" s="1063"/>
      <c r="AH615" s="42" t="s">
        <v>305</v>
      </c>
      <c r="AI615" s="1112"/>
      <c r="AJ615" s="1063"/>
      <c r="AK615" s="1063"/>
      <c r="AZ615" s="41"/>
      <c r="BA615" s="41"/>
      <c r="BB615" s="41"/>
      <c r="BC615" s="41"/>
      <c r="BD615" s="41"/>
      <c r="BE615" s="1076">
        <f t="shared" si="7"/>
        <v>0</v>
      </c>
      <c r="BF615" s="974"/>
      <c r="BG615" s="1065">
        <f t="shared" si="8"/>
        <v>0</v>
      </c>
      <c r="BH615" s="974"/>
      <c r="BI615" s="1076">
        <f t="shared" si="9"/>
        <v>0</v>
      </c>
      <c r="BJ615" s="974"/>
      <c r="BK615" s="1065">
        <f t="shared" si="10"/>
        <v>0</v>
      </c>
      <c r="BL615" s="974"/>
      <c r="BN615" s="1065">
        <f t="shared" si="1"/>
        <v>0</v>
      </c>
      <c r="BO615" s="973"/>
      <c r="BP615" s="973"/>
      <c r="BQ615" s="973"/>
      <c r="BR615" s="974"/>
      <c r="BS615" s="1065">
        <f t="shared" si="2"/>
        <v>0</v>
      </c>
      <c r="BT615" s="973"/>
      <c r="BU615" s="973"/>
      <c r="BV615" s="973"/>
      <c r="BW615" s="974"/>
      <c r="BX615" s="1065">
        <f t="shared" si="3"/>
        <v>0</v>
      </c>
      <c r="BY615" s="973"/>
      <c r="BZ615" s="973"/>
      <c r="CA615" s="973"/>
      <c r="CB615" s="974"/>
      <c r="CC615" s="1065">
        <f t="shared" si="4"/>
        <v>0</v>
      </c>
      <c r="CD615" s="973"/>
      <c r="CE615" s="973"/>
      <c r="CF615" s="973"/>
      <c r="CG615" s="974"/>
      <c r="CH615" s="1065">
        <f t="shared" si="5"/>
        <v>0</v>
      </c>
      <c r="CI615" s="973"/>
      <c r="CJ615" s="973"/>
      <c r="CK615" s="973"/>
      <c r="CL615" s="974"/>
      <c r="CM615" s="1194">
        <f t="shared" si="6"/>
        <v>0</v>
      </c>
      <c r="CN615" s="1093"/>
      <c r="CO615" s="1093"/>
      <c r="CP615" s="1093"/>
      <c r="CQ615" s="1094"/>
      <c r="CS615" s="1067">
        <f t="shared" si="11"/>
        <v>0</v>
      </c>
      <c r="CT615" s="973"/>
      <c r="CU615" s="973"/>
      <c r="CV615" s="973"/>
      <c r="CW615" s="974"/>
      <c r="CX615" s="1067">
        <f t="shared" si="12"/>
        <v>0</v>
      </c>
      <c r="CY615" s="973"/>
      <c r="CZ615" s="973"/>
      <c r="DA615" s="973"/>
      <c r="DB615" s="974"/>
      <c r="DC615" s="1067">
        <f t="shared" si="13"/>
        <v>0</v>
      </c>
      <c r="DD615" s="973"/>
      <c r="DE615" s="973"/>
      <c r="DF615" s="973"/>
      <c r="DG615" s="974"/>
      <c r="DH615" s="1067">
        <f t="shared" si="14"/>
        <v>0</v>
      </c>
      <c r="DI615" s="973"/>
      <c r="DJ615" s="973"/>
      <c r="DK615" s="973"/>
      <c r="DL615" s="974"/>
      <c r="DM615" s="1067">
        <f t="shared" si="15"/>
        <v>0</v>
      </c>
      <c r="DN615" s="973"/>
      <c r="DO615" s="973"/>
      <c r="DP615" s="973"/>
      <c r="DQ615" s="974"/>
      <c r="DR615" s="1067">
        <f t="shared" si="16"/>
        <v>0</v>
      </c>
      <c r="DS615" s="973"/>
      <c r="DT615" s="973"/>
      <c r="DU615" s="973"/>
      <c r="DV615" s="974"/>
    </row>
    <row r="616" spans="1:126" ht="12.95" customHeight="1">
      <c r="B616" t="s">
        <v>641</v>
      </c>
      <c r="H616" s="1059"/>
      <c r="I616" s="1060"/>
      <c r="J616" s="1060"/>
      <c r="K616" s="1060"/>
      <c r="L616" s="1060"/>
      <c r="M616" s="1060"/>
      <c r="N616" s="1060"/>
      <c r="O616" s="1060"/>
      <c r="P616" s="1060"/>
      <c r="Q616" s="1060"/>
      <c r="R616" s="1060"/>
      <c r="U616" t="s">
        <v>641</v>
      </c>
      <c r="AA616" s="1059"/>
      <c r="AB616" s="1060"/>
      <c r="AC616" s="1060"/>
      <c r="AD616" s="1060"/>
      <c r="AE616" s="1060"/>
      <c r="AF616" s="1060"/>
      <c r="AG616" s="1060"/>
      <c r="AH616" s="1060"/>
      <c r="AI616" s="1060"/>
      <c r="AJ616" s="1060"/>
      <c r="AK616" s="1060"/>
      <c r="AZ616" s="41"/>
      <c r="BA616" s="41"/>
      <c r="BB616" s="41"/>
      <c r="BC616" s="41"/>
      <c r="BD616" s="41"/>
      <c r="BE616" s="1076">
        <f t="shared" si="7"/>
        <v>0</v>
      </c>
      <c r="BF616" s="974"/>
      <c r="BG616" s="1065">
        <f t="shared" si="8"/>
        <v>0</v>
      </c>
      <c r="BH616" s="974"/>
      <c r="BI616" s="1076">
        <f t="shared" si="9"/>
        <v>0</v>
      </c>
      <c r="BJ616" s="974"/>
      <c r="BK616" s="1065">
        <f t="shared" si="10"/>
        <v>0</v>
      </c>
      <c r="BL616" s="974"/>
      <c r="BN616" s="1065">
        <f t="shared" si="1"/>
        <v>0</v>
      </c>
      <c r="BO616" s="973"/>
      <c r="BP616" s="973"/>
      <c r="BQ616" s="973"/>
      <c r="BR616" s="974"/>
      <c r="BS616" s="1065">
        <f t="shared" si="2"/>
        <v>0</v>
      </c>
      <c r="BT616" s="973"/>
      <c r="BU616" s="973"/>
      <c r="BV616" s="973"/>
      <c r="BW616" s="974"/>
      <c r="BX616" s="1065">
        <f t="shared" si="3"/>
        <v>0</v>
      </c>
      <c r="BY616" s="973"/>
      <c r="BZ616" s="973"/>
      <c r="CA616" s="973"/>
      <c r="CB616" s="974"/>
      <c r="CC616" s="1065">
        <f t="shared" si="4"/>
        <v>0</v>
      </c>
      <c r="CD616" s="973"/>
      <c r="CE616" s="973"/>
      <c r="CF616" s="973"/>
      <c r="CG616" s="974"/>
      <c r="CH616" s="1065">
        <f t="shared" si="5"/>
        <v>0</v>
      </c>
      <c r="CI616" s="973"/>
      <c r="CJ616" s="973"/>
      <c r="CK616" s="973"/>
      <c r="CL616" s="974"/>
      <c r="CM616" s="1194">
        <f t="shared" si="6"/>
        <v>0</v>
      </c>
      <c r="CN616" s="1093"/>
      <c r="CO616" s="1093"/>
      <c r="CP616" s="1093"/>
      <c r="CQ616" s="1094"/>
      <c r="CS616" s="1067">
        <f t="shared" si="11"/>
        <v>0</v>
      </c>
      <c r="CT616" s="973"/>
      <c r="CU616" s="973"/>
      <c r="CV616" s="973"/>
      <c r="CW616" s="974"/>
      <c r="CX616" s="1067">
        <f t="shared" si="12"/>
        <v>0</v>
      </c>
      <c r="CY616" s="973"/>
      <c r="CZ616" s="973"/>
      <c r="DA616" s="973"/>
      <c r="DB616" s="974"/>
      <c r="DC616" s="1067">
        <f t="shared" si="13"/>
        <v>0</v>
      </c>
      <c r="DD616" s="973"/>
      <c r="DE616" s="973"/>
      <c r="DF616" s="973"/>
      <c r="DG616" s="974"/>
      <c r="DH616" s="1067">
        <f t="shared" si="14"/>
        <v>0</v>
      </c>
      <c r="DI616" s="973"/>
      <c r="DJ616" s="973"/>
      <c r="DK616" s="973"/>
      <c r="DL616" s="974"/>
      <c r="DM616" s="1067">
        <f t="shared" si="15"/>
        <v>0</v>
      </c>
      <c r="DN616" s="973"/>
      <c r="DO616" s="973"/>
      <c r="DP616" s="973"/>
      <c r="DQ616" s="974"/>
      <c r="DR616" s="1067">
        <f t="shared" si="16"/>
        <v>0</v>
      </c>
      <c r="DS616" s="973"/>
      <c r="DT616" s="973"/>
      <c r="DU616" s="973"/>
      <c r="DV616" s="974"/>
    </row>
    <row r="617" spans="1:126" ht="12.95" customHeight="1">
      <c r="B617" t="s">
        <v>642</v>
      </c>
      <c r="N617" s="1066" t="s">
        <v>14</v>
      </c>
      <c r="O617" s="1060"/>
      <c r="U617" t="s">
        <v>642</v>
      </c>
      <c r="AG617" s="1066" t="s">
        <v>14</v>
      </c>
      <c r="AH617" s="1060"/>
      <c r="AZ617" s="41"/>
      <c r="BA617" s="41"/>
      <c r="BB617" s="41"/>
      <c r="BC617" s="41"/>
      <c r="BD617" s="41"/>
      <c r="BE617" s="1076">
        <f t="shared" si="7"/>
        <v>0</v>
      </c>
      <c r="BF617" s="974"/>
      <c r="BG617" s="1065">
        <f t="shared" si="8"/>
        <v>0</v>
      </c>
      <c r="BH617" s="974"/>
      <c r="BI617" s="1076">
        <f t="shared" si="9"/>
        <v>0</v>
      </c>
      <c r="BJ617" s="974"/>
      <c r="BK617" s="1065">
        <f t="shared" si="10"/>
        <v>0</v>
      </c>
      <c r="BL617" s="974"/>
      <c r="BN617" s="1065">
        <f t="shared" si="1"/>
        <v>0</v>
      </c>
      <c r="BO617" s="973"/>
      <c r="BP617" s="973"/>
      <c r="BQ617" s="973"/>
      <c r="BR617" s="974"/>
      <c r="BS617" s="1065">
        <f t="shared" si="2"/>
        <v>0</v>
      </c>
      <c r="BT617" s="973"/>
      <c r="BU617" s="973"/>
      <c r="BV617" s="973"/>
      <c r="BW617" s="974"/>
      <c r="BX617" s="1065">
        <f t="shared" si="3"/>
        <v>0</v>
      </c>
      <c r="BY617" s="973"/>
      <c r="BZ617" s="973"/>
      <c r="CA617" s="973"/>
      <c r="CB617" s="974"/>
      <c r="CC617" s="1065">
        <f t="shared" si="4"/>
        <v>0</v>
      </c>
      <c r="CD617" s="973"/>
      <c r="CE617" s="973"/>
      <c r="CF617" s="973"/>
      <c r="CG617" s="974"/>
      <c r="CH617" s="1065">
        <f t="shared" si="5"/>
        <v>0</v>
      </c>
      <c r="CI617" s="973"/>
      <c r="CJ617" s="973"/>
      <c r="CK617" s="973"/>
      <c r="CL617" s="974"/>
      <c r="CM617" s="1194">
        <f t="shared" si="6"/>
        <v>0</v>
      </c>
      <c r="CN617" s="1093"/>
      <c r="CO617" s="1093"/>
      <c r="CP617" s="1093"/>
      <c r="CQ617" s="1094"/>
      <c r="CS617" s="1067">
        <f t="shared" si="11"/>
        <v>0</v>
      </c>
      <c r="CT617" s="973"/>
      <c r="CU617" s="973"/>
      <c r="CV617" s="973"/>
      <c r="CW617" s="974"/>
      <c r="CX617" s="1067">
        <f t="shared" si="12"/>
        <v>0</v>
      </c>
      <c r="CY617" s="973"/>
      <c r="CZ617" s="973"/>
      <c r="DA617" s="973"/>
      <c r="DB617" s="974"/>
      <c r="DC617" s="1067">
        <f t="shared" si="13"/>
        <v>0</v>
      </c>
      <c r="DD617" s="973"/>
      <c r="DE617" s="973"/>
      <c r="DF617" s="973"/>
      <c r="DG617" s="974"/>
      <c r="DH617" s="1067">
        <f t="shared" si="14"/>
        <v>0</v>
      </c>
      <c r="DI617" s="973"/>
      <c r="DJ617" s="973"/>
      <c r="DK617" s="973"/>
      <c r="DL617" s="974"/>
      <c r="DM617" s="1067">
        <f t="shared" si="15"/>
        <v>0</v>
      </c>
      <c r="DN617" s="973"/>
      <c r="DO617" s="973"/>
      <c r="DP617" s="973"/>
      <c r="DQ617" s="974"/>
      <c r="DR617" s="1067">
        <f t="shared" si="16"/>
        <v>0</v>
      </c>
      <c r="DS617" s="973"/>
      <c r="DT617" s="973"/>
      <c r="DU617" s="973"/>
      <c r="DV617" s="974"/>
    </row>
    <row r="618" spans="1:126" ht="12.95" customHeight="1">
      <c r="AZ618" s="41"/>
      <c r="BA618" s="41"/>
      <c r="BB618" s="41"/>
      <c r="BC618" s="41"/>
      <c r="BD618" s="41"/>
      <c r="BE618" s="1076">
        <f t="shared" si="7"/>
        <v>0</v>
      </c>
      <c r="BF618" s="974"/>
      <c r="BG618" s="1065">
        <f t="shared" si="8"/>
        <v>0</v>
      </c>
      <c r="BH618" s="974"/>
      <c r="BI618" s="1076">
        <f t="shared" si="9"/>
        <v>0</v>
      </c>
      <c r="BJ618" s="974"/>
      <c r="BK618" s="1065">
        <f t="shared" si="10"/>
        <v>0</v>
      </c>
      <c r="BL618" s="974"/>
      <c r="BN618" s="1065">
        <f t="shared" si="1"/>
        <v>0</v>
      </c>
      <c r="BO618" s="973"/>
      <c r="BP618" s="973"/>
      <c r="BQ618" s="973"/>
      <c r="BR618" s="974"/>
      <c r="BS618" s="1065">
        <f t="shared" si="2"/>
        <v>0</v>
      </c>
      <c r="BT618" s="973"/>
      <c r="BU618" s="973"/>
      <c r="BV618" s="973"/>
      <c r="BW618" s="974"/>
      <c r="BX618" s="1065">
        <f t="shared" si="3"/>
        <v>0</v>
      </c>
      <c r="BY618" s="973"/>
      <c r="BZ618" s="973"/>
      <c r="CA618" s="973"/>
      <c r="CB618" s="974"/>
      <c r="CC618" s="1065">
        <f t="shared" si="4"/>
        <v>0</v>
      </c>
      <c r="CD618" s="973"/>
      <c r="CE618" s="973"/>
      <c r="CF618" s="973"/>
      <c r="CG618" s="974"/>
      <c r="CH618" s="1065">
        <f t="shared" si="5"/>
        <v>0</v>
      </c>
      <c r="CI618" s="973"/>
      <c r="CJ618" s="973"/>
      <c r="CK618" s="973"/>
      <c r="CL618" s="974"/>
      <c r="CM618" s="1194">
        <f t="shared" si="6"/>
        <v>0</v>
      </c>
      <c r="CN618" s="1093"/>
      <c r="CO618" s="1093"/>
      <c r="CP618" s="1093"/>
      <c r="CQ618" s="1094"/>
      <c r="CS618" s="1067">
        <f t="shared" si="11"/>
        <v>0</v>
      </c>
      <c r="CT618" s="973"/>
      <c r="CU618" s="973"/>
      <c r="CV618" s="973"/>
      <c r="CW618" s="974"/>
      <c r="CX618" s="1067">
        <f t="shared" si="12"/>
        <v>0</v>
      </c>
      <c r="CY618" s="973"/>
      <c r="CZ618" s="973"/>
      <c r="DA618" s="973"/>
      <c r="DB618" s="974"/>
      <c r="DC618" s="1067">
        <f t="shared" si="13"/>
        <v>0</v>
      </c>
      <c r="DD618" s="973"/>
      <c r="DE618" s="973"/>
      <c r="DF618" s="973"/>
      <c r="DG618" s="974"/>
      <c r="DH618" s="1067">
        <f t="shared" si="14"/>
        <v>0</v>
      </c>
      <c r="DI618" s="973"/>
      <c r="DJ618" s="973"/>
      <c r="DK618" s="973"/>
      <c r="DL618" s="974"/>
      <c r="DM618" s="1067">
        <f t="shared" si="15"/>
        <v>0</v>
      </c>
      <c r="DN618" s="973"/>
      <c r="DO618" s="973"/>
      <c r="DP618" s="973"/>
      <c r="DQ618" s="974"/>
      <c r="DR618" s="1067">
        <f t="shared" si="16"/>
        <v>0</v>
      </c>
      <c r="DS618" s="973"/>
      <c r="DT618" s="973"/>
      <c r="DU618" s="973"/>
      <c r="DV618" s="974"/>
    </row>
    <row r="619" spans="1:126" ht="12.95" customHeight="1">
      <c r="A619" s="1245" t="s">
        <v>656</v>
      </c>
      <c r="B619" s="976"/>
      <c r="C619" s="1113"/>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76">
        <f t="shared" si="7"/>
        <v>0</v>
      </c>
      <c r="BF619" s="974"/>
      <c r="BG619" s="1065">
        <f t="shared" si="8"/>
        <v>0</v>
      </c>
      <c r="BH619" s="974"/>
      <c r="BI619" s="1076">
        <f t="shared" si="9"/>
        <v>0</v>
      </c>
      <c r="BJ619" s="974"/>
      <c r="BK619" s="1065">
        <f t="shared" si="10"/>
        <v>0</v>
      </c>
      <c r="BL619" s="974"/>
      <c r="BN619" s="1065">
        <f t="shared" si="1"/>
        <v>0</v>
      </c>
      <c r="BO619" s="973"/>
      <c r="BP619" s="973"/>
      <c r="BQ619" s="973"/>
      <c r="BR619" s="974"/>
      <c r="BS619" s="1065">
        <f t="shared" si="2"/>
        <v>0</v>
      </c>
      <c r="BT619" s="973"/>
      <c r="BU619" s="973"/>
      <c r="BV619" s="973"/>
      <c r="BW619" s="974"/>
      <c r="BX619" s="1065">
        <f t="shared" si="3"/>
        <v>0</v>
      </c>
      <c r="BY619" s="973"/>
      <c r="BZ619" s="973"/>
      <c r="CA619" s="973"/>
      <c r="CB619" s="974"/>
      <c r="CC619" s="1065">
        <f t="shared" si="4"/>
        <v>0</v>
      </c>
      <c r="CD619" s="973"/>
      <c r="CE619" s="973"/>
      <c r="CF619" s="973"/>
      <c r="CG619" s="974"/>
      <c r="CH619" s="1065">
        <f t="shared" si="5"/>
        <v>0</v>
      </c>
      <c r="CI619" s="973"/>
      <c r="CJ619" s="973"/>
      <c r="CK619" s="973"/>
      <c r="CL619" s="974"/>
      <c r="CM619" s="1194">
        <f t="shared" si="6"/>
        <v>0</v>
      </c>
      <c r="CN619" s="1093"/>
      <c r="CO619" s="1093"/>
      <c r="CP619" s="1093"/>
      <c r="CQ619" s="1094"/>
      <c r="CS619" s="1067">
        <f t="shared" si="11"/>
        <v>0</v>
      </c>
      <c r="CT619" s="973"/>
      <c r="CU619" s="973"/>
      <c r="CV619" s="973"/>
      <c r="CW619" s="974"/>
      <c r="CX619" s="1067">
        <f t="shared" si="12"/>
        <v>0</v>
      </c>
      <c r="CY619" s="973"/>
      <c r="CZ619" s="973"/>
      <c r="DA619" s="973"/>
      <c r="DB619" s="974"/>
      <c r="DC619" s="1067">
        <f t="shared" si="13"/>
        <v>0</v>
      </c>
      <c r="DD619" s="973"/>
      <c r="DE619" s="973"/>
      <c r="DF619" s="973"/>
      <c r="DG619" s="974"/>
      <c r="DH619" s="1067">
        <f t="shared" si="14"/>
        <v>0</v>
      </c>
      <c r="DI619" s="973"/>
      <c r="DJ619" s="973"/>
      <c r="DK619" s="973"/>
      <c r="DL619" s="974"/>
      <c r="DM619" s="1067">
        <f t="shared" si="15"/>
        <v>0</v>
      </c>
      <c r="DN619" s="973"/>
      <c r="DO619" s="973"/>
      <c r="DP619" s="973"/>
      <c r="DQ619" s="974"/>
      <c r="DR619" s="1067">
        <f t="shared" si="16"/>
        <v>0</v>
      </c>
      <c r="DS619" s="973"/>
      <c r="DT619" s="973"/>
      <c r="DU619" s="973"/>
      <c r="DV619" s="974"/>
    </row>
    <row r="620" spans="1:126" ht="12.95" customHeight="1">
      <c r="A620" s="976"/>
      <c r="B620" s="976"/>
      <c r="C620" s="1113"/>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76">
        <f t="shared" si="7"/>
        <v>0</v>
      </c>
      <c r="BF620" s="974"/>
      <c r="BG620" s="1065">
        <f t="shared" si="8"/>
        <v>0</v>
      </c>
      <c r="BH620" s="974"/>
      <c r="BI620" s="1076">
        <f t="shared" si="9"/>
        <v>0</v>
      </c>
      <c r="BJ620" s="974"/>
      <c r="BK620" s="1065">
        <f t="shared" si="10"/>
        <v>0</v>
      </c>
      <c r="BL620" s="974"/>
      <c r="BN620" s="1065">
        <f t="shared" si="1"/>
        <v>0</v>
      </c>
      <c r="BO620" s="973"/>
      <c r="BP620" s="973"/>
      <c r="BQ620" s="973"/>
      <c r="BR620" s="974"/>
      <c r="BS620" s="1065">
        <f t="shared" si="2"/>
        <v>0</v>
      </c>
      <c r="BT620" s="973"/>
      <c r="BU620" s="973"/>
      <c r="BV620" s="973"/>
      <c r="BW620" s="974"/>
      <c r="BX620" s="1065">
        <f t="shared" si="3"/>
        <v>0</v>
      </c>
      <c r="BY620" s="973"/>
      <c r="BZ620" s="973"/>
      <c r="CA620" s="973"/>
      <c r="CB620" s="974"/>
      <c r="CC620" s="1065">
        <f t="shared" si="4"/>
        <v>0</v>
      </c>
      <c r="CD620" s="973"/>
      <c r="CE620" s="973"/>
      <c r="CF620" s="973"/>
      <c r="CG620" s="974"/>
      <c r="CH620" s="1065">
        <f t="shared" si="5"/>
        <v>0</v>
      </c>
      <c r="CI620" s="973"/>
      <c r="CJ620" s="973"/>
      <c r="CK620" s="973"/>
      <c r="CL620" s="974"/>
      <c r="CM620" s="1194">
        <f t="shared" si="6"/>
        <v>0</v>
      </c>
      <c r="CN620" s="1093"/>
      <c r="CO620" s="1093"/>
      <c r="CP620" s="1093"/>
      <c r="CQ620" s="1094"/>
      <c r="CS620" s="1067">
        <f t="shared" si="11"/>
        <v>0</v>
      </c>
      <c r="CT620" s="973"/>
      <c r="CU620" s="973"/>
      <c r="CV620" s="973"/>
      <c r="CW620" s="974"/>
      <c r="CX620" s="1067">
        <f t="shared" si="12"/>
        <v>0</v>
      </c>
      <c r="CY620" s="973"/>
      <c r="CZ620" s="973"/>
      <c r="DA620" s="973"/>
      <c r="DB620" s="974"/>
      <c r="DC620" s="1067">
        <f t="shared" si="13"/>
        <v>0</v>
      </c>
      <c r="DD620" s="973"/>
      <c r="DE620" s="973"/>
      <c r="DF620" s="973"/>
      <c r="DG620" s="974"/>
      <c r="DH620" s="1067">
        <f t="shared" si="14"/>
        <v>0</v>
      </c>
      <c r="DI620" s="973"/>
      <c r="DJ620" s="973"/>
      <c r="DK620" s="973"/>
      <c r="DL620" s="974"/>
      <c r="DM620" s="1067">
        <f t="shared" si="15"/>
        <v>0</v>
      </c>
      <c r="DN620" s="973"/>
      <c r="DO620" s="973"/>
      <c r="DP620" s="973"/>
      <c r="DQ620" s="974"/>
      <c r="DR620" s="1067">
        <f t="shared" si="16"/>
        <v>0</v>
      </c>
      <c r="DS620" s="973"/>
      <c r="DT620" s="973"/>
      <c r="DU620" s="973"/>
      <c r="DV620" s="974"/>
    </row>
    <row r="621" spans="1:126" ht="12.95" customHeight="1">
      <c r="AZ621" s="41"/>
      <c r="BA621" s="41"/>
      <c r="BB621" s="41"/>
      <c r="BC621" s="41"/>
      <c r="BD621" s="41"/>
      <c r="BE621" s="1076">
        <f t="shared" si="7"/>
        <v>0</v>
      </c>
      <c r="BF621" s="974"/>
      <c r="BG621" s="1065">
        <f t="shared" si="8"/>
        <v>0</v>
      </c>
      <c r="BH621" s="974"/>
      <c r="BI621" s="1076">
        <f t="shared" si="9"/>
        <v>0</v>
      </c>
      <c r="BJ621" s="974"/>
      <c r="BK621" s="1065">
        <f t="shared" si="10"/>
        <v>0</v>
      </c>
      <c r="BL621" s="974"/>
      <c r="BN621" s="1065">
        <f t="shared" si="1"/>
        <v>0</v>
      </c>
      <c r="BO621" s="973"/>
      <c r="BP621" s="973"/>
      <c r="BQ621" s="973"/>
      <c r="BR621" s="974"/>
      <c r="BS621" s="1065">
        <f t="shared" si="2"/>
        <v>0</v>
      </c>
      <c r="BT621" s="973"/>
      <c r="BU621" s="973"/>
      <c r="BV621" s="973"/>
      <c r="BW621" s="974"/>
      <c r="BX621" s="1065">
        <f t="shared" si="3"/>
        <v>0</v>
      </c>
      <c r="BY621" s="973"/>
      <c r="BZ621" s="973"/>
      <c r="CA621" s="973"/>
      <c r="CB621" s="974"/>
      <c r="CC621" s="1065">
        <f t="shared" si="4"/>
        <v>0</v>
      </c>
      <c r="CD621" s="973"/>
      <c r="CE621" s="973"/>
      <c r="CF621" s="973"/>
      <c r="CG621" s="974"/>
      <c r="CH621" s="1065">
        <f t="shared" si="5"/>
        <v>0</v>
      </c>
      <c r="CI621" s="973"/>
      <c r="CJ621" s="973"/>
      <c r="CK621" s="973"/>
      <c r="CL621" s="974"/>
      <c r="CM621" s="1194">
        <f t="shared" si="6"/>
        <v>0</v>
      </c>
      <c r="CN621" s="1093"/>
      <c r="CO621" s="1093"/>
      <c r="CP621" s="1093"/>
      <c r="CQ621" s="1094"/>
      <c r="CS621" s="1067">
        <f t="shared" si="11"/>
        <v>0</v>
      </c>
      <c r="CT621" s="973"/>
      <c r="CU621" s="973"/>
      <c r="CV621" s="973"/>
      <c r="CW621" s="974"/>
      <c r="CX621" s="1067">
        <f t="shared" si="12"/>
        <v>0</v>
      </c>
      <c r="CY621" s="973"/>
      <c r="CZ621" s="973"/>
      <c r="DA621" s="973"/>
      <c r="DB621" s="974"/>
      <c r="DC621" s="1067">
        <f t="shared" si="13"/>
        <v>0</v>
      </c>
      <c r="DD621" s="973"/>
      <c r="DE621" s="973"/>
      <c r="DF621" s="973"/>
      <c r="DG621" s="974"/>
      <c r="DH621" s="1067">
        <f t="shared" si="14"/>
        <v>0</v>
      </c>
      <c r="DI621" s="973"/>
      <c r="DJ621" s="973"/>
      <c r="DK621" s="973"/>
      <c r="DL621" s="974"/>
      <c r="DM621" s="1067">
        <f t="shared" si="15"/>
        <v>0</v>
      </c>
      <c r="DN621" s="973"/>
      <c r="DO621" s="973"/>
      <c r="DP621" s="973"/>
      <c r="DQ621" s="974"/>
      <c r="DR621" s="1067">
        <f t="shared" si="16"/>
        <v>0</v>
      </c>
      <c r="DS621" s="973"/>
      <c r="DT621" s="973"/>
      <c r="DU621" s="973"/>
      <c r="DV621" s="974"/>
    </row>
    <row r="622" spans="1:126" ht="12.95" customHeight="1">
      <c r="A622" s="3" t="s">
        <v>97</v>
      </c>
      <c r="B622" s="3"/>
      <c r="C622" s="3" t="s">
        <v>657</v>
      </c>
      <c r="AZ622" s="41"/>
      <c r="BA622" s="41"/>
      <c r="BB622" s="41"/>
      <c r="BC622" s="41"/>
      <c r="BD622" s="41"/>
      <c r="BE622" s="1076">
        <f t="shared" si="7"/>
        <v>0</v>
      </c>
      <c r="BF622" s="974"/>
      <c r="BG622" s="1065">
        <f t="shared" si="8"/>
        <v>0</v>
      </c>
      <c r="BH622" s="974"/>
      <c r="BI622" s="1076">
        <f t="shared" si="9"/>
        <v>0</v>
      </c>
      <c r="BJ622" s="974"/>
      <c r="BK622" s="1065">
        <f t="shared" si="10"/>
        <v>0</v>
      </c>
      <c r="BL622" s="974"/>
      <c r="BN622" s="1065">
        <f t="shared" si="1"/>
        <v>0</v>
      </c>
      <c r="BO622" s="973"/>
      <c r="BP622" s="973"/>
      <c r="BQ622" s="973"/>
      <c r="BR622" s="974"/>
      <c r="BS622" s="1065">
        <f t="shared" si="2"/>
        <v>0</v>
      </c>
      <c r="BT622" s="973"/>
      <c r="BU622" s="973"/>
      <c r="BV622" s="973"/>
      <c r="BW622" s="974"/>
      <c r="BX622" s="1065">
        <f t="shared" si="3"/>
        <v>0</v>
      </c>
      <c r="BY622" s="973"/>
      <c r="BZ622" s="973"/>
      <c r="CA622" s="973"/>
      <c r="CB622" s="974"/>
      <c r="CC622" s="1065">
        <f t="shared" si="4"/>
        <v>0</v>
      </c>
      <c r="CD622" s="973"/>
      <c r="CE622" s="973"/>
      <c r="CF622" s="973"/>
      <c r="CG622" s="974"/>
      <c r="CH622" s="1065">
        <f t="shared" si="5"/>
        <v>0</v>
      </c>
      <c r="CI622" s="973"/>
      <c r="CJ622" s="973"/>
      <c r="CK622" s="973"/>
      <c r="CL622" s="974"/>
      <c r="CM622" s="1194">
        <f t="shared" si="6"/>
        <v>0</v>
      </c>
      <c r="CN622" s="1093"/>
      <c r="CO622" s="1093"/>
      <c r="CP622" s="1093"/>
      <c r="CQ622" s="1094"/>
      <c r="CS622" s="1067">
        <f t="shared" si="11"/>
        <v>0</v>
      </c>
      <c r="CT622" s="973"/>
      <c r="CU622" s="973"/>
      <c r="CV622" s="973"/>
      <c r="CW622" s="974"/>
      <c r="CX622" s="1067">
        <f t="shared" si="12"/>
        <v>0</v>
      </c>
      <c r="CY622" s="973"/>
      <c r="CZ622" s="973"/>
      <c r="DA622" s="973"/>
      <c r="DB622" s="974"/>
      <c r="DC622" s="1067">
        <f t="shared" si="13"/>
        <v>0</v>
      </c>
      <c r="DD622" s="973"/>
      <c r="DE622" s="973"/>
      <c r="DF622" s="973"/>
      <c r="DG622" s="974"/>
      <c r="DH622" s="1067">
        <f t="shared" si="14"/>
        <v>0</v>
      </c>
      <c r="DI622" s="973"/>
      <c r="DJ622" s="973"/>
      <c r="DK622" s="973"/>
      <c r="DL622" s="974"/>
      <c r="DM622" s="1067">
        <f t="shared" si="15"/>
        <v>0</v>
      </c>
      <c r="DN622" s="973"/>
      <c r="DO622" s="973"/>
      <c r="DP622" s="973"/>
      <c r="DQ622" s="974"/>
      <c r="DR622" s="1067">
        <f t="shared" si="16"/>
        <v>0</v>
      </c>
      <c r="DS622" s="973"/>
      <c r="DT622" s="973"/>
      <c r="DU622" s="973"/>
      <c r="DV622" s="974"/>
    </row>
    <row r="623" spans="1:126" ht="12.95" customHeight="1">
      <c r="A623" s="3"/>
      <c r="B623" s="3"/>
      <c r="C623" s="3"/>
      <c r="AZ623" s="41"/>
      <c r="BA623" s="41"/>
      <c r="BB623" s="41"/>
      <c r="BC623" s="41"/>
      <c r="BD623" s="41"/>
      <c r="BE623" s="1076">
        <f t="shared" si="7"/>
        <v>0</v>
      </c>
      <c r="BF623" s="974"/>
      <c r="BG623" s="1065">
        <f t="shared" si="8"/>
        <v>0</v>
      </c>
      <c r="BH623" s="974"/>
      <c r="BI623" s="1076">
        <f t="shared" si="9"/>
        <v>0</v>
      </c>
      <c r="BJ623" s="974"/>
      <c r="BK623" s="1065">
        <f t="shared" si="10"/>
        <v>0</v>
      </c>
      <c r="BL623" s="974"/>
      <c r="BN623" s="1065">
        <f t="shared" si="1"/>
        <v>0</v>
      </c>
      <c r="BO623" s="973"/>
      <c r="BP623" s="973"/>
      <c r="BQ623" s="973"/>
      <c r="BR623" s="974"/>
      <c r="BS623" s="1065">
        <f t="shared" si="2"/>
        <v>0</v>
      </c>
      <c r="BT623" s="973"/>
      <c r="BU623" s="973"/>
      <c r="BV623" s="973"/>
      <c r="BW623" s="974"/>
      <c r="BX623" s="1065">
        <f t="shared" si="3"/>
        <v>0</v>
      </c>
      <c r="BY623" s="973"/>
      <c r="BZ623" s="973"/>
      <c r="CA623" s="973"/>
      <c r="CB623" s="974"/>
      <c r="CC623" s="1065">
        <f t="shared" si="4"/>
        <v>0</v>
      </c>
      <c r="CD623" s="973"/>
      <c r="CE623" s="973"/>
      <c r="CF623" s="973"/>
      <c r="CG623" s="974"/>
      <c r="CH623" s="1065">
        <f t="shared" si="5"/>
        <v>0</v>
      </c>
      <c r="CI623" s="973"/>
      <c r="CJ623" s="973"/>
      <c r="CK623" s="973"/>
      <c r="CL623" s="974"/>
      <c r="CM623" s="1194">
        <f t="shared" si="6"/>
        <v>0</v>
      </c>
      <c r="CN623" s="1093"/>
      <c r="CO623" s="1093"/>
      <c r="CP623" s="1093"/>
      <c r="CQ623" s="1094"/>
      <c r="CS623" s="1067">
        <f t="shared" si="11"/>
        <v>0</v>
      </c>
      <c r="CT623" s="973"/>
      <c r="CU623" s="973"/>
      <c r="CV623" s="973"/>
      <c r="CW623" s="974"/>
      <c r="CX623" s="1067">
        <f t="shared" si="12"/>
        <v>0</v>
      </c>
      <c r="CY623" s="973"/>
      <c r="CZ623" s="973"/>
      <c r="DA623" s="973"/>
      <c r="DB623" s="974"/>
      <c r="DC623" s="1067">
        <f t="shared" si="13"/>
        <v>0</v>
      </c>
      <c r="DD623" s="973"/>
      <c r="DE623" s="973"/>
      <c r="DF623" s="973"/>
      <c r="DG623" s="974"/>
      <c r="DH623" s="1067">
        <f t="shared" si="14"/>
        <v>0</v>
      </c>
      <c r="DI623" s="973"/>
      <c r="DJ623" s="973"/>
      <c r="DK623" s="973"/>
      <c r="DL623" s="974"/>
      <c r="DM623" s="1067">
        <f t="shared" si="15"/>
        <v>0</v>
      </c>
      <c r="DN623" s="973"/>
      <c r="DO623" s="973"/>
      <c r="DP623" s="973"/>
      <c r="DQ623" s="974"/>
      <c r="DR623" s="1067">
        <f t="shared" si="16"/>
        <v>0</v>
      </c>
      <c r="DS623" s="973"/>
      <c r="DT623" s="973"/>
      <c r="DU623" s="973"/>
      <c r="DV623" s="974"/>
    </row>
    <row r="624" spans="1:126" ht="12.95" customHeight="1">
      <c r="C624" s="3" t="s">
        <v>616</v>
      </c>
      <c r="AZ624" s="41"/>
      <c r="BA624" s="41"/>
      <c r="BB624" s="41"/>
      <c r="BC624" s="41"/>
      <c r="BD624" s="41"/>
      <c r="BE624" s="1076">
        <f t="shared" si="7"/>
        <v>0</v>
      </c>
      <c r="BF624" s="974"/>
      <c r="BG624" s="1065">
        <f t="shared" si="8"/>
        <v>0</v>
      </c>
      <c r="BH624" s="974"/>
      <c r="BI624" s="1076">
        <f t="shared" si="9"/>
        <v>0</v>
      </c>
      <c r="BJ624" s="974"/>
      <c r="BK624" s="1065">
        <f t="shared" si="10"/>
        <v>0</v>
      </c>
      <c r="BL624" s="974"/>
      <c r="BN624" s="1065">
        <f t="shared" si="1"/>
        <v>0</v>
      </c>
      <c r="BO624" s="973"/>
      <c r="BP624" s="973"/>
      <c r="BQ624" s="973"/>
      <c r="BR624" s="974"/>
      <c r="BS624" s="1065">
        <f t="shared" si="2"/>
        <v>0</v>
      </c>
      <c r="BT624" s="973"/>
      <c r="BU624" s="973"/>
      <c r="BV624" s="973"/>
      <c r="BW624" s="974"/>
      <c r="BX624" s="1065">
        <f t="shared" si="3"/>
        <v>0</v>
      </c>
      <c r="BY624" s="973"/>
      <c r="BZ624" s="973"/>
      <c r="CA624" s="973"/>
      <c r="CB624" s="974"/>
      <c r="CC624" s="1065">
        <f t="shared" si="4"/>
        <v>0</v>
      </c>
      <c r="CD624" s="973"/>
      <c r="CE624" s="973"/>
      <c r="CF624" s="973"/>
      <c r="CG624" s="974"/>
      <c r="CH624" s="1065">
        <f t="shared" si="5"/>
        <v>0</v>
      </c>
      <c r="CI624" s="973"/>
      <c r="CJ624" s="973"/>
      <c r="CK624" s="973"/>
      <c r="CL624" s="974"/>
      <c r="CM624" s="1194">
        <f t="shared" si="6"/>
        <v>0</v>
      </c>
      <c r="CN624" s="1093"/>
      <c r="CO624" s="1093"/>
      <c r="CP624" s="1093"/>
      <c r="CQ624" s="1094"/>
      <c r="CS624" s="1067">
        <f t="shared" si="11"/>
        <v>0</v>
      </c>
      <c r="CT624" s="973"/>
      <c r="CU624" s="973"/>
      <c r="CV624" s="973"/>
      <c r="CW624" s="974"/>
      <c r="CX624" s="1067">
        <f t="shared" si="12"/>
        <v>0</v>
      </c>
      <c r="CY624" s="973"/>
      <c r="CZ624" s="973"/>
      <c r="DA624" s="973"/>
      <c r="DB624" s="974"/>
      <c r="DC624" s="1067">
        <f t="shared" si="13"/>
        <v>0</v>
      </c>
      <c r="DD624" s="973"/>
      <c r="DE624" s="973"/>
      <c r="DF624" s="973"/>
      <c r="DG624" s="974"/>
      <c r="DH624" s="1067">
        <f t="shared" si="14"/>
        <v>0</v>
      </c>
      <c r="DI624" s="973"/>
      <c r="DJ624" s="973"/>
      <c r="DK624" s="973"/>
      <c r="DL624" s="974"/>
      <c r="DM624" s="1067">
        <f t="shared" si="15"/>
        <v>0</v>
      </c>
      <c r="DN624" s="973"/>
      <c r="DO624" s="973"/>
      <c r="DP624" s="973"/>
      <c r="DQ624" s="974"/>
      <c r="DR624" s="1067">
        <f t="shared" si="16"/>
        <v>0</v>
      </c>
      <c r="DS624" s="973"/>
      <c r="DT624" s="973"/>
      <c r="DU624" s="973"/>
      <c r="DV624" s="974"/>
    </row>
    <row r="625" spans="2:126" ht="12.95" customHeight="1">
      <c r="B625" s="833"/>
      <c r="C625" s="3"/>
      <c r="AZ625" s="41"/>
      <c r="BA625" s="41"/>
      <c r="BB625" s="41"/>
      <c r="BC625" s="41"/>
      <c r="BD625" s="41"/>
      <c r="BE625" s="1076">
        <f t="shared" si="7"/>
        <v>0</v>
      </c>
      <c r="BF625" s="974"/>
      <c r="BG625" s="1065">
        <f t="shared" si="8"/>
        <v>0</v>
      </c>
      <c r="BH625" s="974"/>
      <c r="BI625" s="1076">
        <f t="shared" si="9"/>
        <v>0</v>
      </c>
      <c r="BJ625" s="974"/>
      <c r="BK625" s="1065">
        <f t="shared" si="10"/>
        <v>0</v>
      </c>
      <c r="BL625" s="974"/>
      <c r="BN625" s="1065">
        <f t="shared" si="1"/>
        <v>0</v>
      </c>
      <c r="BO625" s="973"/>
      <c r="BP625" s="973"/>
      <c r="BQ625" s="973"/>
      <c r="BR625" s="974"/>
      <c r="BS625" s="1065">
        <f t="shared" si="2"/>
        <v>0</v>
      </c>
      <c r="BT625" s="973"/>
      <c r="BU625" s="973"/>
      <c r="BV625" s="973"/>
      <c r="BW625" s="974"/>
      <c r="BX625" s="1065">
        <f t="shared" si="3"/>
        <v>0</v>
      </c>
      <c r="BY625" s="973"/>
      <c r="BZ625" s="973"/>
      <c r="CA625" s="973"/>
      <c r="CB625" s="974"/>
      <c r="CC625" s="1065">
        <f t="shared" si="4"/>
        <v>0</v>
      </c>
      <c r="CD625" s="973"/>
      <c r="CE625" s="973"/>
      <c r="CF625" s="973"/>
      <c r="CG625" s="974"/>
      <c r="CH625" s="1065">
        <f t="shared" si="5"/>
        <v>0</v>
      </c>
      <c r="CI625" s="973"/>
      <c r="CJ625" s="973"/>
      <c r="CK625" s="973"/>
      <c r="CL625" s="974"/>
      <c r="CM625" s="1194">
        <f t="shared" si="6"/>
        <v>0</v>
      </c>
      <c r="CN625" s="1093"/>
      <c r="CO625" s="1093"/>
      <c r="CP625" s="1093"/>
      <c r="CQ625" s="1094"/>
      <c r="CS625" s="1067">
        <f t="shared" si="11"/>
        <v>0</v>
      </c>
      <c r="CT625" s="973"/>
      <c r="CU625" s="973"/>
      <c r="CV625" s="973"/>
      <c r="CW625" s="974"/>
      <c r="CX625" s="1067">
        <f t="shared" si="12"/>
        <v>0</v>
      </c>
      <c r="CY625" s="973"/>
      <c r="CZ625" s="973"/>
      <c r="DA625" s="973"/>
      <c r="DB625" s="974"/>
      <c r="DC625" s="1067">
        <f t="shared" si="13"/>
        <v>0</v>
      </c>
      <c r="DD625" s="973"/>
      <c r="DE625" s="973"/>
      <c r="DF625" s="973"/>
      <c r="DG625" s="974"/>
      <c r="DH625" s="1067">
        <f t="shared" si="14"/>
        <v>0</v>
      </c>
      <c r="DI625" s="973"/>
      <c r="DJ625" s="973"/>
      <c r="DK625" s="973"/>
      <c r="DL625" s="974"/>
      <c r="DM625" s="1067">
        <f t="shared" si="15"/>
        <v>0</v>
      </c>
      <c r="DN625" s="973"/>
      <c r="DO625" s="973"/>
      <c r="DP625" s="973"/>
      <c r="DQ625" s="974"/>
      <c r="DR625" s="1067">
        <f t="shared" si="16"/>
        <v>0</v>
      </c>
      <c r="DS625" s="973"/>
      <c r="DT625" s="973"/>
      <c r="DU625" s="973"/>
      <c r="DV625" s="974"/>
    </row>
    <row r="626" spans="2:126" ht="12.95" customHeight="1">
      <c r="B626" s="1284" t="s">
        <v>617</v>
      </c>
      <c r="C626" s="1073"/>
      <c r="D626" s="1073"/>
      <c r="E626" s="1073"/>
      <c r="F626" s="1073"/>
      <c r="G626" s="1073"/>
      <c r="H626" s="1073"/>
      <c r="I626" s="1073"/>
      <c r="J626" s="1073"/>
      <c r="K626" s="1073"/>
      <c r="L626" s="1073"/>
      <c r="M626" s="1121" t="s">
        <v>618</v>
      </c>
      <c r="N626" s="1073"/>
      <c r="O626" s="1073"/>
      <c r="P626" s="1074"/>
      <c r="Q626" s="1121" t="s">
        <v>658</v>
      </c>
      <c r="R626" s="1073"/>
      <c r="S626" s="1074"/>
      <c r="T626" s="1121" t="s">
        <v>659</v>
      </c>
      <c r="U626" s="1073"/>
      <c r="V626" s="1074"/>
      <c r="W626" s="1246" t="s">
        <v>621</v>
      </c>
      <c r="X626" s="1073"/>
      <c r="Y626" s="1074"/>
      <c r="Z626" s="1121" t="s">
        <v>660</v>
      </c>
      <c r="AA626" s="1073"/>
      <c r="AB626" s="1074"/>
      <c r="AC626" s="1276" t="s">
        <v>623</v>
      </c>
      <c r="AD626" s="1073"/>
      <c r="AE626" s="1074"/>
      <c r="AF626" s="1121" t="s">
        <v>661</v>
      </c>
      <c r="AG626" s="1073"/>
      <c r="AH626" s="1073"/>
      <c r="AI626" s="1073"/>
      <c r="AJ626" s="1074"/>
      <c r="AK626" s="1268" t="s">
        <v>662</v>
      </c>
      <c r="AL626" s="1073"/>
      <c r="AM626" s="1073"/>
      <c r="AN626" s="1074"/>
      <c r="AO626" s="1121" t="s">
        <v>625</v>
      </c>
      <c r="AP626" s="1073"/>
      <c r="AQ626" s="1073"/>
      <c r="AR626" s="1073"/>
      <c r="AS626" s="1074"/>
      <c r="AT626" s="41"/>
      <c r="AU626" s="41"/>
      <c r="AV626" s="41"/>
      <c r="AW626" s="41"/>
      <c r="AX626" s="41"/>
      <c r="AY626" s="41"/>
      <c r="AZ626" s="41"/>
      <c r="BE626" s="1076">
        <f t="shared" si="7"/>
        <v>0</v>
      </c>
      <c r="BF626" s="974"/>
      <c r="BG626" s="1065">
        <f t="shared" si="8"/>
        <v>0</v>
      </c>
      <c r="BH626" s="974"/>
      <c r="BI626" s="1076">
        <f t="shared" si="9"/>
        <v>0</v>
      </c>
      <c r="BJ626" s="974"/>
      <c r="BK626" s="1065">
        <f t="shared" si="10"/>
        <v>0</v>
      </c>
      <c r="BL626" s="974"/>
      <c r="BN626" s="1065">
        <f t="shared" si="1"/>
        <v>0</v>
      </c>
      <c r="BO626" s="973"/>
      <c r="BP626" s="973"/>
      <c r="BQ626" s="973"/>
      <c r="BR626" s="974"/>
      <c r="BS626" s="1065">
        <f t="shared" si="2"/>
        <v>0</v>
      </c>
      <c r="BT626" s="973"/>
      <c r="BU626" s="973"/>
      <c r="BV626" s="973"/>
      <c r="BW626" s="974"/>
      <c r="BX626" s="1065">
        <f t="shared" si="3"/>
        <v>0</v>
      </c>
      <c r="BY626" s="973"/>
      <c r="BZ626" s="973"/>
      <c r="CA626" s="973"/>
      <c r="CB626" s="974"/>
      <c r="CC626" s="1065">
        <f t="shared" si="4"/>
        <v>0</v>
      </c>
      <c r="CD626" s="973"/>
      <c r="CE626" s="973"/>
      <c r="CF626" s="973"/>
      <c r="CG626" s="974"/>
      <c r="CH626" s="1065">
        <f t="shared" si="5"/>
        <v>0</v>
      </c>
      <c r="CI626" s="973"/>
      <c r="CJ626" s="973"/>
      <c r="CK626" s="973"/>
      <c r="CL626" s="974"/>
      <c r="CM626" s="1194">
        <f t="shared" si="6"/>
        <v>0</v>
      </c>
      <c r="CN626" s="1093"/>
      <c r="CO626" s="1093"/>
      <c r="CP626" s="1093"/>
      <c r="CQ626" s="1094"/>
      <c r="CS626" s="1067">
        <f t="shared" si="11"/>
        <v>0</v>
      </c>
      <c r="CT626" s="973"/>
      <c r="CU626" s="973"/>
      <c r="CV626" s="973"/>
      <c r="CW626" s="974"/>
      <c r="CX626" s="1067">
        <f t="shared" si="12"/>
        <v>0</v>
      </c>
      <c r="CY626" s="973"/>
      <c r="CZ626" s="973"/>
      <c r="DA626" s="973"/>
      <c r="DB626" s="974"/>
      <c r="DC626" s="1067">
        <f t="shared" si="13"/>
        <v>0</v>
      </c>
      <c r="DD626" s="973"/>
      <c r="DE626" s="973"/>
      <c r="DF626" s="973"/>
      <c r="DG626" s="974"/>
      <c r="DH626" s="1067">
        <f t="shared" si="14"/>
        <v>0</v>
      </c>
      <c r="DI626" s="973"/>
      <c r="DJ626" s="973"/>
      <c r="DK626" s="973"/>
      <c r="DL626" s="974"/>
      <c r="DM626" s="1067">
        <f t="shared" si="15"/>
        <v>0</v>
      </c>
      <c r="DN626" s="973"/>
      <c r="DO626" s="973"/>
      <c r="DP626" s="973"/>
      <c r="DQ626" s="974"/>
      <c r="DR626" s="1067">
        <f t="shared" si="16"/>
        <v>0</v>
      </c>
      <c r="DS626" s="973"/>
      <c r="DT626" s="973"/>
      <c r="DU626" s="973"/>
      <c r="DV626" s="974"/>
    </row>
    <row r="627" spans="2:126" ht="12.95" customHeight="1">
      <c r="B627" s="1091"/>
      <c r="C627" s="1113"/>
      <c r="D627" s="976"/>
      <c r="E627" s="976"/>
      <c r="F627" s="976"/>
      <c r="G627" s="976"/>
      <c r="H627" s="976"/>
      <c r="I627" s="976"/>
      <c r="J627" s="976"/>
      <c r="K627" s="976"/>
      <c r="L627" s="976"/>
      <c r="M627" s="1091"/>
      <c r="N627" s="976"/>
      <c r="O627" s="976"/>
      <c r="P627" s="977"/>
      <c r="Q627" s="1091"/>
      <c r="R627" s="976"/>
      <c r="S627" s="977"/>
      <c r="T627" s="1091"/>
      <c r="U627" s="976"/>
      <c r="V627" s="977"/>
      <c r="W627" s="976"/>
      <c r="X627" s="976"/>
      <c r="Y627" s="977"/>
      <c r="Z627" s="1091"/>
      <c r="AA627" s="976"/>
      <c r="AB627" s="977"/>
      <c r="AC627" s="1091"/>
      <c r="AD627" s="976"/>
      <c r="AE627" s="977"/>
      <c r="AF627" s="1091"/>
      <c r="AG627" s="976"/>
      <c r="AH627" s="976"/>
      <c r="AI627" s="976"/>
      <c r="AJ627" s="977"/>
      <c r="AK627" s="1091"/>
      <c r="AL627" s="976"/>
      <c r="AM627" s="976"/>
      <c r="AN627" s="977"/>
      <c r="AO627" s="1091"/>
      <c r="AP627" s="976"/>
      <c r="AQ627" s="976"/>
      <c r="AR627" s="976"/>
      <c r="AS627" s="977"/>
      <c r="AT627" s="41"/>
      <c r="AU627" s="41"/>
      <c r="AV627" s="41"/>
      <c r="AW627" s="41"/>
      <c r="AX627" s="41"/>
      <c r="AY627" s="41"/>
      <c r="AZ627" s="41"/>
      <c r="BE627" s="1076">
        <f t="shared" si="7"/>
        <v>0</v>
      </c>
      <c r="BF627" s="974"/>
      <c r="BG627" s="1065">
        <f t="shared" si="8"/>
        <v>0</v>
      </c>
      <c r="BH627" s="974"/>
      <c r="BI627" s="1076">
        <f t="shared" si="9"/>
        <v>0</v>
      </c>
      <c r="BJ627" s="974"/>
      <c r="BK627" s="1065">
        <f t="shared" si="10"/>
        <v>0</v>
      </c>
      <c r="BL627" s="974"/>
      <c r="BN627" s="1065">
        <f t="shared" si="1"/>
        <v>0</v>
      </c>
      <c r="BO627" s="973"/>
      <c r="BP627" s="973"/>
      <c r="BQ627" s="973"/>
      <c r="BR627" s="974"/>
      <c r="BS627" s="1065">
        <f t="shared" si="2"/>
        <v>0</v>
      </c>
      <c r="BT627" s="973"/>
      <c r="BU627" s="973"/>
      <c r="BV627" s="973"/>
      <c r="BW627" s="974"/>
      <c r="BX627" s="1065">
        <f t="shared" si="3"/>
        <v>0</v>
      </c>
      <c r="BY627" s="973"/>
      <c r="BZ627" s="973"/>
      <c r="CA627" s="973"/>
      <c r="CB627" s="974"/>
      <c r="CC627" s="1065">
        <f t="shared" si="4"/>
        <v>0</v>
      </c>
      <c r="CD627" s="973"/>
      <c r="CE627" s="973"/>
      <c r="CF627" s="973"/>
      <c r="CG627" s="974"/>
      <c r="CH627" s="1065">
        <f t="shared" si="5"/>
        <v>0</v>
      </c>
      <c r="CI627" s="973"/>
      <c r="CJ627" s="973"/>
      <c r="CK627" s="973"/>
      <c r="CL627" s="974"/>
      <c r="CM627" s="1194">
        <f t="shared" si="6"/>
        <v>0</v>
      </c>
      <c r="CN627" s="1093"/>
      <c r="CO627" s="1093"/>
      <c r="CP627" s="1093"/>
      <c r="CQ627" s="1094"/>
      <c r="CS627" s="1067">
        <f t="shared" si="11"/>
        <v>0</v>
      </c>
      <c r="CT627" s="973"/>
      <c r="CU627" s="973"/>
      <c r="CV627" s="973"/>
      <c r="CW627" s="974"/>
      <c r="CX627" s="1067">
        <f t="shared" si="12"/>
        <v>0</v>
      </c>
      <c r="CY627" s="973"/>
      <c r="CZ627" s="973"/>
      <c r="DA627" s="973"/>
      <c r="DB627" s="974"/>
      <c r="DC627" s="1067">
        <f t="shared" si="13"/>
        <v>0</v>
      </c>
      <c r="DD627" s="973"/>
      <c r="DE627" s="973"/>
      <c r="DF627" s="973"/>
      <c r="DG627" s="974"/>
      <c r="DH627" s="1067">
        <f t="shared" si="14"/>
        <v>0</v>
      </c>
      <c r="DI627" s="973"/>
      <c r="DJ627" s="973"/>
      <c r="DK627" s="973"/>
      <c r="DL627" s="974"/>
      <c r="DM627" s="1067">
        <f t="shared" si="15"/>
        <v>0</v>
      </c>
      <c r="DN627" s="973"/>
      <c r="DO627" s="973"/>
      <c r="DP627" s="973"/>
      <c r="DQ627" s="974"/>
      <c r="DR627" s="1067">
        <f t="shared" si="16"/>
        <v>0</v>
      </c>
      <c r="DS627" s="973"/>
      <c r="DT627" s="973"/>
      <c r="DU627" s="973"/>
      <c r="DV627" s="974"/>
    </row>
    <row r="628" spans="2:126" ht="12.95" customHeight="1">
      <c r="B628" s="1092"/>
      <c r="C628" s="1093"/>
      <c r="D628" s="1093"/>
      <c r="E628" s="1093"/>
      <c r="F628" s="1093"/>
      <c r="G628" s="1093"/>
      <c r="H628" s="1093"/>
      <c r="I628" s="1093"/>
      <c r="J628" s="1093"/>
      <c r="K628" s="1093"/>
      <c r="L628" s="1093"/>
      <c r="M628" s="1092"/>
      <c r="N628" s="1093"/>
      <c r="O628" s="1093"/>
      <c r="P628" s="1094"/>
      <c r="Q628" s="1092"/>
      <c r="R628" s="1093"/>
      <c r="S628" s="1094"/>
      <c r="T628" s="1092"/>
      <c r="U628" s="1093"/>
      <c r="V628" s="1094"/>
      <c r="W628" s="1093"/>
      <c r="X628" s="1093"/>
      <c r="Y628" s="1094"/>
      <c r="Z628" s="1092"/>
      <c r="AA628" s="1093"/>
      <c r="AB628" s="1094"/>
      <c r="AC628" s="1092"/>
      <c r="AD628" s="1093"/>
      <c r="AE628" s="1094"/>
      <c r="AF628" s="1092"/>
      <c r="AG628" s="1093"/>
      <c r="AH628" s="1093"/>
      <c r="AI628" s="1093"/>
      <c r="AJ628" s="1094"/>
      <c r="AK628" s="1092"/>
      <c r="AL628" s="1093"/>
      <c r="AM628" s="1093"/>
      <c r="AN628" s="1094"/>
      <c r="AO628" s="1092"/>
      <c r="AP628" s="1093"/>
      <c r="AQ628" s="1093"/>
      <c r="AR628" s="1093"/>
      <c r="AS628" s="1094"/>
      <c r="AT628" s="43"/>
      <c r="AU628" s="43"/>
      <c r="AV628" s="43"/>
      <c r="AW628" s="43"/>
      <c r="AX628" s="43"/>
      <c r="AY628" s="43"/>
      <c r="AZ628" s="43"/>
      <c r="BE628" s="1076">
        <f t="shared" si="7"/>
        <v>0</v>
      </c>
      <c r="BF628" s="974"/>
      <c r="BG628" s="1065">
        <f t="shared" si="8"/>
        <v>0</v>
      </c>
      <c r="BH628" s="974"/>
      <c r="BI628" s="1076">
        <f t="shared" si="9"/>
        <v>0</v>
      </c>
      <c r="BJ628" s="974"/>
      <c r="BK628" s="1065">
        <f t="shared" si="10"/>
        <v>0</v>
      </c>
      <c r="BL628" s="974"/>
      <c r="BN628" s="1065">
        <f t="shared" si="1"/>
        <v>0</v>
      </c>
      <c r="BO628" s="973"/>
      <c r="BP628" s="973"/>
      <c r="BQ628" s="973"/>
      <c r="BR628" s="974"/>
      <c r="BS628" s="1065">
        <f t="shared" si="2"/>
        <v>0</v>
      </c>
      <c r="BT628" s="973"/>
      <c r="BU628" s="973"/>
      <c r="BV628" s="973"/>
      <c r="BW628" s="974"/>
      <c r="BX628" s="1065">
        <f t="shared" si="3"/>
        <v>0</v>
      </c>
      <c r="BY628" s="973"/>
      <c r="BZ628" s="973"/>
      <c r="CA628" s="973"/>
      <c r="CB628" s="974"/>
      <c r="CC628" s="1065">
        <f t="shared" si="4"/>
        <v>0</v>
      </c>
      <c r="CD628" s="973"/>
      <c r="CE628" s="973"/>
      <c r="CF628" s="973"/>
      <c r="CG628" s="974"/>
      <c r="CH628" s="1065">
        <f t="shared" si="5"/>
        <v>0</v>
      </c>
      <c r="CI628" s="973"/>
      <c r="CJ628" s="973"/>
      <c r="CK628" s="973"/>
      <c r="CL628" s="974"/>
      <c r="CM628" s="1194">
        <f t="shared" si="6"/>
        <v>0</v>
      </c>
      <c r="CN628" s="1093"/>
      <c r="CO628" s="1093"/>
      <c r="CP628" s="1093"/>
      <c r="CQ628" s="1094"/>
      <c r="CS628" s="1067">
        <f t="shared" si="11"/>
        <v>0</v>
      </c>
      <c r="CT628" s="973"/>
      <c r="CU628" s="973"/>
      <c r="CV628" s="973"/>
      <c r="CW628" s="974"/>
      <c r="CX628" s="1067">
        <f t="shared" si="12"/>
        <v>0</v>
      </c>
      <c r="CY628" s="973"/>
      <c r="CZ628" s="973"/>
      <c r="DA628" s="973"/>
      <c r="DB628" s="974"/>
      <c r="DC628" s="1067">
        <f t="shared" si="13"/>
        <v>0</v>
      </c>
      <c r="DD628" s="973"/>
      <c r="DE628" s="973"/>
      <c r="DF628" s="973"/>
      <c r="DG628" s="974"/>
      <c r="DH628" s="1067">
        <f t="shared" si="14"/>
        <v>0</v>
      </c>
      <c r="DI628" s="973"/>
      <c r="DJ628" s="973"/>
      <c r="DK628" s="973"/>
      <c r="DL628" s="974"/>
      <c r="DM628" s="1067">
        <f t="shared" si="15"/>
        <v>0</v>
      </c>
      <c r="DN628" s="973"/>
      <c r="DO628" s="973"/>
      <c r="DP628" s="973"/>
      <c r="DQ628" s="974"/>
      <c r="DR628" s="1067">
        <f t="shared" si="16"/>
        <v>0</v>
      </c>
      <c r="DS628" s="973"/>
      <c r="DT628" s="973"/>
      <c r="DU628" s="973"/>
      <c r="DV628" s="974"/>
    </row>
    <row r="629" spans="2:126" ht="12.95" customHeight="1">
      <c r="B629" s="57" t="s">
        <v>626</v>
      </c>
      <c r="C629" s="1132" t="s">
        <v>2430</v>
      </c>
      <c r="D629" s="1063"/>
      <c r="E629" s="1063"/>
      <c r="F629" s="1063"/>
      <c r="G629" s="1063"/>
      <c r="H629" s="1063"/>
      <c r="I629" s="1063"/>
      <c r="J629" s="1063"/>
      <c r="K629" s="1063"/>
      <c r="L629" s="1064"/>
      <c r="M629" s="1134" t="s">
        <v>593</v>
      </c>
      <c r="N629" s="1063"/>
      <c r="O629" s="1063"/>
      <c r="P629" s="1064"/>
      <c r="Q629" s="1133">
        <v>420</v>
      </c>
      <c r="R629" s="1063"/>
      <c r="S629" s="1064"/>
      <c r="T629" s="1137">
        <v>420</v>
      </c>
      <c r="U629" s="1063"/>
      <c r="V629" s="1064"/>
      <c r="W629" s="1170">
        <v>6.5000000000000002E-2</v>
      </c>
      <c r="X629" s="1063"/>
      <c r="Y629" s="1064"/>
      <c r="Z629" s="1107" t="s">
        <v>475</v>
      </c>
      <c r="AA629" s="1063"/>
      <c r="AB629" s="1064"/>
      <c r="AC629" s="1157"/>
      <c r="AD629" s="1063"/>
      <c r="AE629" s="1064"/>
      <c r="AF629" s="1070">
        <v>317438</v>
      </c>
      <c r="AG629" s="1063"/>
      <c r="AH629" s="1063"/>
      <c r="AI629" s="1063"/>
      <c r="AJ629" s="1064"/>
      <c r="AK629" s="1135"/>
      <c r="AL629" s="1063"/>
      <c r="AM629" s="1063"/>
      <c r="AN629" s="1064"/>
      <c r="AO629" s="1069">
        <v>4378548</v>
      </c>
      <c r="AP629" s="1063"/>
      <c r="AQ629" s="1063"/>
      <c r="AR629" s="1063"/>
      <c r="AS629" s="1064"/>
      <c r="AT629" s="937" t="str">
        <f t="shared" ref="AT629:AT640" si="17">IF(AND(NOT(C628=""),C629="",NOT(C630="")),"!","")</f>
        <v/>
      </c>
      <c r="AU629" s="43"/>
      <c r="AV629" s="43"/>
      <c r="AW629" s="43"/>
      <c r="AX629" s="43"/>
      <c r="AY629" s="43"/>
      <c r="BA629" s="41" t="s">
        <v>475</v>
      </c>
      <c r="BC629" s="43"/>
      <c r="BD629" s="43"/>
      <c r="BE629" s="1076">
        <f t="shared" si="7"/>
        <v>0</v>
      </c>
      <c r="BF629" s="974"/>
      <c r="BG629" s="1065">
        <f t="shared" si="8"/>
        <v>0</v>
      </c>
      <c r="BH629" s="974"/>
      <c r="BI629" s="1076">
        <f t="shared" si="9"/>
        <v>0</v>
      </c>
      <c r="BJ629" s="974"/>
      <c r="BK629" s="1065">
        <f t="shared" si="10"/>
        <v>0</v>
      </c>
      <c r="BL629" s="974"/>
      <c r="BN629" s="1065">
        <f t="shared" si="1"/>
        <v>0</v>
      </c>
      <c r="BO629" s="973"/>
      <c r="BP629" s="973"/>
      <c r="BQ629" s="973"/>
      <c r="BR629" s="974"/>
      <c r="BS629" s="1065">
        <f t="shared" si="2"/>
        <v>0</v>
      </c>
      <c r="BT629" s="973"/>
      <c r="BU629" s="973"/>
      <c r="BV629" s="973"/>
      <c r="BW629" s="974"/>
      <c r="BX629" s="1065">
        <f t="shared" si="3"/>
        <v>0</v>
      </c>
      <c r="BY629" s="973"/>
      <c r="BZ629" s="973"/>
      <c r="CA629" s="973"/>
      <c r="CB629" s="974"/>
      <c r="CC629" s="1065">
        <f t="shared" si="4"/>
        <v>0</v>
      </c>
      <c r="CD629" s="973"/>
      <c r="CE629" s="973"/>
      <c r="CF629" s="973"/>
      <c r="CG629" s="974"/>
      <c r="CH629" s="1065">
        <f t="shared" si="5"/>
        <v>0</v>
      </c>
      <c r="CI629" s="973"/>
      <c r="CJ629" s="973"/>
      <c r="CK629" s="973"/>
      <c r="CL629" s="974"/>
      <c r="CM629" s="1194">
        <f t="shared" si="6"/>
        <v>0</v>
      </c>
      <c r="CN629" s="1093"/>
      <c r="CO629" s="1093"/>
      <c r="CP629" s="1093"/>
      <c r="CQ629" s="1094"/>
      <c r="CS629" s="1067">
        <f t="shared" si="11"/>
        <v>0</v>
      </c>
      <c r="CT629" s="973"/>
      <c r="CU629" s="973"/>
      <c r="CV629" s="973"/>
      <c r="CW629" s="974"/>
      <c r="CX629" s="1067">
        <f t="shared" si="12"/>
        <v>0</v>
      </c>
      <c r="CY629" s="973"/>
      <c r="CZ629" s="973"/>
      <c r="DA629" s="973"/>
      <c r="DB629" s="974"/>
      <c r="DC629" s="1067">
        <f t="shared" si="13"/>
        <v>0</v>
      </c>
      <c r="DD629" s="973"/>
      <c r="DE629" s="973"/>
      <c r="DF629" s="973"/>
      <c r="DG629" s="974"/>
      <c r="DH629" s="1067">
        <f t="shared" si="14"/>
        <v>0</v>
      </c>
      <c r="DI629" s="973"/>
      <c r="DJ629" s="973"/>
      <c r="DK629" s="973"/>
      <c r="DL629" s="974"/>
      <c r="DM629" s="1067">
        <f t="shared" si="15"/>
        <v>0</v>
      </c>
      <c r="DN629" s="973"/>
      <c r="DO629" s="973"/>
      <c r="DP629" s="973"/>
      <c r="DQ629" s="974"/>
      <c r="DR629" s="1067">
        <f t="shared" si="16"/>
        <v>0</v>
      </c>
      <c r="DS629" s="973"/>
      <c r="DT629" s="973"/>
      <c r="DU629" s="973"/>
      <c r="DV629" s="974"/>
    </row>
    <row r="630" spans="2:126" ht="12.95" customHeight="1">
      <c r="B630" s="58" t="s">
        <v>627</v>
      </c>
      <c r="C630" s="1132" t="s">
        <v>2431</v>
      </c>
      <c r="D630" s="1063"/>
      <c r="E630" s="1063"/>
      <c r="F630" s="1063"/>
      <c r="G630" s="1063"/>
      <c r="H630" s="1063"/>
      <c r="I630" s="1063"/>
      <c r="J630" s="1063"/>
      <c r="K630" s="1063"/>
      <c r="L630" s="1064"/>
      <c r="M630" s="1134" t="s">
        <v>592</v>
      </c>
      <c r="N630" s="1063"/>
      <c r="O630" s="1063"/>
      <c r="P630" s="1064"/>
      <c r="Q630" s="1133"/>
      <c r="R630" s="1063"/>
      <c r="S630" s="1064"/>
      <c r="T630" s="1137"/>
      <c r="U630" s="1063"/>
      <c r="V630" s="1064"/>
      <c r="W630" s="1170"/>
      <c r="X630" s="1063"/>
      <c r="Y630" s="1064"/>
      <c r="Z630" s="1107" t="s">
        <v>475</v>
      </c>
      <c r="AA630" s="1063"/>
      <c r="AB630" s="1064"/>
      <c r="AC630" s="1157"/>
      <c r="AD630" s="1063"/>
      <c r="AE630" s="1064"/>
      <c r="AF630" s="1070"/>
      <c r="AG630" s="1063"/>
      <c r="AH630" s="1063"/>
      <c r="AI630" s="1063"/>
      <c r="AJ630" s="1064"/>
      <c r="AK630" s="1135"/>
      <c r="AL630" s="1063"/>
      <c r="AM630" s="1063"/>
      <c r="AN630" s="1064"/>
      <c r="AO630" s="1069">
        <v>4000000</v>
      </c>
      <c r="AP630" s="1063"/>
      <c r="AQ630" s="1063"/>
      <c r="AR630" s="1063"/>
      <c r="AS630" s="1064"/>
      <c r="AT630" s="937" t="str">
        <f t="shared" si="17"/>
        <v/>
      </c>
      <c r="AU630" s="43"/>
      <c r="AV630" s="43"/>
      <c r="AW630" s="43"/>
      <c r="AX630" s="43"/>
      <c r="AY630" s="43"/>
      <c r="BA630" s="41" t="s">
        <v>663</v>
      </c>
      <c r="BC630" s="43"/>
      <c r="BD630" s="43"/>
      <c r="BE630" s="1076">
        <f t="shared" si="7"/>
        <v>0</v>
      </c>
      <c r="BF630" s="974"/>
      <c r="BG630" s="1065">
        <f t="shared" si="8"/>
        <v>0</v>
      </c>
      <c r="BH630" s="974"/>
      <c r="BI630" s="1076">
        <f t="shared" si="9"/>
        <v>0</v>
      </c>
      <c r="BJ630" s="974"/>
      <c r="BK630" s="1065">
        <f t="shared" si="10"/>
        <v>0</v>
      </c>
      <c r="BL630" s="974"/>
      <c r="BN630" s="1065">
        <f t="shared" si="1"/>
        <v>0</v>
      </c>
      <c r="BO630" s="973"/>
      <c r="BP630" s="973"/>
      <c r="BQ630" s="973"/>
      <c r="BR630" s="974"/>
      <c r="BS630" s="1065">
        <f t="shared" si="2"/>
        <v>0</v>
      </c>
      <c r="BT630" s="973"/>
      <c r="BU630" s="973"/>
      <c r="BV630" s="973"/>
      <c r="BW630" s="974"/>
      <c r="BX630" s="1065">
        <f t="shared" si="3"/>
        <v>0</v>
      </c>
      <c r="BY630" s="973"/>
      <c r="BZ630" s="973"/>
      <c r="CA630" s="973"/>
      <c r="CB630" s="974"/>
      <c r="CC630" s="1065">
        <f t="shared" si="4"/>
        <v>0</v>
      </c>
      <c r="CD630" s="973"/>
      <c r="CE630" s="973"/>
      <c r="CF630" s="973"/>
      <c r="CG630" s="974"/>
      <c r="CH630" s="1065">
        <f t="shared" si="5"/>
        <v>0</v>
      </c>
      <c r="CI630" s="973"/>
      <c r="CJ630" s="973"/>
      <c r="CK630" s="973"/>
      <c r="CL630" s="974"/>
      <c r="CM630" s="1194">
        <f t="shared" si="6"/>
        <v>0</v>
      </c>
      <c r="CN630" s="1093"/>
      <c r="CO630" s="1093"/>
      <c r="CP630" s="1093"/>
      <c r="CQ630" s="1094"/>
      <c r="CS630" s="1067">
        <f t="shared" si="11"/>
        <v>0</v>
      </c>
      <c r="CT630" s="973"/>
      <c r="CU630" s="973"/>
      <c r="CV630" s="973"/>
      <c r="CW630" s="974"/>
      <c r="CX630" s="1067">
        <f t="shared" si="12"/>
        <v>0</v>
      </c>
      <c r="CY630" s="973"/>
      <c r="CZ630" s="973"/>
      <c r="DA630" s="973"/>
      <c r="DB630" s="974"/>
      <c r="DC630" s="1067">
        <f t="shared" si="13"/>
        <v>0</v>
      </c>
      <c r="DD630" s="973"/>
      <c r="DE630" s="973"/>
      <c r="DF630" s="973"/>
      <c r="DG630" s="974"/>
      <c r="DH630" s="1067">
        <f t="shared" si="14"/>
        <v>0</v>
      </c>
      <c r="DI630" s="973"/>
      <c r="DJ630" s="973"/>
      <c r="DK630" s="973"/>
      <c r="DL630" s="974"/>
      <c r="DM630" s="1067">
        <f t="shared" si="15"/>
        <v>0</v>
      </c>
      <c r="DN630" s="973"/>
      <c r="DO630" s="973"/>
      <c r="DP630" s="973"/>
      <c r="DQ630" s="974"/>
      <c r="DR630" s="1067">
        <f t="shared" si="16"/>
        <v>0</v>
      </c>
      <c r="DS630" s="973"/>
      <c r="DT630" s="973"/>
      <c r="DU630" s="973"/>
      <c r="DV630" s="974"/>
    </row>
    <row r="631" spans="2:126" ht="12.95" customHeight="1">
      <c r="B631" s="58" t="s">
        <v>628</v>
      </c>
      <c r="C631" s="1132" t="s">
        <v>2432</v>
      </c>
      <c r="D631" s="1063"/>
      <c r="E631" s="1063"/>
      <c r="F631" s="1063"/>
      <c r="G631" s="1063"/>
      <c r="H631" s="1063"/>
      <c r="I631" s="1063"/>
      <c r="J631" s="1063"/>
      <c r="K631" s="1063"/>
      <c r="L631" s="1064"/>
      <c r="M631" s="1134" t="s">
        <v>586</v>
      </c>
      <c r="N631" s="1063"/>
      <c r="O631" s="1063"/>
      <c r="P631" s="1064"/>
      <c r="Q631" s="1133"/>
      <c r="R631" s="1063"/>
      <c r="S631" s="1064"/>
      <c r="T631" s="1137"/>
      <c r="U631" s="1063"/>
      <c r="V631" s="1064"/>
      <c r="W631" s="1170"/>
      <c r="X631" s="1063"/>
      <c r="Y631" s="1064"/>
      <c r="Z631" s="1107" t="s">
        <v>475</v>
      </c>
      <c r="AA631" s="1063"/>
      <c r="AB631" s="1064"/>
      <c r="AC631" s="1157"/>
      <c r="AD631" s="1063"/>
      <c r="AE631" s="1064"/>
      <c r="AF631" s="1070"/>
      <c r="AG631" s="1063"/>
      <c r="AH631" s="1063"/>
      <c r="AI631" s="1063"/>
      <c r="AJ631" s="1064"/>
      <c r="AK631" s="1135"/>
      <c r="AL631" s="1063"/>
      <c r="AM631" s="1063"/>
      <c r="AN631" s="1064"/>
      <c r="AO631" s="1069">
        <v>954890</v>
      </c>
      <c r="AP631" s="1063"/>
      <c r="AQ631" s="1063"/>
      <c r="AR631" s="1063"/>
      <c r="AS631" s="1064"/>
      <c r="AT631" s="937" t="str">
        <f t="shared" si="17"/>
        <v/>
      </c>
      <c r="AU631" s="43"/>
      <c r="AV631" s="43"/>
      <c r="AW631" s="43"/>
      <c r="AX631" s="43"/>
      <c r="AY631" s="43"/>
      <c r="AZ631" s="43"/>
      <c r="BA631" s="41" t="s">
        <v>664</v>
      </c>
      <c r="BB631" s="43"/>
      <c r="BC631" s="43"/>
      <c r="BD631" s="43"/>
      <c r="BE631" s="1076">
        <f t="shared" si="7"/>
        <v>0</v>
      </c>
      <c r="BF631" s="974"/>
      <c r="BG631" s="1065">
        <f t="shared" si="8"/>
        <v>0</v>
      </c>
      <c r="BH631" s="974"/>
      <c r="BI631" s="1076">
        <f t="shared" si="9"/>
        <v>0</v>
      </c>
      <c r="BJ631" s="974"/>
      <c r="BK631" s="1065">
        <f t="shared" si="10"/>
        <v>0</v>
      </c>
      <c r="BL631" s="974"/>
      <c r="BN631" s="1065">
        <f t="shared" si="1"/>
        <v>0</v>
      </c>
      <c r="BO631" s="973"/>
      <c r="BP631" s="973"/>
      <c r="BQ631" s="973"/>
      <c r="BR631" s="974"/>
      <c r="BS631" s="1065">
        <f t="shared" si="2"/>
        <v>0</v>
      </c>
      <c r="BT631" s="973"/>
      <c r="BU631" s="973"/>
      <c r="BV631" s="973"/>
      <c r="BW631" s="974"/>
      <c r="BX631" s="1065">
        <f t="shared" si="3"/>
        <v>0</v>
      </c>
      <c r="BY631" s="973"/>
      <c r="BZ631" s="973"/>
      <c r="CA631" s="973"/>
      <c r="CB631" s="974"/>
      <c r="CC631" s="1065">
        <f t="shared" si="4"/>
        <v>0</v>
      </c>
      <c r="CD631" s="973"/>
      <c r="CE631" s="973"/>
      <c r="CF631" s="973"/>
      <c r="CG631" s="974"/>
      <c r="CH631" s="1065">
        <f t="shared" si="5"/>
        <v>0</v>
      </c>
      <c r="CI631" s="973"/>
      <c r="CJ631" s="973"/>
      <c r="CK631" s="973"/>
      <c r="CL631" s="974"/>
      <c r="CM631" s="1194">
        <f t="shared" si="6"/>
        <v>0</v>
      </c>
      <c r="CN631" s="1093"/>
      <c r="CO631" s="1093"/>
      <c r="CP631" s="1093"/>
      <c r="CQ631" s="1094"/>
      <c r="CS631" s="1067">
        <f t="shared" si="11"/>
        <v>0</v>
      </c>
      <c r="CT631" s="973"/>
      <c r="CU631" s="973"/>
      <c r="CV631" s="973"/>
      <c r="CW631" s="974"/>
      <c r="CX631" s="1067">
        <f t="shared" si="12"/>
        <v>0</v>
      </c>
      <c r="CY631" s="973"/>
      <c r="CZ631" s="973"/>
      <c r="DA631" s="973"/>
      <c r="DB631" s="974"/>
      <c r="DC631" s="1067">
        <f t="shared" si="13"/>
        <v>0</v>
      </c>
      <c r="DD631" s="973"/>
      <c r="DE631" s="973"/>
      <c r="DF631" s="973"/>
      <c r="DG631" s="974"/>
      <c r="DH631" s="1067">
        <f t="shared" si="14"/>
        <v>0</v>
      </c>
      <c r="DI631" s="973"/>
      <c r="DJ631" s="973"/>
      <c r="DK631" s="973"/>
      <c r="DL631" s="974"/>
      <c r="DM631" s="1067">
        <f t="shared" si="15"/>
        <v>0</v>
      </c>
      <c r="DN631" s="973"/>
      <c r="DO631" s="973"/>
      <c r="DP631" s="973"/>
      <c r="DQ631" s="974"/>
      <c r="DR631" s="1067">
        <f t="shared" si="16"/>
        <v>0</v>
      </c>
      <c r="DS631" s="973"/>
      <c r="DT631" s="973"/>
      <c r="DU631" s="973"/>
      <c r="DV631" s="974"/>
    </row>
    <row r="632" spans="2:126" ht="12.95" customHeight="1">
      <c r="B632" s="58" t="s">
        <v>629</v>
      </c>
      <c r="C632" s="1132"/>
      <c r="D632" s="1063"/>
      <c r="E632" s="1063"/>
      <c r="F632" s="1063"/>
      <c r="G632" s="1063"/>
      <c r="H632" s="1063"/>
      <c r="I632" s="1063"/>
      <c r="J632" s="1063"/>
      <c r="K632" s="1063"/>
      <c r="L632" s="1064"/>
      <c r="M632" s="1134" t="s">
        <v>475</v>
      </c>
      <c r="N632" s="1063"/>
      <c r="O632" s="1063"/>
      <c r="P632" s="1064"/>
      <c r="Q632" s="1133"/>
      <c r="R632" s="1063"/>
      <c r="S632" s="1064"/>
      <c r="T632" s="1137"/>
      <c r="U632" s="1063"/>
      <c r="V632" s="1064"/>
      <c r="W632" s="1170"/>
      <c r="X632" s="1063"/>
      <c r="Y632" s="1064"/>
      <c r="Z632" s="1107" t="s">
        <v>475</v>
      </c>
      <c r="AA632" s="1063"/>
      <c r="AB632" s="1064"/>
      <c r="AC632" s="1157"/>
      <c r="AD632" s="1063"/>
      <c r="AE632" s="1064"/>
      <c r="AF632" s="1070"/>
      <c r="AG632" s="1063"/>
      <c r="AH632" s="1063"/>
      <c r="AI632" s="1063"/>
      <c r="AJ632" s="1064"/>
      <c r="AK632" s="1135"/>
      <c r="AL632" s="1063"/>
      <c r="AM632" s="1063"/>
      <c r="AN632" s="1064"/>
      <c r="AO632" s="1069"/>
      <c r="AP632" s="1063"/>
      <c r="AQ632" s="1063"/>
      <c r="AR632" s="1063"/>
      <c r="AS632" s="1064"/>
      <c r="AT632" s="937" t="str">
        <f t="shared" si="17"/>
        <v/>
      </c>
      <c r="AU632" s="43"/>
      <c r="AV632" s="43"/>
      <c r="AW632" s="43"/>
      <c r="AX632" s="43"/>
      <c r="AY632" s="43"/>
      <c r="AZ632" s="43"/>
      <c r="BA632" s="41" t="s">
        <v>665</v>
      </c>
      <c r="BE632" s="1076">
        <f t="shared" si="7"/>
        <v>0</v>
      </c>
      <c r="BF632" s="974"/>
      <c r="BG632" s="1065">
        <f t="shared" si="8"/>
        <v>0</v>
      </c>
      <c r="BH632" s="974"/>
      <c r="BI632" s="1076">
        <f t="shared" si="9"/>
        <v>0</v>
      </c>
      <c r="BJ632" s="974"/>
      <c r="BK632" s="1065">
        <f t="shared" si="10"/>
        <v>0</v>
      </c>
      <c r="BL632" s="974"/>
      <c r="BN632" s="1065">
        <f t="shared" si="1"/>
        <v>0</v>
      </c>
      <c r="BO632" s="973"/>
      <c r="BP632" s="973"/>
      <c r="BQ632" s="973"/>
      <c r="BR632" s="974"/>
      <c r="BS632" s="1065">
        <f t="shared" si="2"/>
        <v>0</v>
      </c>
      <c r="BT632" s="973"/>
      <c r="BU632" s="973"/>
      <c r="BV632" s="973"/>
      <c r="BW632" s="974"/>
      <c r="BX632" s="1065">
        <f t="shared" si="3"/>
        <v>0</v>
      </c>
      <c r="BY632" s="973"/>
      <c r="BZ632" s="973"/>
      <c r="CA632" s="973"/>
      <c r="CB632" s="974"/>
      <c r="CC632" s="1065">
        <f t="shared" si="4"/>
        <v>0</v>
      </c>
      <c r="CD632" s="973"/>
      <c r="CE632" s="973"/>
      <c r="CF632" s="973"/>
      <c r="CG632" s="974"/>
      <c r="CH632" s="1065">
        <f t="shared" si="5"/>
        <v>0</v>
      </c>
      <c r="CI632" s="973"/>
      <c r="CJ632" s="973"/>
      <c r="CK632" s="973"/>
      <c r="CL632" s="974"/>
      <c r="CM632" s="1194">
        <f t="shared" si="6"/>
        <v>0</v>
      </c>
      <c r="CN632" s="1093"/>
      <c r="CO632" s="1093"/>
      <c r="CP632" s="1093"/>
      <c r="CQ632" s="1094"/>
      <c r="CS632" s="1067">
        <f t="shared" si="11"/>
        <v>0</v>
      </c>
      <c r="CT632" s="973"/>
      <c r="CU632" s="973"/>
      <c r="CV632" s="973"/>
      <c r="CW632" s="974"/>
      <c r="CX632" s="1067">
        <f t="shared" si="12"/>
        <v>0</v>
      </c>
      <c r="CY632" s="973"/>
      <c r="CZ632" s="973"/>
      <c r="DA632" s="973"/>
      <c r="DB632" s="974"/>
      <c r="DC632" s="1067">
        <f t="shared" si="13"/>
        <v>0</v>
      </c>
      <c r="DD632" s="973"/>
      <c r="DE632" s="973"/>
      <c r="DF632" s="973"/>
      <c r="DG632" s="974"/>
      <c r="DH632" s="1067">
        <f t="shared" si="14"/>
        <v>0</v>
      </c>
      <c r="DI632" s="973"/>
      <c r="DJ632" s="973"/>
      <c r="DK632" s="973"/>
      <c r="DL632" s="974"/>
      <c r="DM632" s="1067">
        <f t="shared" si="15"/>
        <v>0</v>
      </c>
      <c r="DN632" s="973"/>
      <c r="DO632" s="973"/>
      <c r="DP632" s="973"/>
      <c r="DQ632" s="974"/>
      <c r="DR632" s="1067">
        <f t="shared" si="16"/>
        <v>0</v>
      </c>
      <c r="DS632" s="973"/>
      <c r="DT632" s="973"/>
      <c r="DU632" s="973"/>
      <c r="DV632" s="974"/>
    </row>
    <row r="633" spans="2:126" ht="12.95" customHeight="1">
      <c r="B633" s="58" t="s">
        <v>630</v>
      </c>
      <c r="C633" s="1132"/>
      <c r="D633" s="1063"/>
      <c r="E633" s="1063"/>
      <c r="F633" s="1063"/>
      <c r="G633" s="1063"/>
      <c r="H633" s="1063"/>
      <c r="I633" s="1063"/>
      <c r="J633" s="1063"/>
      <c r="K633" s="1063"/>
      <c r="L633" s="1064"/>
      <c r="M633" s="1134" t="s">
        <v>475</v>
      </c>
      <c r="N633" s="1063"/>
      <c r="O633" s="1063"/>
      <c r="P633" s="1064"/>
      <c r="Q633" s="1133"/>
      <c r="R633" s="1063"/>
      <c r="S633" s="1064"/>
      <c r="T633" s="1137"/>
      <c r="U633" s="1063"/>
      <c r="V633" s="1064"/>
      <c r="W633" s="1170"/>
      <c r="X633" s="1063"/>
      <c r="Y633" s="1064"/>
      <c r="Z633" s="1107" t="s">
        <v>475</v>
      </c>
      <c r="AA633" s="1063"/>
      <c r="AB633" s="1064"/>
      <c r="AC633" s="1157"/>
      <c r="AD633" s="1063"/>
      <c r="AE633" s="1064"/>
      <c r="AF633" s="1070"/>
      <c r="AG633" s="1063"/>
      <c r="AH633" s="1063"/>
      <c r="AI633" s="1063"/>
      <c r="AJ633" s="1064"/>
      <c r="AK633" s="1135"/>
      <c r="AL633" s="1063"/>
      <c r="AM633" s="1063"/>
      <c r="AN633" s="1064"/>
      <c r="AO633" s="1069"/>
      <c r="AP633" s="1063"/>
      <c r="AQ633" s="1063"/>
      <c r="AR633" s="1063"/>
      <c r="AS633" s="1064"/>
      <c r="AT633" s="937" t="str">
        <f t="shared" si="17"/>
        <v/>
      </c>
      <c r="AU633" s="43"/>
      <c r="AV633" s="43"/>
      <c r="AW633" s="43"/>
      <c r="AX633" s="43"/>
      <c r="AY633" s="43"/>
      <c r="AZ633" s="43"/>
      <c r="BA633" s="41" t="s">
        <v>278</v>
      </c>
      <c r="BE633" s="1076">
        <f t="shared" si="7"/>
        <v>0</v>
      </c>
      <c r="BF633" s="974"/>
      <c r="BG633" s="1065">
        <f t="shared" si="8"/>
        <v>0</v>
      </c>
      <c r="BH633" s="974"/>
      <c r="BI633" s="1076">
        <f t="shared" si="9"/>
        <v>0</v>
      </c>
      <c r="BJ633" s="974"/>
      <c r="BK633" s="1065">
        <f t="shared" si="10"/>
        <v>0</v>
      </c>
      <c r="BL633" s="974"/>
      <c r="BN633" s="1065">
        <f t="shared" si="1"/>
        <v>0</v>
      </c>
      <c r="BO633" s="973"/>
      <c r="BP633" s="973"/>
      <c r="BQ633" s="973"/>
      <c r="BR633" s="974"/>
      <c r="BS633" s="1065">
        <f t="shared" si="2"/>
        <v>0</v>
      </c>
      <c r="BT633" s="973"/>
      <c r="BU633" s="973"/>
      <c r="BV633" s="973"/>
      <c r="BW633" s="974"/>
      <c r="BX633" s="1065">
        <f t="shared" si="3"/>
        <v>0</v>
      </c>
      <c r="BY633" s="973"/>
      <c r="BZ633" s="973"/>
      <c r="CA633" s="973"/>
      <c r="CB633" s="974"/>
      <c r="CC633" s="1065">
        <f t="shared" si="4"/>
        <v>0</v>
      </c>
      <c r="CD633" s="973"/>
      <c r="CE633" s="973"/>
      <c r="CF633" s="973"/>
      <c r="CG633" s="974"/>
      <c r="CH633" s="1065">
        <f t="shared" si="5"/>
        <v>0</v>
      </c>
      <c r="CI633" s="973"/>
      <c r="CJ633" s="973"/>
      <c r="CK633" s="973"/>
      <c r="CL633" s="974"/>
      <c r="CM633" s="1194">
        <f t="shared" si="6"/>
        <v>0</v>
      </c>
      <c r="CN633" s="1093"/>
      <c r="CO633" s="1093"/>
      <c r="CP633" s="1093"/>
      <c r="CQ633" s="1094"/>
      <c r="CS633" s="1067">
        <f t="shared" si="11"/>
        <v>0</v>
      </c>
      <c r="CT633" s="973"/>
      <c r="CU633" s="973"/>
      <c r="CV633" s="973"/>
      <c r="CW633" s="974"/>
      <c r="CX633" s="1067">
        <f t="shared" si="12"/>
        <v>0</v>
      </c>
      <c r="CY633" s="973"/>
      <c r="CZ633" s="973"/>
      <c r="DA633" s="973"/>
      <c r="DB633" s="974"/>
      <c r="DC633" s="1067">
        <f t="shared" si="13"/>
        <v>0</v>
      </c>
      <c r="DD633" s="973"/>
      <c r="DE633" s="973"/>
      <c r="DF633" s="973"/>
      <c r="DG633" s="974"/>
      <c r="DH633" s="1067">
        <f t="shared" si="14"/>
        <v>0</v>
      </c>
      <c r="DI633" s="973"/>
      <c r="DJ633" s="973"/>
      <c r="DK633" s="973"/>
      <c r="DL633" s="974"/>
      <c r="DM633" s="1067">
        <f t="shared" si="15"/>
        <v>0</v>
      </c>
      <c r="DN633" s="973"/>
      <c r="DO633" s="973"/>
      <c r="DP633" s="973"/>
      <c r="DQ633" s="974"/>
      <c r="DR633" s="1067">
        <f t="shared" si="16"/>
        <v>0</v>
      </c>
      <c r="DS633" s="973"/>
      <c r="DT633" s="973"/>
      <c r="DU633" s="973"/>
      <c r="DV633" s="974"/>
    </row>
    <row r="634" spans="2:126" ht="12.95" customHeight="1">
      <c r="B634" s="58" t="s">
        <v>631</v>
      </c>
      <c r="C634" s="1132"/>
      <c r="D634" s="1063"/>
      <c r="E634" s="1063"/>
      <c r="F634" s="1063"/>
      <c r="G634" s="1063"/>
      <c r="H634" s="1063"/>
      <c r="I634" s="1063"/>
      <c r="J634" s="1063"/>
      <c r="K634" s="1063"/>
      <c r="L634" s="1064"/>
      <c r="M634" s="1134" t="s">
        <v>475</v>
      </c>
      <c r="N634" s="1063"/>
      <c r="O634" s="1063"/>
      <c r="P634" s="1064"/>
      <c r="Q634" s="1133"/>
      <c r="R634" s="1063"/>
      <c r="S634" s="1064"/>
      <c r="T634" s="1137"/>
      <c r="U634" s="1063"/>
      <c r="V634" s="1064"/>
      <c r="W634" s="1170"/>
      <c r="X634" s="1063"/>
      <c r="Y634" s="1064"/>
      <c r="Z634" s="1107" t="s">
        <v>475</v>
      </c>
      <c r="AA634" s="1063"/>
      <c r="AB634" s="1064"/>
      <c r="AC634" s="1157"/>
      <c r="AD634" s="1063"/>
      <c r="AE634" s="1064"/>
      <c r="AF634" s="1070"/>
      <c r="AG634" s="1063"/>
      <c r="AH634" s="1063"/>
      <c r="AI634" s="1063"/>
      <c r="AJ634" s="1064"/>
      <c r="AK634" s="1135"/>
      <c r="AL634" s="1063"/>
      <c r="AM634" s="1063"/>
      <c r="AN634" s="1064"/>
      <c r="AO634" s="1069"/>
      <c r="AP634" s="1063"/>
      <c r="AQ634" s="1063"/>
      <c r="AR634" s="1063"/>
      <c r="AS634" s="1064"/>
      <c r="AT634" s="937" t="str">
        <f t="shared" si="17"/>
        <v/>
      </c>
      <c r="AU634" s="43"/>
      <c r="AV634" s="43"/>
      <c r="AW634" s="43"/>
      <c r="AX634" s="43"/>
      <c r="AY634" s="43"/>
      <c r="AZ634" s="43"/>
      <c r="BE634" s="1076">
        <f t="shared" si="7"/>
        <v>0</v>
      </c>
      <c r="BF634" s="974"/>
      <c r="BG634" s="1065">
        <f t="shared" si="8"/>
        <v>0</v>
      </c>
      <c r="BH634" s="974"/>
      <c r="BI634" s="1076">
        <f t="shared" si="9"/>
        <v>0</v>
      </c>
      <c r="BJ634" s="974"/>
      <c r="BK634" s="1065">
        <f t="shared" si="10"/>
        <v>0</v>
      </c>
      <c r="BL634" s="974"/>
      <c r="BN634" s="1076">
        <f>SUM(BN599:BR633)</f>
        <v>38</v>
      </c>
      <c r="BO634" s="973"/>
      <c r="BP634" s="973"/>
      <c r="BQ634" s="973"/>
      <c r="BR634" s="974"/>
      <c r="BS634" s="1076">
        <f>SUM(BS599:BW633)</f>
        <v>0</v>
      </c>
      <c r="BT634" s="973"/>
      <c r="BU634" s="973"/>
      <c r="BV634" s="973"/>
      <c r="BW634" s="974"/>
      <c r="BX634" s="1076">
        <f>SUM(BX599:CB633)</f>
        <v>0</v>
      </c>
      <c r="BY634" s="973"/>
      <c r="BZ634" s="973"/>
      <c r="CA634" s="973"/>
      <c r="CB634" s="974"/>
      <c r="CC634" s="1076">
        <f>SUM(CC599:CG633)</f>
        <v>0</v>
      </c>
      <c r="CD634" s="973"/>
      <c r="CE634" s="973"/>
      <c r="CF634" s="973"/>
      <c r="CG634" s="974"/>
      <c r="CH634" s="1076">
        <f>SUM(CH599:CL633)</f>
        <v>0</v>
      </c>
      <c r="CI634" s="973"/>
      <c r="CJ634" s="973"/>
      <c r="CK634" s="973"/>
      <c r="CL634" s="974"/>
      <c r="CM634" s="1076">
        <f>SUM(CM599:CQ633)</f>
        <v>0</v>
      </c>
      <c r="CN634" s="973"/>
      <c r="CO634" s="973"/>
      <c r="CP634" s="973"/>
      <c r="CQ634" s="974"/>
      <c r="CS634" s="1067">
        <f t="shared" si="11"/>
        <v>0</v>
      </c>
      <c r="CT634" s="973"/>
      <c r="CU634" s="973"/>
      <c r="CV634" s="973"/>
      <c r="CW634" s="974"/>
      <c r="CX634" s="1067">
        <f t="shared" si="12"/>
        <v>0</v>
      </c>
      <c r="CY634" s="973"/>
      <c r="CZ634" s="973"/>
      <c r="DA634" s="973"/>
      <c r="DB634" s="974"/>
      <c r="DC634" s="1067">
        <f t="shared" si="13"/>
        <v>0</v>
      </c>
      <c r="DD634" s="973"/>
      <c r="DE634" s="973"/>
      <c r="DF634" s="973"/>
      <c r="DG634" s="974"/>
      <c r="DH634" s="1067">
        <f t="shared" si="14"/>
        <v>0</v>
      </c>
      <c r="DI634" s="973"/>
      <c r="DJ634" s="973"/>
      <c r="DK634" s="973"/>
      <c r="DL634" s="974"/>
      <c r="DM634" s="1067">
        <f t="shared" si="15"/>
        <v>0</v>
      </c>
      <c r="DN634" s="973"/>
      <c r="DO634" s="973"/>
      <c r="DP634" s="973"/>
      <c r="DQ634" s="974"/>
      <c r="DR634" s="1067">
        <f t="shared" si="16"/>
        <v>0</v>
      </c>
      <c r="DS634" s="973"/>
      <c r="DT634" s="973"/>
      <c r="DU634" s="973"/>
      <c r="DV634" s="974"/>
    </row>
    <row r="635" spans="2:126" ht="12.95" customHeight="1" thickBot="1">
      <c r="B635" s="58" t="s">
        <v>632</v>
      </c>
      <c r="C635" s="1132"/>
      <c r="D635" s="1063"/>
      <c r="E635" s="1063"/>
      <c r="F635" s="1063"/>
      <c r="G635" s="1063"/>
      <c r="H635" s="1063"/>
      <c r="I635" s="1063"/>
      <c r="J635" s="1063"/>
      <c r="K635" s="1063"/>
      <c r="L635" s="1064"/>
      <c r="M635" s="1134" t="s">
        <v>475</v>
      </c>
      <c r="N635" s="1063"/>
      <c r="O635" s="1063"/>
      <c r="P635" s="1064"/>
      <c r="Q635" s="1133"/>
      <c r="R635" s="1063"/>
      <c r="S635" s="1064"/>
      <c r="T635" s="1137"/>
      <c r="U635" s="1063"/>
      <c r="V635" s="1064"/>
      <c r="W635" s="1170"/>
      <c r="X635" s="1063"/>
      <c r="Y635" s="1064"/>
      <c r="Z635" s="1107" t="s">
        <v>475</v>
      </c>
      <c r="AA635" s="1063"/>
      <c r="AB635" s="1064"/>
      <c r="AC635" s="1157"/>
      <c r="AD635" s="1063"/>
      <c r="AE635" s="1064"/>
      <c r="AF635" s="1070"/>
      <c r="AG635" s="1063"/>
      <c r="AH635" s="1063"/>
      <c r="AI635" s="1063"/>
      <c r="AJ635" s="1064"/>
      <c r="AK635" s="1135"/>
      <c r="AL635" s="1063"/>
      <c r="AM635" s="1063"/>
      <c r="AN635" s="1064"/>
      <c r="AO635" s="1069"/>
      <c r="AP635" s="1063"/>
      <c r="AQ635" s="1063"/>
      <c r="AR635" s="1063"/>
      <c r="AS635" s="1064"/>
      <c r="AT635" s="937" t="str">
        <f t="shared" si="17"/>
        <v/>
      </c>
      <c r="AU635" s="43"/>
      <c r="AV635" s="43"/>
      <c r="AW635" s="43"/>
      <c r="AX635" s="43"/>
      <c r="AY635" s="43"/>
      <c r="AZ635" s="43"/>
      <c r="BE635" s="41"/>
      <c r="BF635" s="41"/>
      <c r="BG635" s="1076">
        <f>SUM(BG600:BH634)</f>
        <v>21</v>
      </c>
      <c r="BH635" s="974"/>
      <c r="BI635" s="41"/>
      <c r="BJ635" s="41"/>
      <c r="BK635" s="1076">
        <f>SUM(BK600:BL634)</f>
        <v>5</v>
      </c>
      <c r="BL635" s="974"/>
      <c r="BN635" s="41" t="s">
        <v>666</v>
      </c>
      <c r="BO635" s="41"/>
      <c r="BP635" s="41"/>
      <c r="BQ635" s="41"/>
      <c r="BR635" s="464">
        <f>BN634*1</f>
        <v>38</v>
      </c>
      <c r="BS635" s="41"/>
      <c r="BT635" s="41"/>
      <c r="BU635" s="41"/>
      <c r="BV635" s="41"/>
      <c r="BW635" s="464">
        <f>BS634*1</f>
        <v>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76">
        <f>SUM(CS600:CW634)</f>
        <v>5</v>
      </c>
      <c r="CT635" s="973"/>
      <c r="CU635" s="973"/>
      <c r="CV635" s="973"/>
      <c r="CW635" s="974"/>
      <c r="CX635" s="1076">
        <f>SUM(CX600:DB634)</f>
        <v>0</v>
      </c>
      <c r="CY635" s="973"/>
      <c r="CZ635" s="973"/>
      <c r="DA635" s="973"/>
      <c r="DB635" s="974"/>
      <c r="DC635" s="1076">
        <f>SUM(DC600:DG634)</f>
        <v>0</v>
      </c>
      <c r="DD635" s="973"/>
      <c r="DE635" s="973"/>
      <c r="DF635" s="973"/>
      <c r="DG635" s="974"/>
      <c r="DH635" s="1076">
        <f>SUM(DH600:DL634)</f>
        <v>0</v>
      </c>
      <c r="DI635" s="973"/>
      <c r="DJ635" s="973"/>
      <c r="DK635" s="973"/>
      <c r="DL635" s="974"/>
      <c r="DM635" s="1076">
        <f>SUM(DM600:DQ634)</f>
        <v>0</v>
      </c>
      <c r="DN635" s="973"/>
      <c r="DO635" s="973"/>
      <c r="DP635" s="973"/>
      <c r="DQ635" s="974"/>
      <c r="DR635" s="1076">
        <f>SUM(DR600:DV634)</f>
        <v>0</v>
      </c>
      <c r="DS635" s="973"/>
      <c r="DT635" s="973"/>
      <c r="DU635" s="973"/>
      <c r="DV635" s="974"/>
    </row>
    <row r="636" spans="2:126" ht="12.95" customHeight="1" thickBot="1">
      <c r="B636" s="58" t="s">
        <v>633</v>
      </c>
      <c r="C636" s="1132"/>
      <c r="D636" s="1063"/>
      <c r="E636" s="1063"/>
      <c r="F636" s="1063"/>
      <c r="G636" s="1063"/>
      <c r="H636" s="1063"/>
      <c r="I636" s="1063"/>
      <c r="J636" s="1063"/>
      <c r="K636" s="1063"/>
      <c r="L636" s="1064"/>
      <c r="M636" s="1134" t="s">
        <v>475</v>
      </c>
      <c r="N636" s="1063"/>
      <c r="O636" s="1063"/>
      <c r="P636" s="1064"/>
      <c r="Q636" s="1133"/>
      <c r="R636" s="1063"/>
      <c r="S636" s="1064"/>
      <c r="T636" s="1137"/>
      <c r="U636" s="1063"/>
      <c r="V636" s="1064"/>
      <c r="W636" s="1170"/>
      <c r="X636" s="1063"/>
      <c r="Y636" s="1064"/>
      <c r="Z636" s="1107" t="s">
        <v>475</v>
      </c>
      <c r="AA636" s="1063"/>
      <c r="AB636" s="1064"/>
      <c r="AC636" s="1157"/>
      <c r="AD636" s="1063"/>
      <c r="AE636" s="1064"/>
      <c r="AF636" s="1070"/>
      <c r="AG636" s="1063"/>
      <c r="AH636" s="1063"/>
      <c r="AI636" s="1063"/>
      <c r="AJ636" s="1064"/>
      <c r="AK636" s="1135"/>
      <c r="AL636" s="1063"/>
      <c r="AM636" s="1063"/>
      <c r="AN636" s="1064"/>
      <c r="AO636" s="1069"/>
      <c r="AP636" s="1063"/>
      <c r="AQ636" s="1063"/>
      <c r="AR636" s="1063"/>
      <c r="AS636" s="1064"/>
      <c r="AT636" s="937" t="str">
        <f t="shared" si="17"/>
        <v/>
      </c>
      <c r="AU636" s="43"/>
      <c r="AV636" s="43"/>
      <c r="AW636" s="43"/>
      <c r="AX636" s="43"/>
      <c r="AY636" s="43"/>
      <c r="AZ636" s="43"/>
      <c r="BN636" s="41" t="s">
        <v>667</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668</v>
      </c>
      <c r="CQ636" s="465">
        <f>BR635+BW635+CB635+CG635+CL635+CQ635</f>
        <v>38</v>
      </c>
      <c r="CR636" s="41"/>
      <c r="CS636" s="41"/>
    </row>
    <row r="637" spans="2:126" ht="12.95" customHeight="1">
      <c r="B637" s="58" t="s">
        <v>634</v>
      </c>
      <c r="C637" s="1132"/>
      <c r="D637" s="1063"/>
      <c r="E637" s="1063"/>
      <c r="F637" s="1063"/>
      <c r="G637" s="1063"/>
      <c r="H637" s="1063"/>
      <c r="I637" s="1063"/>
      <c r="J637" s="1063"/>
      <c r="K637" s="1063"/>
      <c r="L637" s="1064"/>
      <c r="M637" s="1134" t="s">
        <v>475</v>
      </c>
      <c r="N637" s="1063"/>
      <c r="O637" s="1063"/>
      <c r="P637" s="1064"/>
      <c r="Q637" s="1133"/>
      <c r="R637" s="1063"/>
      <c r="S637" s="1064"/>
      <c r="T637" s="1137"/>
      <c r="U637" s="1063"/>
      <c r="V637" s="1064"/>
      <c r="W637" s="1170"/>
      <c r="X637" s="1063"/>
      <c r="Y637" s="1064"/>
      <c r="Z637" s="1107" t="s">
        <v>475</v>
      </c>
      <c r="AA637" s="1063"/>
      <c r="AB637" s="1064"/>
      <c r="AC637" s="1157"/>
      <c r="AD637" s="1063"/>
      <c r="AE637" s="1064"/>
      <c r="AF637" s="1070"/>
      <c r="AG637" s="1063"/>
      <c r="AH637" s="1063"/>
      <c r="AI637" s="1063"/>
      <c r="AJ637" s="1064"/>
      <c r="AK637" s="1135"/>
      <c r="AL637" s="1063"/>
      <c r="AM637" s="1063"/>
      <c r="AN637" s="1064"/>
      <c r="AO637" s="1069"/>
      <c r="AP637" s="1063"/>
      <c r="AQ637" s="1063"/>
      <c r="AR637" s="1063"/>
      <c r="AS637" s="1064"/>
      <c r="AT637" s="937" t="str">
        <f t="shared" si="17"/>
        <v/>
      </c>
      <c r="AU637" s="41"/>
      <c r="AV637" s="41"/>
      <c r="AW637" s="41"/>
      <c r="AX637" s="41"/>
      <c r="AY637" s="41"/>
      <c r="AZ637" s="41"/>
      <c r="BN637" s="1065">
        <f>IF(J760="SRO/Studio",O760,0)</f>
        <v>1</v>
      </c>
      <c r="BO637" s="973"/>
      <c r="BP637" s="973"/>
      <c r="BQ637" s="973"/>
      <c r="BR637" s="974"/>
      <c r="BS637" s="1065">
        <f>IF(J760="1 Bedroom",O760,0)</f>
        <v>0</v>
      </c>
      <c r="BT637" s="973"/>
      <c r="BU637" s="973"/>
      <c r="BV637" s="973"/>
      <c r="BW637" s="974"/>
      <c r="BX637" s="1065">
        <f>IF(J760="2 Bedrooms",O760,0)</f>
        <v>0</v>
      </c>
      <c r="BY637" s="973"/>
      <c r="BZ637" s="973"/>
      <c r="CA637" s="973"/>
      <c r="CB637" s="974"/>
      <c r="CC637" s="1065">
        <f>IF(J760="3 Bedrooms",O760,0)</f>
        <v>0</v>
      </c>
      <c r="CD637" s="973"/>
      <c r="CE637" s="973"/>
      <c r="CF637" s="973"/>
      <c r="CG637" s="974"/>
      <c r="CH637" s="1065">
        <f>IF(J760="4 Bedrooms",O760,0)</f>
        <v>0</v>
      </c>
      <c r="CI637" s="973"/>
      <c r="CJ637" s="973"/>
      <c r="CK637" s="973"/>
      <c r="CL637" s="974"/>
      <c r="CM637" s="1194">
        <f>IF(J760="5 Bedrooms",O760,0)</f>
        <v>0</v>
      </c>
      <c r="CN637" s="1093"/>
      <c r="CO637" s="1093"/>
      <c r="CP637" s="1093"/>
      <c r="CQ637" s="1094"/>
      <c r="CR637" s="41"/>
      <c r="CS637" s="41"/>
    </row>
    <row r="638" spans="2:126" ht="12.95" customHeight="1">
      <c r="B638" s="58" t="s">
        <v>635</v>
      </c>
      <c r="C638" s="1132"/>
      <c r="D638" s="1063"/>
      <c r="E638" s="1063"/>
      <c r="F638" s="1063"/>
      <c r="G638" s="1063"/>
      <c r="H638" s="1063"/>
      <c r="I638" s="1063"/>
      <c r="J638" s="1063"/>
      <c r="K638" s="1063"/>
      <c r="L638" s="1064"/>
      <c r="M638" s="1134" t="s">
        <v>475</v>
      </c>
      <c r="N638" s="1063"/>
      <c r="O638" s="1063"/>
      <c r="P638" s="1064"/>
      <c r="Q638" s="1133"/>
      <c r="R638" s="1063"/>
      <c r="S638" s="1064"/>
      <c r="T638" s="1137"/>
      <c r="U638" s="1063"/>
      <c r="V638" s="1064"/>
      <c r="W638" s="1170"/>
      <c r="X638" s="1063"/>
      <c r="Y638" s="1064"/>
      <c r="Z638" s="1107" t="s">
        <v>475</v>
      </c>
      <c r="AA638" s="1063"/>
      <c r="AB638" s="1064"/>
      <c r="AC638" s="1157"/>
      <c r="AD638" s="1063"/>
      <c r="AE638" s="1064"/>
      <c r="AF638" s="1070"/>
      <c r="AG638" s="1063"/>
      <c r="AH638" s="1063"/>
      <c r="AI638" s="1063"/>
      <c r="AJ638" s="1064"/>
      <c r="AK638" s="1135"/>
      <c r="AL638" s="1063"/>
      <c r="AM638" s="1063"/>
      <c r="AN638" s="1064"/>
      <c r="AO638" s="1069"/>
      <c r="AP638" s="1063"/>
      <c r="AQ638" s="1063"/>
      <c r="AR638" s="1063"/>
      <c r="AS638" s="1064"/>
      <c r="AT638" s="937" t="str">
        <f t="shared" si="17"/>
        <v/>
      </c>
      <c r="AU638" s="41"/>
      <c r="AV638" s="41"/>
      <c r="AW638" s="41"/>
      <c r="AX638" s="41"/>
      <c r="AY638" s="41"/>
      <c r="AZ638" s="41"/>
      <c r="BN638" s="1065">
        <f>IF(J761="SRO/Studio",O761,0)</f>
        <v>0</v>
      </c>
      <c r="BO638" s="973"/>
      <c r="BP638" s="973"/>
      <c r="BQ638" s="973"/>
      <c r="BR638" s="974"/>
      <c r="BS638" s="1065">
        <f>IF(J761="1 Bedroom",O761,0)</f>
        <v>0</v>
      </c>
      <c r="BT638" s="973"/>
      <c r="BU638" s="973"/>
      <c r="BV638" s="973"/>
      <c r="BW638" s="974"/>
      <c r="BX638" s="1065">
        <f>IF(J761="2 Bedrooms",O761,0)</f>
        <v>0</v>
      </c>
      <c r="BY638" s="973"/>
      <c r="BZ638" s="973"/>
      <c r="CA638" s="973"/>
      <c r="CB638" s="974"/>
      <c r="CC638" s="1065">
        <f>IF(J761="3 Bedrooms",O761,0)</f>
        <v>0</v>
      </c>
      <c r="CD638" s="973"/>
      <c r="CE638" s="973"/>
      <c r="CF638" s="973"/>
      <c r="CG638" s="974"/>
      <c r="CH638" s="1065">
        <f>IF(J761="4 Bedrooms",O761,0)</f>
        <v>0</v>
      </c>
      <c r="CI638" s="973"/>
      <c r="CJ638" s="973"/>
      <c r="CK638" s="973"/>
      <c r="CL638" s="974"/>
      <c r="CM638" s="1194">
        <f>IF(J761="5 Bedrooms",O761,0)</f>
        <v>0</v>
      </c>
      <c r="CN638" s="1093"/>
      <c r="CO638" s="1093"/>
      <c r="CP638" s="1093"/>
      <c r="CQ638" s="1094"/>
      <c r="CR638" s="41"/>
      <c r="CS638" s="41"/>
    </row>
    <row r="639" spans="2:126" ht="12.95" customHeight="1">
      <c r="B639" s="58" t="s">
        <v>636</v>
      </c>
      <c r="C639" s="1132"/>
      <c r="D639" s="1063"/>
      <c r="E639" s="1063"/>
      <c r="F639" s="1063"/>
      <c r="G639" s="1063"/>
      <c r="H639" s="1063"/>
      <c r="I639" s="1063"/>
      <c r="J639" s="1063"/>
      <c r="K639" s="1063"/>
      <c r="L639" s="1064"/>
      <c r="M639" s="1134" t="s">
        <v>475</v>
      </c>
      <c r="N639" s="1063"/>
      <c r="O639" s="1063"/>
      <c r="P639" s="1064"/>
      <c r="Q639" s="1133"/>
      <c r="R639" s="1063"/>
      <c r="S639" s="1064"/>
      <c r="T639" s="1137"/>
      <c r="U639" s="1063"/>
      <c r="V639" s="1064"/>
      <c r="W639" s="1170"/>
      <c r="X639" s="1063"/>
      <c r="Y639" s="1064"/>
      <c r="Z639" s="1107" t="s">
        <v>475</v>
      </c>
      <c r="AA639" s="1063"/>
      <c r="AB639" s="1064"/>
      <c r="AC639" s="1157"/>
      <c r="AD639" s="1063"/>
      <c r="AE639" s="1064"/>
      <c r="AF639" s="1070"/>
      <c r="AG639" s="1063"/>
      <c r="AH639" s="1063"/>
      <c r="AI639" s="1063"/>
      <c r="AJ639" s="1064"/>
      <c r="AK639" s="1135"/>
      <c r="AL639" s="1063"/>
      <c r="AM639" s="1063"/>
      <c r="AN639" s="1064"/>
      <c r="AO639" s="1069"/>
      <c r="AP639" s="1063"/>
      <c r="AQ639" s="1063"/>
      <c r="AR639" s="1063"/>
      <c r="AS639" s="1064"/>
      <c r="AT639" s="937" t="str">
        <f t="shared" si="17"/>
        <v/>
      </c>
      <c r="AU639" s="41"/>
      <c r="AV639" s="41"/>
      <c r="AW639" s="41"/>
      <c r="AX639" s="41"/>
      <c r="AY639" s="41"/>
      <c r="AZ639" s="41"/>
      <c r="BN639" s="1065">
        <f>IF(J762="SRO/Studio",O762,0)</f>
        <v>0</v>
      </c>
      <c r="BO639" s="973"/>
      <c r="BP639" s="973"/>
      <c r="BQ639" s="973"/>
      <c r="BR639" s="974"/>
      <c r="BS639" s="1065">
        <f>IF(J762="1 Bedroom",O762,0)</f>
        <v>0</v>
      </c>
      <c r="BT639" s="973"/>
      <c r="BU639" s="973"/>
      <c r="BV639" s="973"/>
      <c r="BW639" s="974"/>
      <c r="BX639" s="1065">
        <f>IF(J762="2 Bedrooms",O762,0)</f>
        <v>0</v>
      </c>
      <c r="BY639" s="973"/>
      <c r="BZ639" s="973"/>
      <c r="CA639" s="973"/>
      <c r="CB639" s="974"/>
      <c r="CC639" s="1065">
        <f>IF(J762="3 Bedrooms",O762,0)</f>
        <v>0</v>
      </c>
      <c r="CD639" s="973"/>
      <c r="CE639" s="973"/>
      <c r="CF639" s="973"/>
      <c r="CG639" s="974"/>
      <c r="CH639" s="1065">
        <f>IF(J762="4 Bedrooms",O762,0)</f>
        <v>0</v>
      </c>
      <c r="CI639" s="973"/>
      <c r="CJ639" s="973"/>
      <c r="CK639" s="973"/>
      <c r="CL639" s="974"/>
      <c r="CM639" s="1194">
        <f>IF(J762="5 Bedrooms",O762,0)</f>
        <v>0</v>
      </c>
      <c r="CN639" s="1093"/>
      <c r="CO639" s="1093"/>
      <c r="CP639" s="1093"/>
      <c r="CQ639" s="1094"/>
      <c r="CR639" s="41"/>
      <c r="CS639" s="41"/>
    </row>
    <row r="640" spans="2:126" ht="12.95" customHeight="1">
      <c r="B640" s="58" t="s">
        <v>637</v>
      </c>
      <c r="C640" s="1132"/>
      <c r="D640" s="1063"/>
      <c r="E640" s="1063"/>
      <c r="F640" s="1063"/>
      <c r="G640" s="1063"/>
      <c r="H640" s="1063"/>
      <c r="I640" s="1063"/>
      <c r="J640" s="1063"/>
      <c r="K640" s="1063"/>
      <c r="L640" s="1064"/>
      <c r="M640" s="1134" t="s">
        <v>475</v>
      </c>
      <c r="N640" s="1063"/>
      <c r="O640" s="1063"/>
      <c r="P640" s="1064"/>
      <c r="Q640" s="1133"/>
      <c r="R640" s="1063"/>
      <c r="S640" s="1064"/>
      <c r="T640" s="1137"/>
      <c r="U640" s="1063"/>
      <c r="V640" s="1064"/>
      <c r="W640" s="1170"/>
      <c r="X640" s="1063"/>
      <c r="Y640" s="1064"/>
      <c r="Z640" s="1107" t="s">
        <v>475</v>
      </c>
      <c r="AA640" s="1063"/>
      <c r="AB640" s="1064"/>
      <c r="AC640" s="1157"/>
      <c r="AD640" s="1063"/>
      <c r="AE640" s="1064"/>
      <c r="AF640" s="1070"/>
      <c r="AG640" s="1063"/>
      <c r="AH640" s="1063"/>
      <c r="AI640" s="1063"/>
      <c r="AJ640" s="1064"/>
      <c r="AK640" s="1135"/>
      <c r="AL640" s="1063"/>
      <c r="AM640" s="1063"/>
      <c r="AN640" s="1064"/>
      <c r="AO640" s="1069"/>
      <c r="AP640" s="1063"/>
      <c r="AQ640" s="1063"/>
      <c r="AR640" s="1063"/>
      <c r="AS640" s="1064"/>
      <c r="AT640" s="937" t="str">
        <f t="shared" si="17"/>
        <v/>
      </c>
      <c r="AU640" s="43"/>
      <c r="AV640" s="43"/>
      <c r="AW640" s="43"/>
      <c r="AX640" s="43"/>
      <c r="AY640" s="43"/>
      <c r="AZ640" s="43"/>
      <c r="BN640" s="1065">
        <f>IF(J763="SRO/Studio",O763,0)</f>
        <v>0</v>
      </c>
      <c r="BO640" s="973"/>
      <c r="BP640" s="973"/>
      <c r="BQ640" s="973"/>
      <c r="BR640" s="974"/>
      <c r="BS640" s="1065">
        <f>IF(J763="1 Bedroom",O763,0)</f>
        <v>0</v>
      </c>
      <c r="BT640" s="973"/>
      <c r="BU640" s="973"/>
      <c r="BV640" s="973"/>
      <c r="BW640" s="974"/>
      <c r="BX640" s="1065">
        <f>IF(J763="2 Bedrooms",O763,0)</f>
        <v>0</v>
      </c>
      <c r="BY640" s="973"/>
      <c r="BZ640" s="973"/>
      <c r="CA640" s="973"/>
      <c r="CB640" s="974"/>
      <c r="CC640" s="1065">
        <f>IF(J763="3 Bedrooms",O763,0)</f>
        <v>0</v>
      </c>
      <c r="CD640" s="973"/>
      <c r="CE640" s="973"/>
      <c r="CF640" s="973"/>
      <c r="CG640" s="974"/>
      <c r="CH640" s="1065">
        <f>IF(J763="4 Bedrooms",O763,0)</f>
        <v>0</v>
      </c>
      <c r="CI640" s="973"/>
      <c r="CJ640" s="973"/>
      <c r="CK640" s="973"/>
      <c r="CL640" s="974"/>
      <c r="CM640" s="1194">
        <f>IF(J763="5 Bedrooms",O763,0)</f>
        <v>0</v>
      </c>
      <c r="CN640" s="1093"/>
      <c r="CO640" s="1093"/>
      <c r="CP640" s="1093"/>
      <c r="CQ640" s="1094"/>
      <c r="CR640" s="41"/>
      <c r="CS640" s="41"/>
    </row>
    <row r="641" spans="1:99" ht="12.95" customHeight="1">
      <c r="B641" s="1160" t="s">
        <v>669</v>
      </c>
      <c r="C641" s="973"/>
      <c r="D641" s="973"/>
      <c r="E641" s="973"/>
      <c r="F641" s="973"/>
      <c r="G641" s="973"/>
      <c r="H641" s="973"/>
      <c r="I641" s="973"/>
      <c r="J641" s="973"/>
      <c r="K641" s="973"/>
      <c r="L641" s="973"/>
      <c r="M641" s="973"/>
      <c r="N641" s="973"/>
      <c r="O641" s="973"/>
      <c r="P641" s="973"/>
      <c r="Q641" s="973"/>
      <c r="R641" s="973"/>
      <c r="S641" s="973"/>
      <c r="T641" s="973"/>
      <c r="U641" s="973"/>
      <c r="V641" s="973"/>
      <c r="W641" s="973"/>
      <c r="X641" s="973"/>
      <c r="Y641" s="973"/>
      <c r="Z641" s="973"/>
      <c r="AA641" s="973"/>
      <c r="AB641" s="973"/>
      <c r="AC641" s="973"/>
      <c r="AD641" s="973"/>
      <c r="AE641" s="973"/>
      <c r="AF641" s="973"/>
      <c r="AG641" s="973"/>
      <c r="AH641" s="973"/>
      <c r="AI641" s="973"/>
      <c r="AJ641" s="973"/>
      <c r="AK641" s="973"/>
      <c r="AL641" s="973"/>
      <c r="AM641" s="973"/>
      <c r="AN641" s="974"/>
      <c r="AO641" s="1088">
        <f>SUM(AO629:AS640)</f>
        <v>9333438</v>
      </c>
      <c r="AP641" s="973"/>
      <c r="AQ641" s="973"/>
      <c r="AR641" s="973"/>
      <c r="AS641" s="974"/>
      <c r="AT641" s="43"/>
      <c r="AU641" s="43"/>
      <c r="AV641" s="43"/>
      <c r="AW641" s="43"/>
      <c r="AX641" s="43"/>
      <c r="AY641" s="43"/>
      <c r="AZ641" s="43"/>
      <c r="BN641" s="1083">
        <f>SUM(BN637:BR640)</f>
        <v>1</v>
      </c>
      <c r="BO641" s="973"/>
      <c r="BP641" s="973"/>
      <c r="BQ641" s="973"/>
      <c r="BR641" s="974"/>
      <c r="BS641" s="1083">
        <f>SUM(BS637:BW640)</f>
        <v>0</v>
      </c>
      <c r="BT641" s="973"/>
      <c r="BU641" s="973"/>
      <c r="BV641" s="973"/>
      <c r="BW641" s="974"/>
      <c r="BX641" s="1083">
        <f>SUM(BX637:CB640)</f>
        <v>0</v>
      </c>
      <c r="BY641" s="973"/>
      <c r="BZ641" s="973"/>
      <c r="CA641" s="973"/>
      <c r="CB641" s="974"/>
      <c r="CC641" s="1083">
        <f>SUM(CC637:CG640)</f>
        <v>0</v>
      </c>
      <c r="CD641" s="973"/>
      <c r="CE641" s="973"/>
      <c r="CF641" s="973"/>
      <c r="CG641" s="974"/>
      <c r="CH641" s="1083">
        <f>SUM(CH637:CL640)</f>
        <v>0</v>
      </c>
      <c r="CI641" s="973"/>
      <c r="CJ641" s="973"/>
      <c r="CK641" s="973"/>
      <c r="CL641" s="974"/>
      <c r="CM641" s="1083">
        <f>SUM(CM637:CQ640)</f>
        <v>0</v>
      </c>
      <c r="CN641" s="973"/>
      <c r="CO641" s="973"/>
      <c r="CP641" s="973"/>
      <c r="CQ641" s="974"/>
      <c r="CS641" s="464">
        <f>BN641+BS641+BX641+CC641+CH641+CM641</f>
        <v>1</v>
      </c>
      <c r="CT641" s="63" t="s">
        <v>670</v>
      </c>
      <c r="CU641" s="41"/>
    </row>
    <row r="642" spans="1:99" ht="12.95" customHeight="1">
      <c r="B642" s="1160" t="s">
        <v>671</v>
      </c>
      <c r="C642" s="973"/>
      <c r="D642" s="973"/>
      <c r="E642" s="973"/>
      <c r="F642" s="973"/>
      <c r="G642" s="973"/>
      <c r="H642" s="973"/>
      <c r="I642" s="973"/>
      <c r="J642" s="973"/>
      <c r="K642" s="973"/>
      <c r="L642" s="973"/>
      <c r="M642" s="973"/>
      <c r="N642" s="973"/>
      <c r="O642" s="973"/>
      <c r="P642" s="973"/>
      <c r="Q642" s="973"/>
      <c r="R642" s="973"/>
      <c r="S642" s="973"/>
      <c r="T642" s="973"/>
      <c r="U642" s="973"/>
      <c r="V642" s="973"/>
      <c r="W642" s="973"/>
      <c r="X642" s="973"/>
      <c r="Y642" s="973"/>
      <c r="Z642" s="973"/>
      <c r="AA642" s="973"/>
      <c r="AB642" s="973"/>
      <c r="AC642" s="973"/>
      <c r="AD642" s="973"/>
      <c r="AE642" s="973"/>
      <c r="AF642" s="973"/>
      <c r="AG642" s="973"/>
      <c r="AH642" s="973"/>
      <c r="AI642" s="973"/>
      <c r="AJ642" s="973"/>
      <c r="AK642" s="973"/>
      <c r="AL642" s="973"/>
      <c r="AM642" s="973"/>
      <c r="AN642" s="974"/>
      <c r="AO642" s="1069">
        <v>20750000</v>
      </c>
      <c r="AP642" s="1063"/>
      <c r="AQ642" s="1063"/>
      <c r="AR642" s="1063"/>
      <c r="AS642" s="1064"/>
      <c r="AT642" s="43"/>
      <c r="AU642" s="43"/>
      <c r="AV642" s="43"/>
      <c r="AW642" s="43"/>
      <c r="AX642" s="43"/>
      <c r="AY642" s="43"/>
      <c r="AZ642" s="43"/>
      <c r="BN642" s="43" t="s">
        <v>672</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186" t="s">
        <v>673</v>
      </c>
      <c r="C643" s="1093"/>
      <c r="D643" s="1093"/>
      <c r="E643" s="1093"/>
      <c r="F643" s="1093"/>
      <c r="G643" s="1093"/>
      <c r="H643" s="1093"/>
      <c r="I643" s="1093"/>
      <c r="J643" s="1093"/>
      <c r="K643" s="1093"/>
      <c r="L643" s="1093"/>
      <c r="M643" s="1093"/>
      <c r="N643" s="1093"/>
      <c r="O643" s="1093"/>
      <c r="P643" s="1093"/>
      <c r="Q643" s="1093"/>
      <c r="R643" s="1093"/>
      <c r="S643" s="1093"/>
      <c r="T643" s="1093"/>
      <c r="U643" s="1093"/>
      <c r="V643" s="1093"/>
      <c r="W643" s="1093"/>
      <c r="X643" s="1093"/>
      <c r="Y643" s="1093"/>
      <c r="Z643" s="1093"/>
      <c r="AA643" s="1093"/>
      <c r="AB643" s="1093"/>
      <c r="AC643" s="1093"/>
      <c r="AD643" s="1093"/>
      <c r="AE643" s="1093"/>
      <c r="AF643" s="1093"/>
      <c r="AG643" s="1093"/>
      <c r="AH643" s="1093"/>
      <c r="AI643" s="1093"/>
      <c r="AJ643" s="1093"/>
      <c r="AK643" s="1093"/>
      <c r="AL643" s="1093"/>
      <c r="AM643" s="1093"/>
      <c r="AN643" s="1094"/>
      <c r="AO643" s="1088">
        <f>AO641+AO642</f>
        <v>30083438</v>
      </c>
      <c r="AP643" s="973"/>
      <c r="AQ643" s="973"/>
      <c r="AR643" s="973"/>
      <c r="AS643" s="974"/>
      <c r="AT643" s="43"/>
      <c r="AU643" s="43"/>
      <c r="AV643" s="43"/>
      <c r="AW643" s="43"/>
      <c r="AX643" s="43"/>
      <c r="AY643" s="43"/>
      <c r="AZ643" s="43"/>
      <c r="BN643" s="1065">
        <f t="shared" ref="BN643:BN652" si="18">IF(J774="SRO/Studio",O774,0)</f>
        <v>0</v>
      </c>
      <c r="BO643" s="973"/>
      <c r="BP643" s="973"/>
      <c r="BQ643" s="973"/>
      <c r="BR643" s="974"/>
      <c r="BS643" s="1065">
        <f t="shared" ref="BS643:BS652" si="19">IF(J774="1 Bedroom",O774,0)</f>
        <v>0</v>
      </c>
      <c r="BT643" s="973"/>
      <c r="BU643" s="973"/>
      <c r="BV643" s="973"/>
      <c r="BW643" s="974"/>
      <c r="BX643" s="1065">
        <f t="shared" ref="BX643:BX652" si="20">IF(J774="2 Bedrooms",O774,0)</f>
        <v>0</v>
      </c>
      <c r="BY643" s="973"/>
      <c r="BZ643" s="973"/>
      <c r="CA643" s="973"/>
      <c r="CB643" s="974"/>
      <c r="CC643" s="1065">
        <f t="shared" ref="CC643:CC652" si="21">IF(J774="3 Bedrooms",O774,0)</f>
        <v>0</v>
      </c>
      <c r="CD643" s="973"/>
      <c r="CE643" s="973"/>
      <c r="CF643" s="973"/>
      <c r="CG643" s="974"/>
      <c r="CH643" s="1065">
        <f t="shared" ref="CH643:CH652" si="22">IF(J774="4 Bedrooms",O774,0)</f>
        <v>0</v>
      </c>
      <c r="CI643" s="973"/>
      <c r="CJ643" s="973"/>
      <c r="CK643" s="973"/>
      <c r="CL643" s="974"/>
      <c r="CM643" s="1065">
        <f t="shared" ref="CM643:CM652" si="23">IF(J774="5 Bedrooms",O774,0)</f>
        <v>0</v>
      </c>
      <c r="CN643" s="973"/>
      <c r="CO643" s="973"/>
      <c r="CP643" s="973"/>
      <c r="CQ643" s="974"/>
      <c r="CR643" s="41"/>
      <c r="CS643" s="41"/>
    </row>
    <row r="644" spans="1:99" ht="12.95" customHeight="1">
      <c r="A644" s="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65">
        <f t="shared" si="18"/>
        <v>0</v>
      </c>
      <c r="BO644" s="973"/>
      <c r="BP644" s="973"/>
      <c r="BQ644" s="973"/>
      <c r="BR644" s="974"/>
      <c r="BS644" s="1065">
        <f t="shared" si="19"/>
        <v>0</v>
      </c>
      <c r="BT644" s="973"/>
      <c r="BU644" s="973"/>
      <c r="BV644" s="973"/>
      <c r="BW644" s="974"/>
      <c r="BX644" s="1065">
        <f t="shared" si="20"/>
        <v>0</v>
      </c>
      <c r="BY644" s="973"/>
      <c r="BZ644" s="973"/>
      <c r="CA644" s="973"/>
      <c r="CB644" s="974"/>
      <c r="CC644" s="1065">
        <f t="shared" si="21"/>
        <v>0</v>
      </c>
      <c r="CD644" s="973"/>
      <c r="CE644" s="973"/>
      <c r="CF644" s="973"/>
      <c r="CG644" s="974"/>
      <c r="CH644" s="1065">
        <f t="shared" si="22"/>
        <v>0</v>
      </c>
      <c r="CI644" s="973"/>
      <c r="CJ644" s="973"/>
      <c r="CK644" s="973"/>
      <c r="CL644" s="974"/>
      <c r="CM644" s="1065">
        <f t="shared" si="23"/>
        <v>0</v>
      </c>
      <c r="CN644" s="973"/>
      <c r="CO644" s="973"/>
      <c r="CP644" s="973"/>
      <c r="CQ644" s="974"/>
      <c r="CR644" s="41"/>
      <c r="CS644" s="41"/>
    </row>
    <row r="645" spans="1:99" ht="12.95" customHeight="1">
      <c r="A645" s="61" t="s">
        <v>626</v>
      </c>
      <c r="B645" t="s">
        <v>639</v>
      </c>
      <c r="G645" s="1127" t="str">
        <f>C629</f>
        <v>Citi Bank Permanent Loan</v>
      </c>
      <c r="H645" s="1093"/>
      <c r="I645" s="1093"/>
      <c r="J645" s="1093"/>
      <c r="K645" s="1093"/>
      <c r="L645" s="1093"/>
      <c r="M645" s="1093"/>
      <c r="N645" s="1093"/>
      <c r="O645" s="1093"/>
      <c r="P645" s="1093"/>
      <c r="Q645" s="1093"/>
      <c r="R645" s="1093"/>
      <c r="S645" s="12"/>
      <c r="T645" s="61" t="s">
        <v>627</v>
      </c>
      <c r="U645" t="s">
        <v>639</v>
      </c>
      <c r="Z645" s="1127" t="str">
        <f>C630</f>
        <v>City of Santa Cruz Funds</v>
      </c>
      <c r="AA645" s="1093"/>
      <c r="AB645" s="1093"/>
      <c r="AC645" s="1093"/>
      <c r="AD645" s="1093"/>
      <c r="AE645" s="1093"/>
      <c r="AF645" s="1093"/>
      <c r="AG645" s="1093"/>
      <c r="AH645" s="1093"/>
      <c r="AI645" s="1093"/>
      <c r="AJ645" s="1093"/>
      <c r="AK645" s="1093"/>
      <c r="AM645" s="43"/>
      <c r="AN645" s="43"/>
      <c r="AO645" s="43"/>
      <c r="AP645" s="43"/>
      <c r="AQ645" s="43"/>
      <c r="AR645" s="43"/>
      <c r="AS645" s="43"/>
      <c r="AT645" s="43"/>
      <c r="AU645" s="43"/>
      <c r="AV645" s="43"/>
      <c r="AW645" s="43"/>
      <c r="AX645" s="43"/>
      <c r="AY645" s="43"/>
      <c r="AZ645" s="43"/>
      <c r="BN645" s="1065">
        <f t="shared" si="18"/>
        <v>0</v>
      </c>
      <c r="BO645" s="973"/>
      <c r="BP645" s="973"/>
      <c r="BQ645" s="973"/>
      <c r="BR645" s="974"/>
      <c r="BS645" s="1065">
        <f t="shared" si="19"/>
        <v>0</v>
      </c>
      <c r="BT645" s="973"/>
      <c r="BU645" s="973"/>
      <c r="BV645" s="973"/>
      <c r="BW645" s="974"/>
      <c r="BX645" s="1065">
        <f t="shared" si="20"/>
        <v>0</v>
      </c>
      <c r="BY645" s="973"/>
      <c r="BZ645" s="973"/>
      <c r="CA645" s="973"/>
      <c r="CB645" s="974"/>
      <c r="CC645" s="1065">
        <f t="shared" si="21"/>
        <v>0</v>
      </c>
      <c r="CD645" s="973"/>
      <c r="CE645" s="973"/>
      <c r="CF645" s="973"/>
      <c r="CG645" s="974"/>
      <c r="CH645" s="1065">
        <f t="shared" si="22"/>
        <v>0</v>
      </c>
      <c r="CI645" s="973"/>
      <c r="CJ645" s="973"/>
      <c r="CK645" s="973"/>
      <c r="CL645" s="974"/>
      <c r="CM645" s="1065">
        <f t="shared" si="23"/>
        <v>0</v>
      </c>
      <c r="CN645" s="973"/>
      <c r="CO645" s="973"/>
      <c r="CP645" s="973"/>
      <c r="CQ645" s="974"/>
      <c r="CR645" s="41"/>
      <c r="CS645" s="41"/>
    </row>
    <row r="646" spans="1:99" ht="12.95" customHeight="1">
      <c r="A646" s="4"/>
      <c r="B646" t="s">
        <v>295</v>
      </c>
      <c r="G646" s="1117" t="s">
        <v>2434</v>
      </c>
      <c r="H646" s="1060"/>
      <c r="I646" s="1060"/>
      <c r="J646" s="1060"/>
      <c r="K646" s="1060"/>
      <c r="L646" s="1060"/>
      <c r="M646" s="1060"/>
      <c r="N646" s="1060"/>
      <c r="O646" s="1060"/>
      <c r="P646" s="1060"/>
      <c r="Q646" s="1060"/>
      <c r="R646" s="1060"/>
      <c r="S646" s="12"/>
      <c r="T646" s="4"/>
      <c r="U646" t="s">
        <v>295</v>
      </c>
      <c r="Z646" s="1117" t="s">
        <v>2440</v>
      </c>
      <c r="AA646" s="1060"/>
      <c r="AB646" s="1060"/>
      <c r="AC646" s="1060"/>
      <c r="AD646" s="1060"/>
      <c r="AE646" s="1060"/>
      <c r="AF646" s="1060"/>
      <c r="AG646" s="1060"/>
      <c r="AH646" s="1060"/>
      <c r="AI646" s="1060"/>
      <c r="AJ646" s="1060"/>
      <c r="AK646" s="1060"/>
      <c r="AM646" s="43"/>
      <c r="AN646" s="43"/>
      <c r="AO646" s="43"/>
      <c r="AP646" s="43"/>
      <c r="AQ646" s="43"/>
      <c r="AR646" s="43"/>
      <c r="AS646" s="43"/>
      <c r="AT646" s="43"/>
      <c r="AU646" s="43"/>
      <c r="AV646" s="43"/>
      <c r="AW646" s="43"/>
      <c r="AX646" s="43"/>
      <c r="AY646" s="43"/>
      <c r="AZ646" s="43"/>
      <c r="BN646" s="1065">
        <f t="shared" si="18"/>
        <v>0</v>
      </c>
      <c r="BO646" s="973"/>
      <c r="BP646" s="973"/>
      <c r="BQ646" s="973"/>
      <c r="BR646" s="974"/>
      <c r="BS646" s="1065">
        <f t="shared" si="19"/>
        <v>0</v>
      </c>
      <c r="BT646" s="973"/>
      <c r="BU646" s="973"/>
      <c r="BV646" s="973"/>
      <c r="BW646" s="974"/>
      <c r="BX646" s="1065">
        <f t="shared" si="20"/>
        <v>0</v>
      </c>
      <c r="BY646" s="973"/>
      <c r="BZ646" s="973"/>
      <c r="CA646" s="973"/>
      <c r="CB646" s="974"/>
      <c r="CC646" s="1065">
        <f t="shared" si="21"/>
        <v>0</v>
      </c>
      <c r="CD646" s="973"/>
      <c r="CE646" s="973"/>
      <c r="CF646" s="973"/>
      <c r="CG646" s="974"/>
      <c r="CH646" s="1065">
        <f t="shared" si="22"/>
        <v>0</v>
      </c>
      <c r="CI646" s="973"/>
      <c r="CJ646" s="973"/>
      <c r="CK646" s="973"/>
      <c r="CL646" s="974"/>
      <c r="CM646" s="1065">
        <f t="shared" si="23"/>
        <v>0</v>
      </c>
      <c r="CN646" s="973"/>
      <c r="CO646" s="973"/>
      <c r="CP646" s="973"/>
      <c r="CQ646" s="974"/>
      <c r="CR646" s="41"/>
      <c r="CS646" s="41"/>
    </row>
    <row r="647" spans="1:99" ht="12.95" customHeight="1">
      <c r="A647" s="4"/>
      <c r="B647" t="s">
        <v>153</v>
      </c>
      <c r="G647" s="1117" t="s">
        <v>2435</v>
      </c>
      <c r="H647" s="1060"/>
      <c r="I647" s="1060"/>
      <c r="J647" s="1060"/>
      <c r="K647" s="1060"/>
      <c r="L647" s="1060"/>
      <c r="M647" s="1060"/>
      <c r="N647" s="1060"/>
      <c r="O647" s="1060"/>
      <c r="P647" s="1060"/>
      <c r="Q647" s="1060"/>
      <c r="R647" s="1060"/>
      <c r="T647" s="4"/>
      <c r="U647" t="s">
        <v>153</v>
      </c>
      <c r="Z647" s="1126" t="s">
        <v>2441</v>
      </c>
      <c r="AA647" s="1063"/>
      <c r="AB647" s="1063"/>
      <c r="AC647" s="1063"/>
      <c r="AD647" s="1063"/>
      <c r="AE647" s="1063"/>
      <c r="AF647" s="1063"/>
      <c r="AG647" s="1063"/>
      <c r="AH647" s="1063"/>
      <c r="AI647" s="1063"/>
      <c r="AJ647" s="1063"/>
      <c r="AK647" s="1063"/>
      <c r="AM647" s="43"/>
      <c r="AN647" s="43"/>
      <c r="AO647" s="43"/>
      <c r="AP647" s="43"/>
      <c r="AQ647" s="43"/>
      <c r="AR647" s="43"/>
      <c r="AS647" s="43"/>
      <c r="AT647" s="43"/>
      <c r="AU647" s="43"/>
      <c r="AV647" s="43"/>
      <c r="AW647" s="43"/>
      <c r="AX647" s="43"/>
      <c r="AY647" s="43"/>
      <c r="AZ647" s="43"/>
      <c r="BN647" s="1065">
        <f t="shared" si="18"/>
        <v>0</v>
      </c>
      <c r="BO647" s="973"/>
      <c r="BP647" s="973"/>
      <c r="BQ647" s="973"/>
      <c r="BR647" s="974"/>
      <c r="BS647" s="1065">
        <f t="shared" si="19"/>
        <v>0</v>
      </c>
      <c r="BT647" s="973"/>
      <c r="BU647" s="973"/>
      <c r="BV647" s="973"/>
      <c r="BW647" s="974"/>
      <c r="BX647" s="1065">
        <f t="shared" si="20"/>
        <v>0</v>
      </c>
      <c r="BY647" s="973"/>
      <c r="BZ647" s="973"/>
      <c r="CA647" s="973"/>
      <c r="CB647" s="974"/>
      <c r="CC647" s="1065">
        <f t="shared" si="21"/>
        <v>0</v>
      </c>
      <c r="CD647" s="973"/>
      <c r="CE647" s="973"/>
      <c r="CF647" s="973"/>
      <c r="CG647" s="974"/>
      <c r="CH647" s="1065">
        <f t="shared" si="22"/>
        <v>0</v>
      </c>
      <c r="CI647" s="973"/>
      <c r="CJ647" s="973"/>
      <c r="CK647" s="973"/>
      <c r="CL647" s="974"/>
      <c r="CM647" s="1065">
        <f t="shared" si="23"/>
        <v>0</v>
      </c>
      <c r="CN647" s="973"/>
      <c r="CO647" s="973"/>
      <c r="CP647" s="973"/>
      <c r="CQ647" s="974"/>
      <c r="CR647" s="41"/>
      <c r="CS647" s="41"/>
    </row>
    <row r="648" spans="1:99" ht="12.95" customHeight="1">
      <c r="A648" s="4"/>
      <c r="B648" t="s">
        <v>640</v>
      </c>
      <c r="G648" s="1117" t="s">
        <v>2436</v>
      </c>
      <c r="H648" s="1060"/>
      <c r="I648" s="1060"/>
      <c r="J648" s="1060"/>
      <c r="K648" s="1060"/>
      <c r="L648" s="1060"/>
      <c r="M648" s="1060"/>
      <c r="N648" s="1060"/>
      <c r="O648" s="1060"/>
      <c r="P648" s="1060"/>
      <c r="Q648" s="1060"/>
      <c r="R648" s="1060"/>
      <c r="S648" s="12"/>
      <c r="T648" s="4"/>
      <c r="U648" t="s">
        <v>640</v>
      </c>
      <c r="Z648" s="1068"/>
      <c r="AA648" s="1063"/>
      <c r="AB648" s="1063"/>
      <c r="AC648" s="1063"/>
      <c r="AD648" s="1063"/>
      <c r="AE648" s="1063"/>
      <c r="AF648" s="1063"/>
      <c r="AG648" s="1063"/>
      <c r="AH648" s="1063"/>
      <c r="AI648" s="1063"/>
      <c r="AJ648" s="1063"/>
      <c r="AK648" s="1063"/>
      <c r="AM648" s="43"/>
      <c r="AN648" s="43"/>
      <c r="AO648" s="43"/>
      <c r="AP648" s="43"/>
      <c r="AQ648" s="43"/>
      <c r="AR648" s="43"/>
      <c r="AS648" s="43"/>
      <c r="AT648" s="43"/>
      <c r="AU648" s="43"/>
      <c r="AV648" s="43"/>
      <c r="AW648" s="43"/>
      <c r="AX648" s="43"/>
      <c r="AY648" s="43"/>
      <c r="AZ648" s="43"/>
      <c r="BN648" s="1065">
        <f t="shared" si="18"/>
        <v>0</v>
      </c>
      <c r="BO648" s="973"/>
      <c r="BP648" s="973"/>
      <c r="BQ648" s="973"/>
      <c r="BR648" s="974"/>
      <c r="BS648" s="1065">
        <f t="shared" si="19"/>
        <v>0</v>
      </c>
      <c r="BT648" s="973"/>
      <c r="BU648" s="973"/>
      <c r="BV648" s="973"/>
      <c r="BW648" s="974"/>
      <c r="BX648" s="1065">
        <f t="shared" si="20"/>
        <v>0</v>
      </c>
      <c r="BY648" s="973"/>
      <c r="BZ648" s="973"/>
      <c r="CA648" s="973"/>
      <c r="CB648" s="974"/>
      <c r="CC648" s="1065">
        <f t="shared" si="21"/>
        <v>0</v>
      </c>
      <c r="CD648" s="973"/>
      <c r="CE648" s="973"/>
      <c r="CF648" s="973"/>
      <c r="CG648" s="974"/>
      <c r="CH648" s="1065">
        <f t="shared" si="22"/>
        <v>0</v>
      </c>
      <c r="CI648" s="973"/>
      <c r="CJ648" s="973"/>
      <c r="CK648" s="973"/>
      <c r="CL648" s="974"/>
      <c r="CM648" s="1065">
        <f t="shared" si="23"/>
        <v>0</v>
      </c>
      <c r="CN648" s="973"/>
      <c r="CO648" s="973"/>
      <c r="CP648" s="973"/>
      <c r="CQ648" s="974"/>
      <c r="CR648" s="41"/>
      <c r="CS648" s="41"/>
    </row>
    <row r="649" spans="1:99" ht="12.95" customHeight="1">
      <c r="A649" s="4"/>
      <c r="B649" t="s">
        <v>68</v>
      </c>
      <c r="G649" s="1176" t="s">
        <v>2437</v>
      </c>
      <c r="H649" s="1063"/>
      <c r="I649" s="1063"/>
      <c r="J649" s="1063"/>
      <c r="K649" s="1063"/>
      <c r="L649" s="1063"/>
      <c r="O649" s="42" t="s">
        <v>305</v>
      </c>
      <c r="P649" s="1112"/>
      <c r="Q649" s="1063"/>
      <c r="R649" s="1063"/>
      <c r="S649" s="14"/>
      <c r="T649" s="4"/>
      <c r="U649" t="s">
        <v>68</v>
      </c>
      <c r="Z649" s="1176" t="s">
        <v>2442</v>
      </c>
      <c r="AA649" s="1063"/>
      <c r="AB649" s="1063"/>
      <c r="AC649" s="1063"/>
      <c r="AD649" s="1063"/>
      <c r="AE649" s="1063"/>
      <c r="AH649" s="42" t="s">
        <v>305</v>
      </c>
      <c r="AI649" s="1112"/>
      <c r="AJ649" s="1063"/>
      <c r="AK649" s="1063"/>
      <c r="AM649" s="43"/>
      <c r="AN649" s="43"/>
      <c r="AO649" s="43"/>
      <c r="AP649" s="43"/>
      <c r="AQ649" s="43"/>
      <c r="AR649" s="43"/>
      <c r="AS649" s="43"/>
      <c r="AT649" s="43"/>
      <c r="AU649" s="43"/>
      <c r="AV649" s="43"/>
      <c r="AW649" s="43"/>
      <c r="AX649" s="43"/>
      <c r="AY649" s="43"/>
      <c r="AZ649" s="43"/>
      <c r="BN649" s="1065">
        <f t="shared" si="18"/>
        <v>0</v>
      </c>
      <c r="BO649" s="973"/>
      <c r="BP649" s="973"/>
      <c r="BQ649" s="973"/>
      <c r="BR649" s="974"/>
      <c r="BS649" s="1065">
        <f t="shared" si="19"/>
        <v>0</v>
      </c>
      <c r="BT649" s="973"/>
      <c r="BU649" s="973"/>
      <c r="BV649" s="973"/>
      <c r="BW649" s="974"/>
      <c r="BX649" s="1065">
        <f t="shared" si="20"/>
        <v>0</v>
      </c>
      <c r="BY649" s="973"/>
      <c r="BZ649" s="973"/>
      <c r="CA649" s="973"/>
      <c r="CB649" s="974"/>
      <c r="CC649" s="1065">
        <f t="shared" si="21"/>
        <v>0</v>
      </c>
      <c r="CD649" s="973"/>
      <c r="CE649" s="973"/>
      <c r="CF649" s="973"/>
      <c r="CG649" s="974"/>
      <c r="CH649" s="1065">
        <f t="shared" si="22"/>
        <v>0</v>
      </c>
      <c r="CI649" s="973"/>
      <c r="CJ649" s="973"/>
      <c r="CK649" s="973"/>
      <c r="CL649" s="974"/>
      <c r="CM649" s="1065">
        <f t="shared" si="23"/>
        <v>0</v>
      </c>
      <c r="CN649" s="973"/>
      <c r="CO649" s="973"/>
      <c r="CP649" s="973"/>
      <c r="CQ649" s="974"/>
      <c r="CR649" s="41"/>
      <c r="CS649" s="41"/>
    </row>
    <row r="650" spans="1:99" ht="12.95" customHeight="1">
      <c r="A650" s="4"/>
      <c r="B650" t="s">
        <v>641</v>
      </c>
      <c r="H650" s="1117" t="s">
        <v>2439</v>
      </c>
      <c r="I650" s="1060"/>
      <c r="J650" s="1060"/>
      <c r="K650" s="1060"/>
      <c r="L650" s="1060"/>
      <c r="M650" s="1060"/>
      <c r="N650" s="1060"/>
      <c r="O650" s="1060"/>
      <c r="P650" s="1060"/>
      <c r="Q650" s="1060"/>
      <c r="R650" s="1060"/>
      <c r="S650" s="12"/>
      <c r="T650" s="4"/>
      <c r="U650" t="s">
        <v>641</v>
      </c>
      <c r="AA650" s="1117" t="s">
        <v>592</v>
      </c>
      <c r="AB650" s="1060"/>
      <c r="AC650" s="1060"/>
      <c r="AD650" s="1060"/>
      <c r="AE650" s="1060"/>
      <c r="AF650" s="1060"/>
      <c r="AG650" s="1060"/>
      <c r="AH650" s="1060"/>
      <c r="AI650" s="1060"/>
      <c r="AJ650" s="1060"/>
      <c r="AK650" s="1060"/>
      <c r="AM650" s="43"/>
      <c r="AN650" s="43"/>
      <c r="AO650" s="43"/>
      <c r="AP650" s="43"/>
      <c r="AQ650" s="43"/>
      <c r="AR650" s="43"/>
      <c r="AS650" s="43"/>
      <c r="AT650" s="43"/>
      <c r="AU650" s="43"/>
      <c r="AV650" s="43"/>
      <c r="AW650" s="43"/>
      <c r="AX650" s="43"/>
      <c r="AY650" s="43"/>
      <c r="AZ650" s="43"/>
      <c r="BN650" s="1065">
        <f t="shared" si="18"/>
        <v>0</v>
      </c>
      <c r="BO650" s="973"/>
      <c r="BP650" s="973"/>
      <c r="BQ650" s="973"/>
      <c r="BR650" s="974"/>
      <c r="BS650" s="1065">
        <f t="shared" si="19"/>
        <v>0</v>
      </c>
      <c r="BT650" s="973"/>
      <c r="BU650" s="973"/>
      <c r="BV650" s="973"/>
      <c r="BW650" s="974"/>
      <c r="BX650" s="1065">
        <f t="shared" si="20"/>
        <v>0</v>
      </c>
      <c r="BY650" s="973"/>
      <c r="BZ650" s="973"/>
      <c r="CA650" s="973"/>
      <c r="CB650" s="974"/>
      <c r="CC650" s="1065">
        <f t="shared" si="21"/>
        <v>0</v>
      </c>
      <c r="CD650" s="973"/>
      <c r="CE650" s="973"/>
      <c r="CF650" s="973"/>
      <c r="CG650" s="974"/>
      <c r="CH650" s="1065">
        <f t="shared" si="22"/>
        <v>0</v>
      </c>
      <c r="CI650" s="973"/>
      <c r="CJ650" s="973"/>
      <c r="CK650" s="973"/>
      <c r="CL650" s="974"/>
      <c r="CM650" s="1065">
        <f t="shared" si="23"/>
        <v>0</v>
      </c>
      <c r="CN650" s="973"/>
      <c r="CO650" s="973"/>
      <c r="CP650" s="973"/>
      <c r="CQ650" s="974"/>
      <c r="CR650" s="41"/>
      <c r="CS650" s="41"/>
    </row>
    <row r="651" spans="1:99" ht="12.95" customHeight="1">
      <c r="A651" s="5"/>
      <c r="B651" t="s">
        <v>642</v>
      </c>
      <c r="N651" s="1066" t="s">
        <v>71</v>
      </c>
      <c r="O651" s="1060"/>
      <c r="T651" s="4"/>
      <c r="U651" t="s">
        <v>642</v>
      </c>
      <c r="AG651" s="1066" t="s">
        <v>14</v>
      </c>
      <c r="AH651" s="1060"/>
      <c r="AM651" s="43"/>
      <c r="AN651" s="43"/>
      <c r="AO651" s="43"/>
      <c r="AP651" s="43"/>
      <c r="AQ651" s="43"/>
      <c r="AR651" s="43"/>
      <c r="AS651" s="43"/>
      <c r="AT651" s="43"/>
      <c r="AU651" s="43"/>
      <c r="AV651" s="43"/>
      <c r="AW651" s="43"/>
      <c r="AX651" s="43"/>
      <c r="AY651" s="43"/>
      <c r="AZ651" s="43"/>
      <c r="BA651" s="43"/>
      <c r="BB651" s="41"/>
      <c r="BC651" s="41"/>
      <c r="BD651" s="41"/>
      <c r="BN651" s="1065">
        <f t="shared" si="18"/>
        <v>0</v>
      </c>
      <c r="BO651" s="973"/>
      <c r="BP651" s="973"/>
      <c r="BQ651" s="973"/>
      <c r="BR651" s="974"/>
      <c r="BS651" s="1065">
        <f t="shared" si="19"/>
        <v>0</v>
      </c>
      <c r="BT651" s="973"/>
      <c r="BU651" s="973"/>
      <c r="BV651" s="973"/>
      <c r="BW651" s="974"/>
      <c r="BX651" s="1065">
        <f t="shared" si="20"/>
        <v>0</v>
      </c>
      <c r="BY651" s="973"/>
      <c r="BZ651" s="973"/>
      <c r="CA651" s="973"/>
      <c r="CB651" s="974"/>
      <c r="CC651" s="1065">
        <f t="shared" si="21"/>
        <v>0</v>
      </c>
      <c r="CD651" s="973"/>
      <c r="CE651" s="973"/>
      <c r="CF651" s="973"/>
      <c r="CG651" s="974"/>
      <c r="CH651" s="1065">
        <f t="shared" si="22"/>
        <v>0</v>
      </c>
      <c r="CI651" s="973"/>
      <c r="CJ651" s="973"/>
      <c r="CK651" s="973"/>
      <c r="CL651" s="974"/>
      <c r="CM651" s="1065">
        <f t="shared" si="23"/>
        <v>0</v>
      </c>
      <c r="CN651" s="973"/>
      <c r="CO651" s="973"/>
      <c r="CP651" s="973"/>
      <c r="CQ651" s="974"/>
      <c r="CR651" s="41"/>
      <c r="CS651" s="41"/>
    </row>
    <row r="652" spans="1:99" ht="12.95" customHeight="1">
      <c r="A652" s="4"/>
      <c r="T652" s="4"/>
      <c r="AM652" s="43"/>
      <c r="AN652" s="43"/>
      <c r="AO652" s="43"/>
      <c r="AP652" s="43"/>
      <c r="AQ652" s="43"/>
      <c r="AR652" s="43"/>
      <c r="AS652" s="43"/>
      <c r="AT652" s="43"/>
      <c r="AU652" s="43"/>
      <c r="AV652" s="43"/>
      <c r="AW652" s="43"/>
      <c r="AX652" s="43"/>
      <c r="AY652" s="43"/>
      <c r="AZ652" s="43"/>
      <c r="BA652" s="43"/>
      <c r="BB652" s="41"/>
      <c r="BC652" s="41"/>
      <c r="BD652" s="41"/>
      <c r="BN652" s="1065">
        <f t="shared" si="18"/>
        <v>0</v>
      </c>
      <c r="BO652" s="973"/>
      <c r="BP652" s="973"/>
      <c r="BQ652" s="973"/>
      <c r="BR652" s="974"/>
      <c r="BS652" s="1065">
        <f t="shared" si="19"/>
        <v>0</v>
      </c>
      <c r="BT652" s="973"/>
      <c r="BU652" s="973"/>
      <c r="BV652" s="973"/>
      <c r="BW652" s="974"/>
      <c r="BX652" s="1065">
        <f t="shared" si="20"/>
        <v>0</v>
      </c>
      <c r="BY652" s="973"/>
      <c r="BZ652" s="973"/>
      <c r="CA652" s="973"/>
      <c r="CB652" s="974"/>
      <c r="CC652" s="1065">
        <f t="shared" si="21"/>
        <v>0</v>
      </c>
      <c r="CD652" s="973"/>
      <c r="CE652" s="973"/>
      <c r="CF652" s="973"/>
      <c r="CG652" s="974"/>
      <c r="CH652" s="1065">
        <f t="shared" si="22"/>
        <v>0</v>
      </c>
      <c r="CI652" s="973"/>
      <c r="CJ652" s="973"/>
      <c r="CK652" s="973"/>
      <c r="CL652" s="974"/>
      <c r="CM652" s="1065">
        <f t="shared" si="23"/>
        <v>0</v>
      </c>
      <c r="CN652" s="973"/>
      <c r="CO652" s="973"/>
      <c r="CP652" s="973"/>
      <c r="CQ652" s="974"/>
      <c r="CR652" s="41"/>
      <c r="CS652" s="41"/>
    </row>
    <row r="653" spans="1:99" ht="12.95" customHeight="1">
      <c r="A653" s="61" t="s">
        <v>628</v>
      </c>
      <c r="B653" t="s">
        <v>639</v>
      </c>
      <c r="G653" s="1127" t="str">
        <f>C631</f>
        <v>Deferred Developer Fee</v>
      </c>
      <c r="H653" s="1093"/>
      <c r="I653" s="1093"/>
      <c r="J653" s="1093"/>
      <c r="K653" s="1093"/>
      <c r="L653" s="1093"/>
      <c r="M653" s="1093"/>
      <c r="N653" s="1093"/>
      <c r="O653" s="1093"/>
      <c r="P653" s="1093"/>
      <c r="Q653" s="1093"/>
      <c r="R653" s="1093"/>
      <c r="T653" s="61" t="s">
        <v>629</v>
      </c>
      <c r="U653" t="s">
        <v>639</v>
      </c>
      <c r="Z653" s="1127">
        <f>C632</f>
        <v>0</v>
      </c>
      <c r="AA653" s="1093"/>
      <c r="AB653" s="1093"/>
      <c r="AC653" s="1093"/>
      <c r="AD653" s="1093"/>
      <c r="AE653" s="1093"/>
      <c r="AF653" s="1093"/>
      <c r="AG653" s="1093"/>
      <c r="AH653" s="1093"/>
      <c r="AI653" s="1093"/>
      <c r="AJ653" s="1093"/>
      <c r="AK653" s="1093"/>
      <c r="AM653" s="43"/>
      <c r="AN653" s="43"/>
      <c r="AO653" s="43"/>
      <c r="AP653" s="43"/>
      <c r="AQ653" s="43"/>
      <c r="AR653" s="43"/>
      <c r="AS653" s="43"/>
      <c r="AT653" s="43"/>
      <c r="AU653" s="43"/>
      <c r="AV653" s="43"/>
      <c r="AW653" s="43"/>
      <c r="AX653" s="43"/>
      <c r="AY653" s="43"/>
      <c r="AZ653" s="43"/>
      <c r="BA653" s="43"/>
      <c r="BB653" s="41"/>
      <c r="BC653" s="41"/>
      <c r="BD653" s="41"/>
      <c r="BN653" s="1083">
        <f>SUM(BN643:BR652)</f>
        <v>0</v>
      </c>
      <c r="BO653" s="973"/>
      <c r="BP653" s="973"/>
      <c r="BQ653" s="973"/>
      <c r="BR653" s="974"/>
      <c r="BS653" s="1083">
        <f>SUM(BS643:BW652)</f>
        <v>0</v>
      </c>
      <c r="BT653" s="973"/>
      <c r="BU653" s="973"/>
      <c r="BV653" s="973"/>
      <c r="BW653" s="974"/>
      <c r="BX653" s="1083">
        <f>SUM(BX643:CB652)</f>
        <v>0</v>
      </c>
      <c r="BY653" s="973"/>
      <c r="BZ653" s="973"/>
      <c r="CA653" s="973"/>
      <c r="CB653" s="974"/>
      <c r="CC653" s="1083">
        <f>SUM(CC643:CG652)</f>
        <v>0</v>
      </c>
      <c r="CD653" s="973"/>
      <c r="CE653" s="973"/>
      <c r="CF653" s="973"/>
      <c r="CG653" s="974"/>
      <c r="CH653" s="1083">
        <f>SUM(CH643:CL652)</f>
        <v>0</v>
      </c>
      <c r="CI653" s="973"/>
      <c r="CJ653" s="973"/>
      <c r="CK653" s="973"/>
      <c r="CL653" s="974"/>
      <c r="CM653" s="1083">
        <f>SUM(CM643:CQ652)</f>
        <v>0</v>
      </c>
      <c r="CN653" s="973"/>
      <c r="CO653" s="973"/>
      <c r="CP653" s="973"/>
      <c r="CQ653" s="974"/>
      <c r="CR653" s="41"/>
      <c r="CS653" s="41"/>
    </row>
    <row r="654" spans="1:99" ht="12.95" customHeight="1" thickBot="1">
      <c r="A654" s="4"/>
      <c r="B654" t="s">
        <v>295</v>
      </c>
      <c r="G654" s="1117" t="s">
        <v>371</v>
      </c>
      <c r="H654" s="1060"/>
      <c r="I654" s="1060"/>
      <c r="J654" s="1060"/>
      <c r="K654" s="1060"/>
      <c r="L654" s="1060"/>
      <c r="M654" s="1060"/>
      <c r="N654" s="1060"/>
      <c r="O654" s="1060"/>
      <c r="P654" s="1060"/>
      <c r="Q654" s="1060"/>
      <c r="R654" s="1060"/>
      <c r="T654" s="4"/>
      <c r="U654" t="s">
        <v>295</v>
      </c>
      <c r="Z654" s="1059"/>
      <c r="AA654" s="1060"/>
      <c r="AB654" s="1060"/>
      <c r="AC654" s="1060"/>
      <c r="AD654" s="1060"/>
      <c r="AE654" s="1060"/>
      <c r="AF654" s="1060"/>
      <c r="AG654" s="1060"/>
      <c r="AH654" s="1060"/>
      <c r="AI654" s="1060"/>
      <c r="AJ654" s="1060"/>
      <c r="AK654" s="1060"/>
      <c r="AM654" s="41"/>
      <c r="AN654" s="41"/>
      <c r="AO654" s="41"/>
      <c r="AP654" s="41"/>
      <c r="AQ654" s="41"/>
      <c r="AR654" s="41"/>
      <c r="AS654" s="41"/>
      <c r="AT654" s="41"/>
      <c r="AU654" s="41"/>
      <c r="AV654" s="41"/>
      <c r="AW654" s="41"/>
      <c r="AX654" s="41"/>
      <c r="AY654" s="41"/>
      <c r="AZ654" s="41"/>
      <c r="BA654" s="41"/>
      <c r="BB654" s="41"/>
      <c r="BC654" s="41"/>
      <c r="BD654" s="41"/>
      <c r="BN654" s="41" t="s">
        <v>674</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153</v>
      </c>
      <c r="G655" s="1126" t="s">
        <v>359</v>
      </c>
      <c r="H655" s="1063"/>
      <c r="I655" s="1063"/>
      <c r="J655" s="1063"/>
      <c r="K655" s="1063"/>
      <c r="L655" s="1063"/>
      <c r="M655" s="1063"/>
      <c r="N655" s="1063"/>
      <c r="O655" s="1063"/>
      <c r="P655" s="1063"/>
      <c r="Q655" s="1063"/>
      <c r="R655" s="1063"/>
      <c r="T655" s="4"/>
      <c r="U655" t="s">
        <v>153</v>
      </c>
      <c r="Z655" s="1068"/>
      <c r="AA655" s="1063"/>
      <c r="AB655" s="1063"/>
      <c r="AC655" s="1063"/>
      <c r="AD655" s="1063"/>
      <c r="AE655" s="1063"/>
      <c r="AF655" s="1063"/>
      <c r="AG655" s="1063"/>
      <c r="AH655" s="1063"/>
      <c r="AI655" s="1063"/>
      <c r="AJ655" s="1063"/>
      <c r="AK655" s="1063"/>
      <c r="AM655" s="41"/>
      <c r="AN655" s="41"/>
      <c r="AO655" s="41"/>
      <c r="AP655" s="41"/>
      <c r="AQ655" s="41"/>
      <c r="AR655" s="41"/>
      <c r="AS655" s="41"/>
      <c r="AT655" s="41"/>
      <c r="AU655" s="41"/>
      <c r="AV655" s="41"/>
      <c r="AW655" s="41"/>
      <c r="AX655" s="41"/>
      <c r="AY655" s="41"/>
      <c r="AZ655" s="41"/>
      <c r="BA655" s="41"/>
      <c r="BB655" s="41"/>
      <c r="BC655" s="41"/>
      <c r="BD655" s="41"/>
      <c r="CP655" s="62" t="s">
        <v>675</v>
      </c>
      <c r="CQ655" s="465">
        <f>BN653+BS653+BX653+CC653+CH653+CM653</f>
        <v>0</v>
      </c>
      <c r="CR655" s="41"/>
      <c r="CS655" s="41"/>
    </row>
    <row r="656" spans="1:99" ht="12.95" customHeight="1" thickBot="1">
      <c r="A656" s="4"/>
      <c r="B656" t="s">
        <v>640</v>
      </c>
      <c r="G656" s="1126" t="s">
        <v>302</v>
      </c>
      <c r="H656" s="1063"/>
      <c r="I656" s="1063"/>
      <c r="J656" s="1063"/>
      <c r="K656" s="1063"/>
      <c r="L656" s="1063"/>
      <c r="M656" s="1063"/>
      <c r="N656" s="1063"/>
      <c r="O656" s="1063"/>
      <c r="P656" s="1063"/>
      <c r="Q656" s="1063"/>
      <c r="R656" s="1063"/>
      <c r="T656" s="4"/>
      <c r="U656" t="s">
        <v>640</v>
      </c>
      <c r="Z656" s="1068"/>
      <c r="AA656" s="1063"/>
      <c r="AB656" s="1063"/>
      <c r="AC656" s="1063"/>
      <c r="AD656" s="1063"/>
      <c r="AE656" s="1063"/>
      <c r="AF656" s="1063"/>
      <c r="AG656" s="1063"/>
      <c r="AH656" s="1063"/>
      <c r="AI656" s="1063"/>
      <c r="AJ656" s="1063"/>
      <c r="AK656" s="1063"/>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68</v>
      </c>
      <c r="G657" s="1176" t="s">
        <v>375</v>
      </c>
      <c r="H657" s="1063"/>
      <c r="I657" s="1063"/>
      <c r="J657" s="1063"/>
      <c r="K657" s="1063"/>
      <c r="L657" s="1063"/>
      <c r="O657" s="42" t="s">
        <v>305</v>
      </c>
      <c r="P657" s="1112"/>
      <c r="Q657" s="1063"/>
      <c r="R657" s="1063"/>
      <c r="T657" s="4"/>
      <c r="U657" t="s">
        <v>68</v>
      </c>
      <c r="Z657" s="1084"/>
      <c r="AA657" s="1063"/>
      <c r="AB657" s="1063"/>
      <c r="AC657" s="1063"/>
      <c r="AD657" s="1063"/>
      <c r="AE657" s="1063"/>
      <c r="AH657" s="42" t="s">
        <v>305</v>
      </c>
      <c r="AI657" s="1112"/>
      <c r="AJ657" s="1063"/>
      <c r="AK657" s="1063"/>
      <c r="AL657" s="303"/>
      <c r="AM657" s="41"/>
      <c r="AN657" s="41"/>
      <c r="AO657" s="41"/>
      <c r="AP657" s="41"/>
      <c r="AQ657" s="41"/>
      <c r="AR657" s="41"/>
      <c r="AS657" s="41"/>
      <c r="AT657" s="41"/>
      <c r="AU657" s="41"/>
      <c r="AV657" s="41"/>
      <c r="AW657" s="41"/>
      <c r="AX657" s="41"/>
      <c r="AY657" s="41"/>
      <c r="AZ657" s="41"/>
      <c r="BA657" s="41"/>
      <c r="BB657" s="41"/>
      <c r="BC657" s="41"/>
      <c r="BD657" s="41"/>
      <c r="CP657" s="62" t="s">
        <v>676</v>
      </c>
      <c r="CQ657" s="465">
        <f>CQ655+CQ636</f>
        <v>38</v>
      </c>
      <c r="CR657" s="41"/>
      <c r="CS657" s="41"/>
    </row>
    <row r="658" spans="1:97" ht="12.95" customHeight="1">
      <c r="A658" s="4"/>
      <c r="B658" t="s">
        <v>641</v>
      </c>
      <c r="H658" s="1059"/>
      <c r="I658" s="1060"/>
      <c r="J658" s="1060"/>
      <c r="K658" s="1060"/>
      <c r="L658" s="1060"/>
      <c r="M658" s="1060"/>
      <c r="N658" s="1060"/>
      <c r="O658" s="1060"/>
      <c r="P658" s="1060"/>
      <c r="Q658" s="1060"/>
      <c r="R658" s="1060"/>
      <c r="T658" s="4"/>
      <c r="U658" t="s">
        <v>641</v>
      </c>
      <c r="AA658" s="1059"/>
      <c r="AB658" s="1060"/>
      <c r="AC658" s="1060"/>
      <c r="AD658" s="1060"/>
      <c r="AE658" s="1060"/>
      <c r="AF658" s="1060"/>
      <c r="AG658" s="1060"/>
      <c r="AH658" s="1060"/>
      <c r="AI658" s="1060"/>
      <c r="AJ658" s="1060"/>
      <c r="AK658" s="1060"/>
      <c r="AL658" s="303"/>
      <c r="AM658" s="41"/>
      <c r="AN658" s="41"/>
      <c r="AO658" s="41"/>
      <c r="AP658" s="41"/>
      <c r="AQ658" s="41"/>
      <c r="AR658" s="41"/>
      <c r="AS658" s="41"/>
      <c r="AT658" s="41"/>
      <c r="AU658" s="41"/>
      <c r="AV658" s="41"/>
      <c r="AW658" s="41"/>
      <c r="AX658" s="41"/>
      <c r="AY658" s="41"/>
      <c r="AZ658" s="41"/>
      <c r="BA658" s="41"/>
      <c r="BB658" s="41"/>
      <c r="BC658" s="41"/>
      <c r="BD658" s="41"/>
      <c r="BN658" s="43" t="s">
        <v>677</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642</v>
      </c>
      <c r="N659" s="1066" t="s">
        <v>71</v>
      </c>
      <c r="O659" s="1060"/>
      <c r="T659" s="4"/>
      <c r="U659" t="s">
        <v>642</v>
      </c>
      <c r="AG659" s="1066" t="s">
        <v>14</v>
      </c>
      <c r="AH659" s="1060"/>
      <c r="AM659" s="41"/>
      <c r="AN659" s="41"/>
      <c r="AO659" s="41"/>
      <c r="AP659" s="41"/>
      <c r="AQ659" s="41"/>
      <c r="AR659" s="41"/>
      <c r="AS659" s="41"/>
      <c r="AT659" s="41"/>
      <c r="AU659" s="41"/>
      <c r="AV659" s="41"/>
      <c r="AW659" s="41"/>
      <c r="AX659" s="41"/>
      <c r="AY659" s="41"/>
      <c r="AZ659" s="41"/>
      <c r="BA659" s="41"/>
      <c r="BB659" s="41"/>
      <c r="BC659" s="41"/>
      <c r="BD659" s="41"/>
      <c r="BN659" s="1083">
        <f>BN634+BN641+BN653</f>
        <v>39</v>
      </c>
      <c r="BO659" s="973"/>
      <c r="BP659" s="973"/>
      <c r="BQ659" s="973"/>
      <c r="BR659" s="974"/>
      <c r="BS659" s="1083">
        <f>BS634+BS641+BS653</f>
        <v>0</v>
      </c>
      <c r="BT659" s="973"/>
      <c r="BU659" s="973"/>
      <c r="BV659" s="973"/>
      <c r="BW659" s="974"/>
      <c r="BX659" s="1083">
        <f>BX634+BX641+BX653</f>
        <v>0</v>
      </c>
      <c r="BY659" s="973"/>
      <c r="BZ659" s="973"/>
      <c r="CA659" s="973"/>
      <c r="CB659" s="974"/>
      <c r="CC659" s="1083">
        <f>CC634+CC641+CC653</f>
        <v>0</v>
      </c>
      <c r="CD659" s="973"/>
      <c r="CE659" s="973"/>
      <c r="CF659" s="973"/>
      <c r="CG659" s="974"/>
      <c r="CH659" s="1083">
        <f>CH634+CH641+CH653</f>
        <v>0</v>
      </c>
      <c r="CI659" s="973"/>
      <c r="CJ659" s="973"/>
      <c r="CK659" s="973"/>
      <c r="CL659" s="974"/>
      <c r="CM659" s="1076">
        <f>CM653+CM641+CM634</f>
        <v>0</v>
      </c>
      <c r="CN659" s="973"/>
      <c r="CO659" s="973"/>
      <c r="CP659" s="973"/>
      <c r="CQ659" s="974"/>
      <c r="CR659" s="41"/>
      <c r="CS659" s="41"/>
    </row>
    <row r="660" spans="1:97" ht="12.95" customHeight="1">
      <c r="A660" s="4"/>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630</v>
      </c>
      <c r="B661" t="s">
        <v>639</v>
      </c>
      <c r="G661" s="1127">
        <f>C633</f>
        <v>0</v>
      </c>
      <c r="H661" s="1093"/>
      <c r="I661" s="1093"/>
      <c r="J661" s="1093"/>
      <c r="K661" s="1093"/>
      <c r="L661" s="1093"/>
      <c r="M661" s="1093"/>
      <c r="N661" s="1093"/>
      <c r="O661" s="1093"/>
      <c r="P661" s="1093"/>
      <c r="Q661" s="1093"/>
      <c r="R661" s="1093"/>
      <c r="T661" s="61" t="s">
        <v>631</v>
      </c>
      <c r="U661" t="s">
        <v>639</v>
      </c>
      <c r="Z661" s="1127">
        <f>C634</f>
        <v>0</v>
      </c>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295</v>
      </c>
      <c r="G662" s="1059"/>
      <c r="H662" s="1060"/>
      <c r="I662" s="1060"/>
      <c r="J662" s="1060"/>
      <c r="K662" s="1060"/>
      <c r="L662" s="1060"/>
      <c r="M662" s="1060"/>
      <c r="N662" s="1060"/>
      <c r="O662" s="1060"/>
      <c r="P662" s="1060"/>
      <c r="Q662" s="1060"/>
      <c r="R662" s="1060"/>
      <c r="T662" s="4"/>
      <c r="U662" t="s">
        <v>295</v>
      </c>
      <c r="Z662" s="1059"/>
      <c r="AA662" s="1060"/>
      <c r="AB662" s="1060"/>
      <c r="AC662" s="1060"/>
      <c r="AD662" s="1060"/>
      <c r="AE662" s="1060"/>
      <c r="AF662" s="1060"/>
      <c r="AG662" s="1060"/>
      <c r="AH662" s="1060"/>
      <c r="AI662" s="1060"/>
      <c r="AJ662" s="1060"/>
      <c r="AK662" s="106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153</v>
      </c>
      <c r="G663" s="1059"/>
      <c r="H663" s="1060"/>
      <c r="I663" s="1060"/>
      <c r="J663" s="1060"/>
      <c r="K663" s="1060"/>
      <c r="L663" s="1060"/>
      <c r="M663" s="1060"/>
      <c r="N663" s="1060"/>
      <c r="O663" s="1060"/>
      <c r="P663" s="1060"/>
      <c r="Q663" s="1060"/>
      <c r="R663" s="1060"/>
      <c r="T663" s="4"/>
      <c r="U663" t="s">
        <v>153</v>
      </c>
      <c r="Z663" s="1068"/>
      <c r="AA663" s="1063"/>
      <c r="AB663" s="1063"/>
      <c r="AC663" s="1063"/>
      <c r="AD663" s="1063"/>
      <c r="AE663" s="1063"/>
      <c r="AF663" s="1063"/>
      <c r="AG663" s="1063"/>
      <c r="AH663" s="1063"/>
      <c r="AI663" s="1063"/>
      <c r="AJ663" s="1063"/>
      <c r="AK663" s="10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640</v>
      </c>
      <c r="G664" s="1059"/>
      <c r="H664" s="1060"/>
      <c r="I664" s="1060"/>
      <c r="J664" s="1060"/>
      <c r="K664" s="1060"/>
      <c r="L664" s="1060"/>
      <c r="M664" s="1060"/>
      <c r="N664" s="1060"/>
      <c r="O664" s="1060"/>
      <c r="P664" s="1060"/>
      <c r="Q664" s="1060"/>
      <c r="R664" s="1060"/>
      <c r="T664" s="4"/>
      <c r="U664" t="s">
        <v>640</v>
      </c>
      <c r="Z664" s="1068"/>
      <c r="AA664" s="1063"/>
      <c r="AB664" s="1063"/>
      <c r="AC664" s="1063"/>
      <c r="AD664" s="1063"/>
      <c r="AE664" s="1063"/>
      <c r="AF664" s="1063"/>
      <c r="AG664" s="1063"/>
      <c r="AH664" s="1063"/>
      <c r="AI664" s="1063"/>
      <c r="AJ664" s="1063"/>
      <c r="AK664" s="106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68</v>
      </c>
      <c r="G665" s="1084"/>
      <c r="H665" s="1063"/>
      <c r="I665" s="1063"/>
      <c r="J665" s="1063"/>
      <c r="K665" s="1063"/>
      <c r="L665" s="1063"/>
      <c r="O665" s="42" t="s">
        <v>305</v>
      </c>
      <c r="P665" s="1112"/>
      <c r="Q665" s="1063"/>
      <c r="R665" s="1063"/>
      <c r="T665" s="4"/>
      <c r="U665" t="s">
        <v>68</v>
      </c>
      <c r="Z665" s="1084"/>
      <c r="AA665" s="1063"/>
      <c r="AB665" s="1063"/>
      <c r="AC665" s="1063"/>
      <c r="AD665" s="1063"/>
      <c r="AE665" s="1063"/>
      <c r="AH665" s="42" t="s">
        <v>305</v>
      </c>
      <c r="AI665" s="1112"/>
      <c r="AJ665" s="1063"/>
      <c r="AK665" s="1063"/>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641</v>
      </c>
      <c r="H666" s="1059"/>
      <c r="I666" s="1060"/>
      <c r="J666" s="1060"/>
      <c r="K666" s="1060"/>
      <c r="L666" s="1060"/>
      <c r="M666" s="1060"/>
      <c r="N666" s="1060"/>
      <c r="O666" s="1060"/>
      <c r="P666" s="1060"/>
      <c r="Q666" s="1060"/>
      <c r="R666" s="1060"/>
      <c r="T666" s="4"/>
      <c r="U666" t="s">
        <v>641</v>
      </c>
      <c r="AA666" s="1059"/>
      <c r="AB666" s="1060"/>
      <c r="AC666" s="1060"/>
      <c r="AD666" s="1060"/>
      <c r="AE666" s="1060"/>
      <c r="AF666" s="1060"/>
      <c r="AG666" s="1060"/>
      <c r="AH666" s="1060"/>
      <c r="AI666" s="1060"/>
      <c r="AJ666" s="1060"/>
      <c r="AK666" s="106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642</v>
      </c>
      <c r="N667" s="1066" t="s">
        <v>14</v>
      </c>
      <c r="O667" s="1060"/>
      <c r="T667" s="4"/>
      <c r="U667" t="s">
        <v>642</v>
      </c>
      <c r="AG667" s="1066" t="s">
        <v>14</v>
      </c>
      <c r="AH667" s="106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632</v>
      </c>
      <c r="B669" t="s">
        <v>639</v>
      </c>
      <c r="G669" s="1127">
        <f>C635</f>
        <v>0</v>
      </c>
      <c r="H669" s="1093"/>
      <c r="I669" s="1093"/>
      <c r="J669" s="1093"/>
      <c r="K669" s="1093"/>
      <c r="L669" s="1093"/>
      <c r="M669" s="1093"/>
      <c r="N669" s="1093"/>
      <c r="O669" s="1093"/>
      <c r="P669" s="1093"/>
      <c r="Q669" s="1093"/>
      <c r="R669" s="1093"/>
      <c r="T669" s="61" t="s">
        <v>633</v>
      </c>
      <c r="U669" t="s">
        <v>639</v>
      </c>
      <c r="Z669" s="1127">
        <f>C636</f>
        <v>0</v>
      </c>
      <c r="AA669" s="1093"/>
      <c r="AB669" s="1093"/>
      <c r="AC669" s="1093"/>
      <c r="AD669" s="1093"/>
      <c r="AE669" s="1093"/>
      <c r="AF669" s="1093"/>
      <c r="AG669" s="1093"/>
      <c r="AH669" s="1093"/>
      <c r="AI669" s="1093"/>
      <c r="AJ669" s="1093"/>
      <c r="AK669" s="109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295</v>
      </c>
      <c r="G670" s="1059"/>
      <c r="H670" s="1060"/>
      <c r="I670" s="1060"/>
      <c r="J670" s="1060"/>
      <c r="K670" s="1060"/>
      <c r="L670" s="1060"/>
      <c r="M670" s="1060"/>
      <c r="N670" s="1060"/>
      <c r="O670" s="1060"/>
      <c r="P670" s="1060"/>
      <c r="Q670" s="1060"/>
      <c r="R670" s="1060"/>
      <c r="T670" s="4"/>
      <c r="U670" t="s">
        <v>295</v>
      </c>
      <c r="Z670" s="1059"/>
      <c r="AA670" s="1060"/>
      <c r="AB670" s="1060"/>
      <c r="AC670" s="1060"/>
      <c r="AD670" s="1060"/>
      <c r="AE670" s="1060"/>
      <c r="AF670" s="1060"/>
      <c r="AG670" s="1060"/>
      <c r="AH670" s="1060"/>
      <c r="AI670" s="1060"/>
      <c r="AJ670" s="1060"/>
      <c r="AK670" s="106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153</v>
      </c>
      <c r="G671" s="1059"/>
      <c r="H671" s="1060"/>
      <c r="I671" s="1060"/>
      <c r="J671" s="1060"/>
      <c r="K671" s="1060"/>
      <c r="L671" s="1060"/>
      <c r="M671" s="1060"/>
      <c r="N671" s="1060"/>
      <c r="O671" s="1060"/>
      <c r="P671" s="1060"/>
      <c r="Q671" s="1060"/>
      <c r="R671" s="1060"/>
      <c r="T671" s="4"/>
      <c r="U671" t="s">
        <v>153</v>
      </c>
      <c r="Z671" s="1068"/>
      <c r="AA671" s="1063"/>
      <c r="AB671" s="1063"/>
      <c r="AC671" s="1063"/>
      <c r="AD671" s="1063"/>
      <c r="AE671" s="1063"/>
      <c r="AF671" s="1063"/>
      <c r="AG671" s="1063"/>
      <c r="AH671" s="1063"/>
      <c r="AI671" s="1063"/>
      <c r="AJ671" s="1063"/>
      <c r="AK671" s="1063"/>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640</v>
      </c>
      <c r="G672" s="1059"/>
      <c r="H672" s="1060"/>
      <c r="I672" s="1060"/>
      <c r="J672" s="1060"/>
      <c r="K672" s="1060"/>
      <c r="L672" s="1060"/>
      <c r="M672" s="1060"/>
      <c r="N672" s="1060"/>
      <c r="O672" s="1060"/>
      <c r="P672" s="1060"/>
      <c r="Q672" s="1060"/>
      <c r="R672" s="1060"/>
      <c r="T672" s="4"/>
      <c r="U672" t="s">
        <v>640</v>
      </c>
      <c r="Z672" s="1068"/>
      <c r="AA672" s="1063"/>
      <c r="AB672" s="1063"/>
      <c r="AC672" s="1063"/>
      <c r="AD672" s="1063"/>
      <c r="AE672" s="1063"/>
      <c r="AF672" s="1063"/>
      <c r="AG672" s="1063"/>
      <c r="AH672" s="1063"/>
      <c r="AI672" s="1063"/>
      <c r="AJ672" s="1063"/>
      <c r="AK672" s="1063"/>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68</v>
      </c>
      <c r="G673" s="1084"/>
      <c r="H673" s="1063"/>
      <c r="I673" s="1063"/>
      <c r="J673" s="1063"/>
      <c r="K673" s="1063"/>
      <c r="L673" s="1063"/>
      <c r="O673" s="42" t="s">
        <v>305</v>
      </c>
      <c r="P673" s="1112"/>
      <c r="Q673" s="1063"/>
      <c r="R673" s="1063"/>
      <c r="T673" s="4"/>
      <c r="U673" t="s">
        <v>68</v>
      </c>
      <c r="Z673" s="1084"/>
      <c r="AA673" s="1063"/>
      <c r="AB673" s="1063"/>
      <c r="AC673" s="1063"/>
      <c r="AD673" s="1063"/>
      <c r="AE673" s="1063"/>
      <c r="AH673" s="42" t="s">
        <v>305</v>
      </c>
      <c r="AI673" s="1112"/>
      <c r="AJ673" s="1063"/>
      <c r="AK673" s="1063"/>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641</v>
      </c>
      <c r="H674" s="1059"/>
      <c r="I674" s="1060"/>
      <c r="J674" s="1060"/>
      <c r="K674" s="1060"/>
      <c r="L674" s="1060"/>
      <c r="M674" s="1060"/>
      <c r="N674" s="1060"/>
      <c r="O674" s="1060"/>
      <c r="P674" s="1060"/>
      <c r="Q674" s="1060"/>
      <c r="R674" s="1060"/>
      <c r="T674" s="4"/>
      <c r="U674" t="s">
        <v>641</v>
      </c>
      <c r="AA674" s="1059"/>
      <c r="AB674" s="1060"/>
      <c r="AC674" s="1060"/>
      <c r="AD674" s="1060"/>
      <c r="AE674" s="1060"/>
      <c r="AF674" s="1060"/>
      <c r="AG674" s="1060"/>
      <c r="AH674" s="1060"/>
      <c r="AI674" s="1060"/>
      <c r="AJ674" s="1060"/>
      <c r="AK674" s="106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642</v>
      </c>
      <c r="N675" s="1066" t="s">
        <v>14</v>
      </c>
      <c r="O675" s="1060"/>
      <c r="T675" s="4"/>
      <c r="U675" t="s">
        <v>642</v>
      </c>
      <c r="AG675" s="1066" t="s">
        <v>14</v>
      </c>
      <c r="AH675" s="106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634</v>
      </c>
      <c r="B677" t="s">
        <v>639</v>
      </c>
      <c r="G677" s="1127">
        <f>C637</f>
        <v>0</v>
      </c>
      <c r="H677" s="1093"/>
      <c r="I677" s="1093"/>
      <c r="J677" s="1093"/>
      <c r="K677" s="1093"/>
      <c r="L677" s="1093"/>
      <c r="M677" s="1093"/>
      <c r="N677" s="1093"/>
      <c r="O677" s="1093"/>
      <c r="P677" s="1093"/>
      <c r="Q677" s="1093"/>
      <c r="R677" s="1093"/>
      <c r="T677" s="61" t="s">
        <v>635</v>
      </c>
      <c r="U677" t="s">
        <v>639</v>
      </c>
      <c r="Z677" s="1127">
        <f>C638</f>
        <v>0</v>
      </c>
      <c r="AA677" s="1093"/>
      <c r="AB677" s="1093"/>
      <c r="AC677" s="1093"/>
      <c r="AD677" s="1093"/>
      <c r="AE677" s="1093"/>
      <c r="AF677" s="1093"/>
      <c r="AG677" s="1093"/>
      <c r="AH677" s="1093"/>
      <c r="AI677" s="1093"/>
      <c r="AJ677" s="1093"/>
      <c r="AK677" s="109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295</v>
      </c>
      <c r="G678" s="1059"/>
      <c r="H678" s="1060"/>
      <c r="I678" s="1060"/>
      <c r="J678" s="1060"/>
      <c r="K678" s="1060"/>
      <c r="L678" s="1060"/>
      <c r="M678" s="1060"/>
      <c r="N678" s="1060"/>
      <c r="O678" s="1060"/>
      <c r="P678" s="1060"/>
      <c r="Q678" s="1060"/>
      <c r="R678" s="1060"/>
      <c r="T678" s="4"/>
      <c r="U678" t="s">
        <v>295</v>
      </c>
      <c r="Z678" s="1059"/>
      <c r="AA678" s="1060"/>
      <c r="AB678" s="1060"/>
      <c r="AC678" s="1060"/>
      <c r="AD678" s="1060"/>
      <c r="AE678" s="1060"/>
      <c r="AF678" s="1060"/>
      <c r="AG678" s="1060"/>
      <c r="AH678" s="1060"/>
      <c r="AI678" s="1060"/>
      <c r="AJ678" s="1060"/>
      <c r="AK678" s="106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153</v>
      </c>
      <c r="G679" s="1059"/>
      <c r="H679" s="1060"/>
      <c r="I679" s="1060"/>
      <c r="J679" s="1060"/>
      <c r="K679" s="1060"/>
      <c r="L679" s="1060"/>
      <c r="M679" s="1060"/>
      <c r="N679" s="1060"/>
      <c r="O679" s="1060"/>
      <c r="P679" s="1060"/>
      <c r="Q679" s="1060"/>
      <c r="R679" s="1060"/>
      <c r="T679" s="4"/>
      <c r="U679" t="s">
        <v>153</v>
      </c>
      <c r="Z679" s="1068"/>
      <c r="AA679" s="1063"/>
      <c r="AB679" s="1063"/>
      <c r="AC679" s="1063"/>
      <c r="AD679" s="1063"/>
      <c r="AE679" s="1063"/>
      <c r="AF679" s="1063"/>
      <c r="AG679" s="1063"/>
      <c r="AH679" s="1063"/>
      <c r="AI679" s="1063"/>
      <c r="AJ679" s="1063"/>
      <c r="AK679" s="1063"/>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640</v>
      </c>
      <c r="G680" s="1059"/>
      <c r="H680" s="1060"/>
      <c r="I680" s="1060"/>
      <c r="J680" s="1060"/>
      <c r="K680" s="1060"/>
      <c r="L680" s="1060"/>
      <c r="M680" s="1060"/>
      <c r="N680" s="1060"/>
      <c r="O680" s="1060"/>
      <c r="P680" s="1060"/>
      <c r="Q680" s="1060"/>
      <c r="R680" s="1060"/>
      <c r="T680" s="4"/>
      <c r="U680" t="s">
        <v>640</v>
      </c>
      <c r="Z680" s="1068"/>
      <c r="AA680" s="1063"/>
      <c r="AB680" s="1063"/>
      <c r="AC680" s="1063"/>
      <c r="AD680" s="1063"/>
      <c r="AE680" s="1063"/>
      <c r="AF680" s="1063"/>
      <c r="AG680" s="1063"/>
      <c r="AH680" s="1063"/>
      <c r="AI680" s="1063"/>
      <c r="AJ680" s="1063"/>
      <c r="AK680" s="1063"/>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68</v>
      </c>
      <c r="G681" s="1084"/>
      <c r="H681" s="1063"/>
      <c r="I681" s="1063"/>
      <c r="J681" s="1063"/>
      <c r="K681" s="1063"/>
      <c r="L681" s="1063"/>
      <c r="O681" s="42" t="s">
        <v>305</v>
      </c>
      <c r="P681" s="1112"/>
      <c r="Q681" s="1063"/>
      <c r="R681" s="1063"/>
      <c r="T681" s="4"/>
      <c r="U681" t="s">
        <v>68</v>
      </c>
      <c r="Z681" s="1084"/>
      <c r="AA681" s="1063"/>
      <c r="AB681" s="1063"/>
      <c r="AC681" s="1063"/>
      <c r="AD681" s="1063"/>
      <c r="AE681" s="1063"/>
      <c r="AH681" s="42" t="s">
        <v>305</v>
      </c>
      <c r="AI681" s="1112"/>
      <c r="AJ681" s="1063"/>
      <c r="AK681" s="1063"/>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641</v>
      </c>
      <c r="H682" s="1059"/>
      <c r="I682" s="1060"/>
      <c r="J682" s="1060"/>
      <c r="K682" s="1060"/>
      <c r="L682" s="1060"/>
      <c r="M682" s="1060"/>
      <c r="N682" s="1060"/>
      <c r="O682" s="1060"/>
      <c r="P682" s="1060"/>
      <c r="Q682" s="1060"/>
      <c r="R682" s="1060"/>
      <c r="T682" s="4"/>
      <c r="U682" t="s">
        <v>641</v>
      </c>
      <c r="AA682" s="1059"/>
      <c r="AB682" s="1060"/>
      <c r="AC682" s="1060"/>
      <c r="AD682" s="1060"/>
      <c r="AE682" s="1060"/>
      <c r="AF682" s="1060"/>
      <c r="AG682" s="1060"/>
      <c r="AH682" s="1060"/>
      <c r="AI682" s="1060"/>
      <c r="AJ682" s="1060"/>
      <c r="AK682" s="106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642</v>
      </c>
      <c r="N683" s="1066" t="s">
        <v>14</v>
      </c>
      <c r="O683" s="1060"/>
      <c r="T683" s="4"/>
      <c r="U683" t="s">
        <v>642</v>
      </c>
      <c r="AG683" s="1066" t="s">
        <v>14</v>
      </c>
      <c r="AH683" s="106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636</v>
      </c>
      <c r="B685" t="s">
        <v>639</v>
      </c>
      <c r="G685" s="1127">
        <f>C639</f>
        <v>0</v>
      </c>
      <c r="H685" s="1093"/>
      <c r="I685" s="1093"/>
      <c r="J685" s="1093"/>
      <c r="K685" s="1093"/>
      <c r="L685" s="1093"/>
      <c r="M685" s="1093"/>
      <c r="N685" s="1093"/>
      <c r="O685" s="1093"/>
      <c r="P685" s="1093"/>
      <c r="Q685" s="1093"/>
      <c r="R685" s="1093"/>
      <c r="T685" s="61" t="s">
        <v>637</v>
      </c>
      <c r="U685" t="s">
        <v>639</v>
      </c>
      <c r="Z685" s="1127">
        <f>C640</f>
        <v>0</v>
      </c>
      <c r="AA685" s="1093"/>
      <c r="AB685" s="1093"/>
      <c r="AC685" s="1093"/>
      <c r="AD685" s="1093"/>
      <c r="AE685" s="1093"/>
      <c r="AF685" s="1093"/>
      <c r="AG685" s="1093"/>
      <c r="AH685" s="1093"/>
      <c r="AI685" s="1093"/>
      <c r="AJ685" s="1093"/>
      <c r="AK685" s="109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295</v>
      </c>
      <c r="G686" s="1059"/>
      <c r="H686" s="1060"/>
      <c r="I686" s="1060"/>
      <c r="J686" s="1060"/>
      <c r="K686" s="1060"/>
      <c r="L686" s="1060"/>
      <c r="M686" s="1060"/>
      <c r="N686" s="1060"/>
      <c r="O686" s="1060"/>
      <c r="P686" s="1060"/>
      <c r="Q686" s="1060"/>
      <c r="R686" s="1060"/>
      <c r="T686" s="4"/>
      <c r="U686" t="s">
        <v>295</v>
      </c>
      <c r="Z686" s="1059"/>
      <c r="AA686" s="1060"/>
      <c r="AB686" s="1060"/>
      <c r="AC686" s="1060"/>
      <c r="AD686" s="1060"/>
      <c r="AE686" s="1060"/>
      <c r="AF686" s="1060"/>
      <c r="AG686" s="1060"/>
      <c r="AH686" s="1060"/>
      <c r="AI686" s="1060"/>
      <c r="AJ686" s="1060"/>
      <c r="AK686" s="106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153</v>
      </c>
      <c r="G687" s="1059"/>
      <c r="H687" s="1060"/>
      <c r="I687" s="1060"/>
      <c r="J687" s="1060"/>
      <c r="K687" s="1060"/>
      <c r="L687" s="1060"/>
      <c r="M687" s="1060"/>
      <c r="N687" s="1060"/>
      <c r="O687" s="1060"/>
      <c r="P687" s="1060"/>
      <c r="Q687" s="1060"/>
      <c r="R687" s="1060"/>
      <c r="U687" t="s">
        <v>153</v>
      </c>
      <c r="Z687" s="1068"/>
      <c r="AA687" s="1063"/>
      <c r="AB687" s="1063"/>
      <c r="AC687" s="1063"/>
      <c r="AD687" s="1063"/>
      <c r="AE687" s="1063"/>
      <c r="AF687" s="1063"/>
      <c r="AG687" s="1063"/>
      <c r="AH687" s="1063"/>
      <c r="AI687" s="1063"/>
      <c r="AJ687" s="1063"/>
      <c r="AK687" s="1063"/>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640</v>
      </c>
      <c r="G688" s="1059"/>
      <c r="H688" s="1060"/>
      <c r="I688" s="1060"/>
      <c r="J688" s="1060"/>
      <c r="K688" s="1060"/>
      <c r="L688" s="1060"/>
      <c r="M688" s="1060"/>
      <c r="N688" s="1060"/>
      <c r="O688" s="1060"/>
      <c r="P688" s="1060"/>
      <c r="Q688" s="1060"/>
      <c r="R688" s="1060"/>
      <c r="U688" t="s">
        <v>640</v>
      </c>
      <c r="Z688" s="1068"/>
      <c r="AA688" s="1063"/>
      <c r="AB688" s="1063"/>
      <c r="AC688" s="1063"/>
      <c r="AD688" s="1063"/>
      <c r="AE688" s="1063"/>
      <c r="AF688" s="1063"/>
      <c r="AG688" s="1063"/>
      <c r="AH688" s="1063"/>
      <c r="AI688" s="1063"/>
      <c r="AJ688" s="1063"/>
      <c r="AK688" s="1063"/>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68</v>
      </c>
      <c r="G689" s="1084"/>
      <c r="H689" s="1063"/>
      <c r="I689" s="1063"/>
      <c r="J689" s="1063"/>
      <c r="K689" s="1063"/>
      <c r="L689" s="1063"/>
      <c r="O689" s="42" t="s">
        <v>305</v>
      </c>
      <c r="P689" s="1112"/>
      <c r="Q689" s="1063"/>
      <c r="R689" s="1063"/>
      <c r="U689" t="s">
        <v>68</v>
      </c>
      <c r="Z689" s="1084"/>
      <c r="AA689" s="1063"/>
      <c r="AB689" s="1063"/>
      <c r="AC689" s="1063"/>
      <c r="AD689" s="1063"/>
      <c r="AE689" s="1063"/>
      <c r="AH689" s="42" t="s">
        <v>305</v>
      </c>
      <c r="AI689" s="1112"/>
      <c r="AJ689" s="1063"/>
      <c r="AK689" s="1063"/>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641</v>
      </c>
      <c r="H690" s="1059"/>
      <c r="I690" s="1060"/>
      <c r="J690" s="1060"/>
      <c r="K690" s="1060"/>
      <c r="L690" s="1060"/>
      <c r="M690" s="1060"/>
      <c r="N690" s="1060"/>
      <c r="O690" s="1060"/>
      <c r="P690" s="1060"/>
      <c r="Q690" s="1060"/>
      <c r="R690" s="1060"/>
      <c r="U690" t="s">
        <v>641</v>
      </c>
      <c r="AA690" s="1059"/>
      <c r="AB690" s="1060"/>
      <c r="AC690" s="1060"/>
      <c r="AD690" s="1060"/>
      <c r="AE690" s="1060"/>
      <c r="AF690" s="1060"/>
      <c r="AG690" s="1060"/>
      <c r="AH690" s="1060"/>
      <c r="AI690" s="1060"/>
      <c r="AJ690" s="1060"/>
      <c r="AK690" s="106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642</v>
      </c>
      <c r="N691" s="1066" t="s">
        <v>14</v>
      </c>
      <c r="O691" s="1060"/>
      <c r="U691" t="s">
        <v>642</v>
      </c>
      <c r="AG691" s="1066" t="s">
        <v>14</v>
      </c>
      <c r="AH691" s="106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N692" s="1"/>
      <c r="O692" s="1"/>
      <c r="AG692" s="1"/>
      <c r="AH692" s="1"/>
      <c r="AM692" s="41"/>
      <c r="BB692" s="41"/>
      <c r="BC692" s="41"/>
      <c r="BD692" s="41"/>
      <c r="BE692" s="43"/>
      <c r="BF692" s="43"/>
      <c r="BG692" s="43"/>
      <c r="BH692" s="43"/>
      <c r="BI692" s="43"/>
      <c r="BJ692" s="43"/>
      <c r="BK692" s="43"/>
      <c r="BL692" s="43"/>
      <c r="BM692" s="41"/>
      <c r="BN692" s="41"/>
      <c r="BO692" s="41"/>
      <c r="BP692" s="454" t="s">
        <v>678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AM693" s="41"/>
      <c r="BB693" s="41"/>
      <c r="BC693" s="41"/>
      <c r="BD693" s="41"/>
      <c r="BE693" s="43"/>
      <c r="BF693" s="43"/>
      <c r="BG693" s="43"/>
      <c r="BH693" s="43"/>
      <c r="BI693" s="43"/>
      <c r="BJ693" s="43"/>
      <c r="BK693" s="43"/>
      <c r="BL693" s="43"/>
      <c r="BM693" s="41"/>
      <c r="BN693" s="41"/>
      <c r="BO693" s="41"/>
      <c r="BP693" s="455" t="s">
        <v>679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50" t="s">
        <v>680</v>
      </c>
      <c r="B694" s="976"/>
      <c r="C694" s="1113"/>
      <c r="D694" s="976"/>
      <c r="E694" s="976"/>
      <c r="F694" s="976"/>
      <c r="G694" s="976"/>
      <c r="H694" s="976"/>
      <c r="I694" s="976"/>
      <c r="J694" s="976"/>
      <c r="K694" s="976"/>
      <c r="L694" s="976"/>
      <c r="M694" s="976"/>
      <c r="N694" s="976"/>
      <c r="O694" s="976"/>
      <c r="P694" s="976"/>
      <c r="Q694" s="976"/>
      <c r="R694" s="976"/>
      <c r="S694" s="976"/>
      <c r="T694" s="976"/>
      <c r="U694" s="976"/>
      <c r="V694" s="976"/>
      <c r="W694" s="976"/>
      <c r="X694" s="976"/>
      <c r="Y694" s="976"/>
      <c r="Z694" s="976"/>
      <c r="AA694" s="976"/>
      <c r="AB694" s="976"/>
      <c r="AC694" s="976"/>
      <c r="AD694" s="976"/>
      <c r="AE694" s="976"/>
      <c r="AF694" s="976"/>
      <c r="AG694" s="976"/>
      <c r="AH694" s="976"/>
      <c r="AI694" s="976"/>
      <c r="AJ694" s="976"/>
      <c r="AK694" s="976"/>
      <c r="AL694" s="976"/>
      <c r="AM694" s="976"/>
      <c r="AN694" s="976"/>
      <c r="AO694" s="976"/>
      <c r="AP694" s="976"/>
      <c r="AQ694" s="976"/>
      <c r="AR694" s="976"/>
      <c r="AS694" s="976"/>
      <c r="AT694" s="97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76"/>
      <c r="B695" s="976"/>
      <c r="C695" s="1113"/>
      <c r="D695" s="976"/>
      <c r="E695" s="976"/>
      <c r="F695" s="976"/>
      <c r="G695" s="976"/>
      <c r="H695" s="976"/>
      <c r="I695" s="976"/>
      <c r="J695" s="976"/>
      <c r="K695" s="976"/>
      <c r="L695" s="976"/>
      <c r="M695" s="976"/>
      <c r="N695" s="976"/>
      <c r="O695" s="976"/>
      <c r="P695" s="976"/>
      <c r="Q695" s="976"/>
      <c r="R695" s="976"/>
      <c r="S695" s="976"/>
      <c r="T695" s="976"/>
      <c r="U695" s="976"/>
      <c r="V695" s="976"/>
      <c r="W695" s="976"/>
      <c r="X695" s="976"/>
      <c r="Y695" s="976"/>
      <c r="Z695" s="976"/>
      <c r="AA695" s="976"/>
      <c r="AB695" s="976"/>
      <c r="AC695" s="976"/>
      <c r="AD695" s="976"/>
      <c r="AE695" s="976"/>
      <c r="AF695" s="976"/>
      <c r="AG695" s="976"/>
      <c r="AH695" s="976"/>
      <c r="AI695" s="976"/>
      <c r="AJ695" s="976"/>
      <c r="AK695" s="976"/>
      <c r="AL695" s="976"/>
      <c r="AM695" s="976"/>
      <c r="AN695" s="976"/>
      <c r="AO695" s="976"/>
      <c r="AP695" s="976"/>
      <c r="AQ695" s="976"/>
      <c r="AR695" s="976"/>
      <c r="AS695" s="976"/>
      <c r="AT695" s="976"/>
      <c r="BE695" s="43"/>
      <c r="BJ695" s="43"/>
      <c r="BK695" s="43"/>
      <c r="BL695" s="43"/>
      <c r="BM695" s="41"/>
      <c r="BN695" s="41"/>
      <c r="BO695" s="41"/>
      <c r="BP695" s="566" t="s">
        <v>681</v>
      </c>
      <c r="BQ695" s="567" t="s">
        <v>651</v>
      </c>
      <c r="BR695" s="567" t="s">
        <v>645</v>
      </c>
      <c r="BS695" s="567" t="s">
        <v>646</v>
      </c>
      <c r="BT695" s="567" t="s">
        <v>647</v>
      </c>
      <c r="BU695" s="567" t="s">
        <v>648</v>
      </c>
      <c r="BV695" s="567" t="s">
        <v>655</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76"/>
      <c r="B696" s="976"/>
      <c r="C696" s="1113"/>
      <c r="D696" s="976"/>
      <c r="E696" s="976"/>
      <c r="F696" s="976"/>
      <c r="G696" s="976"/>
      <c r="H696" s="976"/>
      <c r="I696" s="976"/>
      <c r="J696" s="976"/>
      <c r="K696" s="976"/>
      <c r="L696" s="976"/>
      <c r="M696" s="976"/>
      <c r="N696" s="976"/>
      <c r="O696" s="976"/>
      <c r="P696" s="976"/>
      <c r="Q696" s="976"/>
      <c r="R696" s="976"/>
      <c r="S696" s="976"/>
      <c r="T696" s="976"/>
      <c r="U696" s="976"/>
      <c r="V696" s="976"/>
      <c r="W696" s="976"/>
      <c r="X696" s="976"/>
      <c r="Y696" s="976"/>
      <c r="Z696" s="976"/>
      <c r="AA696" s="976"/>
      <c r="AB696" s="976"/>
      <c r="AC696" s="976"/>
      <c r="AD696" s="976"/>
      <c r="AE696" s="976"/>
      <c r="AF696" s="976"/>
      <c r="AG696" s="976"/>
      <c r="AH696" s="976"/>
      <c r="AI696" s="976"/>
      <c r="AJ696" s="976"/>
      <c r="AK696" s="976"/>
      <c r="AL696" s="976"/>
      <c r="AM696" s="976"/>
      <c r="AN696" s="976"/>
      <c r="AO696" s="976"/>
      <c r="AP696" s="976"/>
      <c r="AQ696" s="976"/>
      <c r="AR696" s="976"/>
      <c r="AS696" s="976"/>
      <c r="AT696" s="976"/>
      <c r="BE696" s="43"/>
      <c r="BJ696" s="448"/>
      <c r="BK696" s="43"/>
      <c r="BL696" s="43"/>
      <c r="BM696" s="41"/>
      <c r="BN696" s="41"/>
      <c r="BO696" s="41"/>
      <c r="BP696" s="568" t="s">
        <v>53</v>
      </c>
      <c r="BQ696" s="569">
        <v>2796</v>
      </c>
      <c r="BR696" s="569">
        <v>2996</v>
      </c>
      <c r="BS696" s="569">
        <v>3596</v>
      </c>
      <c r="BT696" s="569">
        <v>4154</v>
      </c>
      <c r="BU696" s="569">
        <v>4634</v>
      </c>
      <c r="BV696" s="569">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97</v>
      </c>
      <c r="B697" s="3"/>
      <c r="C697" s="3" t="s">
        <v>682</v>
      </c>
      <c r="BE697" s="43"/>
      <c r="BJ697" s="43"/>
      <c r="BK697" s="43"/>
      <c r="BL697" s="43"/>
      <c r="BM697" s="41"/>
      <c r="BN697" s="41"/>
      <c r="BO697" s="41"/>
      <c r="BP697" s="570" t="s">
        <v>56</v>
      </c>
      <c r="BQ697" s="569">
        <v>2020</v>
      </c>
      <c r="BR697" s="569">
        <v>2162</v>
      </c>
      <c r="BS697" s="569">
        <v>2594</v>
      </c>
      <c r="BT697" s="569">
        <v>3000</v>
      </c>
      <c r="BU697" s="569">
        <v>3346</v>
      </c>
      <c r="BV697" s="569">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3"/>
      <c r="C698" s="3"/>
      <c r="BE698" s="43"/>
      <c r="BJ698" s="43"/>
      <c r="BK698" s="43"/>
      <c r="BL698" s="43"/>
      <c r="BM698" s="41"/>
      <c r="BN698" s="41"/>
      <c r="BO698" s="41"/>
      <c r="BP698" s="570" t="s">
        <v>60</v>
      </c>
      <c r="BQ698" s="569">
        <v>1924</v>
      </c>
      <c r="BR698" s="569">
        <v>2062</v>
      </c>
      <c r="BS698" s="569">
        <v>2474</v>
      </c>
      <c r="BT698" s="569">
        <v>2856</v>
      </c>
      <c r="BU698" s="569">
        <v>3186</v>
      </c>
      <c r="BV698" s="569">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16" t="s">
        <v>683</v>
      </c>
      <c r="C699" s="1073"/>
      <c r="D699" s="1073"/>
      <c r="E699" s="1073"/>
      <c r="F699" s="1074"/>
      <c r="G699" s="1116" t="s">
        <v>684</v>
      </c>
      <c r="H699" s="1073"/>
      <c r="I699" s="1073"/>
      <c r="J699" s="1074"/>
      <c r="K699" s="1249" t="s">
        <v>685</v>
      </c>
      <c r="L699" s="1073"/>
      <c r="M699" s="1073"/>
      <c r="N699" s="1074"/>
      <c r="O699" s="1116" t="s">
        <v>686</v>
      </c>
      <c r="P699" s="1073"/>
      <c r="Q699" s="1073"/>
      <c r="R699" s="1073"/>
      <c r="S699" s="1074"/>
      <c r="T699" s="1116" t="s">
        <v>687</v>
      </c>
      <c r="U699" s="1073"/>
      <c r="V699" s="1073"/>
      <c r="W699" s="1073"/>
      <c r="X699" s="1074"/>
      <c r="Y699" s="1116" t="s">
        <v>688</v>
      </c>
      <c r="Z699" s="1073"/>
      <c r="AA699" s="1073"/>
      <c r="AB699" s="1074"/>
      <c r="AC699" s="1116" t="s">
        <v>689</v>
      </c>
      <c r="AD699" s="1073"/>
      <c r="AE699" s="1073"/>
      <c r="AF699" s="1073"/>
      <c r="AG699" s="1074"/>
      <c r="AH699" s="1116" t="s">
        <v>690</v>
      </c>
      <c r="AI699" s="1073"/>
      <c r="AJ699" s="1073"/>
      <c r="AK699" s="1073"/>
      <c r="AL699" s="1074"/>
      <c r="AM699" s="1116" t="s">
        <v>691</v>
      </c>
      <c r="AN699" s="1073"/>
      <c r="AO699" s="1074"/>
      <c r="BB699" s="41"/>
      <c r="BC699" s="41"/>
      <c r="BD699" s="41"/>
      <c r="BE699" s="41"/>
      <c r="BJ699" s="41"/>
      <c r="BK699" s="41"/>
      <c r="BL699" s="41"/>
      <c r="BM699" s="41"/>
      <c r="BN699" s="41"/>
      <c r="BO699" s="41"/>
      <c r="BP699" s="570" t="s">
        <v>63</v>
      </c>
      <c r="BQ699" s="569">
        <v>1644</v>
      </c>
      <c r="BR699" s="569">
        <v>1762</v>
      </c>
      <c r="BS699" s="569">
        <v>2114</v>
      </c>
      <c r="BT699" s="569">
        <v>2442</v>
      </c>
      <c r="BU699" s="569">
        <v>2724</v>
      </c>
      <c r="BV699" s="569">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091"/>
      <c r="C700" s="1113"/>
      <c r="D700" s="976"/>
      <c r="E700" s="976"/>
      <c r="F700" s="977"/>
      <c r="G700" s="1091"/>
      <c r="H700" s="976"/>
      <c r="I700" s="976"/>
      <c r="J700" s="977"/>
      <c r="K700" s="1091"/>
      <c r="L700" s="976"/>
      <c r="M700" s="976"/>
      <c r="N700" s="977"/>
      <c r="O700" s="1091"/>
      <c r="P700" s="976"/>
      <c r="Q700" s="976"/>
      <c r="R700" s="976"/>
      <c r="S700" s="977"/>
      <c r="T700" s="1091"/>
      <c r="U700" s="976"/>
      <c r="V700" s="976"/>
      <c r="W700" s="976"/>
      <c r="X700" s="977"/>
      <c r="Y700" s="1091"/>
      <c r="Z700" s="976"/>
      <c r="AA700" s="976"/>
      <c r="AB700" s="977"/>
      <c r="AC700" s="1091"/>
      <c r="AD700" s="976"/>
      <c r="AE700" s="976"/>
      <c r="AF700" s="976"/>
      <c r="AG700" s="977"/>
      <c r="AH700" s="1091"/>
      <c r="AI700" s="976"/>
      <c r="AJ700" s="976"/>
      <c r="AK700" s="976"/>
      <c r="AL700" s="977"/>
      <c r="AM700" s="1091"/>
      <c r="AN700" s="976"/>
      <c r="AO700" s="977"/>
      <c r="BB700" s="41"/>
      <c r="BC700" s="41"/>
      <c r="BD700" s="41"/>
      <c r="BE700" s="41"/>
      <c r="BJ700" s="41"/>
      <c r="BK700" s="41"/>
      <c r="BL700" s="41"/>
      <c r="BM700" s="41"/>
      <c r="BN700" s="41"/>
      <c r="BO700" s="41"/>
      <c r="BP700" s="570" t="s">
        <v>67</v>
      </c>
      <c r="BQ700" s="569">
        <v>1776</v>
      </c>
      <c r="BR700" s="569">
        <v>1902</v>
      </c>
      <c r="BS700" s="569">
        <v>2284</v>
      </c>
      <c r="BT700" s="569">
        <v>2640</v>
      </c>
      <c r="BU700" s="569">
        <v>2944</v>
      </c>
      <c r="BV700" s="569">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091"/>
      <c r="C701" s="1113"/>
      <c r="D701" s="976"/>
      <c r="E701" s="976"/>
      <c r="F701" s="977"/>
      <c r="G701" s="1091"/>
      <c r="H701" s="976"/>
      <c r="I701" s="976"/>
      <c r="J701" s="977"/>
      <c r="K701" s="1091"/>
      <c r="L701" s="976"/>
      <c r="M701" s="976"/>
      <c r="N701" s="977"/>
      <c r="O701" s="1091"/>
      <c r="P701" s="976"/>
      <c r="Q701" s="976"/>
      <c r="R701" s="976"/>
      <c r="S701" s="977"/>
      <c r="T701" s="1091"/>
      <c r="U701" s="976"/>
      <c r="V701" s="976"/>
      <c r="W701" s="976"/>
      <c r="X701" s="977"/>
      <c r="Y701" s="1091"/>
      <c r="Z701" s="976"/>
      <c r="AA701" s="976"/>
      <c r="AB701" s="977"/>
      <c r="AC701" s="1091"/>
      <c r="AD701" s="976"/>
      <c r="AE701" s="976"/>
      <c r="AF701" s="976"/>
      <c r="AG701" s="977"/>
      <c r="AH701" s="1091"/>
      <c r="AI701" s="976"/>
      <c r="AJ701" s="976"/>
      <c r="AK701" s="976"/>
      <c r="AL701" s="977"/>
      <c r="AM701" s="1091"/>
      <c r="AN701" s="976"/>
      <c r="AO701" s="977"/>
      <c r="AX701" s="43"/>
      <c r="AY701" s="3" t="s">
        <v>692</v>
      </c>
      <c r="AZ701" s="43"/>
      <c r="BA701" s="43"/>
      <c r="BB701" s="41"/>
      <c r="BC701" s="41"/>
      <c r="BD701" s="41"/>
      <c r="BE701" s="840" t="s">
        <v>693</v>
      </c>
      <c r="BF701" s="841"/>
      <c r="BG701" s="841"/>
      <c r="BJ701" s="41"/>
      <c r="BK701" s="41"/>
      <c r="BL701" s="41"/>
      <c r="BM701" s="41"/>
      <c r="BN701" s="41"/>
      <c r="BO701" s="41"/>
      <c r="BP701" s="570" t="s">
        <v>73</v>
      </c>
      <c r="BQ701" s="569">
        <v>1680</v>
      </c>
      <c r="BR701" s="569">
        <v>1800</v>
      </c>
      <c r="BS701" s="569">
        <v>2160</v>
      </c>
      <c r="BT701" s="569">
        <v>2496</v>
      </c>
      <c r="BU701" s="569">
        <v>2784</v>
      </c>
      <c r="BV701" s="569">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092"/>
      <c r="C702" s="1093"/>
      <c r="D702" s="1093"/>
      <c r="E702" s="1093"/>
      <c r="F702" s="1094"/>
      <c r="G702" s="1092"/>
      <c r="H702" s="1093"/>
      <c r="I702" s="1093"/>
      <c r="J702" s="1094"/>
      <c r="K702" s="1091"/>
      <c r="L702" s="976"/>
      <c r="M702" s="976"/>
      <c r="N702" s="977"/>
      <c r="O702" s="1092"/>
      <c r="P702" s="1093"/>
      <c r="Q702" s="1093"/>
      <c r="R702" s="1093"/>
      <c r="S702" s="1094"/>
      <c r="T702" s="1092"/>
      <c r="U702" s="1093"/>
      <c r="V702" s="1093"/>
      <c r="W702" s="1093"/>
      <c r="X702" s="1094"/>
      <c r="Y702" s="1092"/>
      <c r="Z702" s="1093"/>
      <c r="AA702" s="1093"/>
      <c r="AB702" s="1094"/>
      <c r="AC702" s="1092"/>
      <c r="AD702" s="1093"/>
      <c r="AE702" s="1093"/>
      <c r="AF702" s="1093"/>
      <c r="AG702" s="1094"/>
      <c r="AH702" s="1092"/>
      <c r="AI702" s="1093"/>
      <c r="AJ702" s="1093"/>
      <c r="AK702" s="1093"/>
      <c r="AL702" s="1094"/>
      <c r="AM702" s="1092"/>
      <c r="AN702" s="1093"/>
      <c r="AO702" s="1094"/>
      <c r="AV702" s="267" t="s">
        <v>694</v>
      </c>
      <c r="AX702" s="43"/>
      <c r="AY702" s="447" t="s">
        <v>695</v>
      </c>
      <c r="AZ702" s="461" t="s">
        <v>696</v>
      </c>
      <c r="BA702" s="460" t="s">
        <v>697</v>
      </c>
      <c r="BB702" s="41"/>
      <c r="BC702" s="41"/>
      <c r="BD702" s="41"/>
      <c r="BE702" s="842" t="s">
        <v>695</v>
      </c>
      <c r="BF702" s="843" t="s">
        <v>696</v>
      </c>
      <c r="BG702" s="844" t="s">
        <v>697</v>
      </c>
      <c r="BJ702" s="41"/>
      <c r="BK702" s="41"/>
      <c r="BL702" s="41"/>
      <c r="BM702" s="41"/>
      <c r="BN702" s="41"/>
      <c r="BO702" s="41"/>
      <c r="BP702" s="570" t="s">
        <v>76</v>
      </c>
      <c r="BQ702" s="569">
        <v>2796</v>
      </c>
      <c r="BR702" s="569">
        <v>2996</v>
      </c>
      <c r="BS702" s="569">
        <v>3596</v>
      </c>
      <c r="BT702" s="569">
        <v>4154</v>
      </c>
      <c r="BU702" s="569">
        <v>4634</v>
      </c>
      <c r="BV702" s="569">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5" t="s">
        <v>651</v>
      </c>
      <c r="C703" s="1063"/>
      <c r="D703" s="1063"/>
      <c r="E703" s="1063"/>
      <c r="F703" s="1064"/>
      <c r="G703" s="1078">
        <v>5</v>
      </c>
      <c r="H703" s="1063"/>
      <c r="I703" s="1063"/>
      <c r="J703" s="1064"/>
      <c r="K703" s="1102">
        <v>486</v>
      </c>
      <c r="L703" s="1063"/>
      <c r="M703" s="1063"/>
      <c r="N703" s="1064"/>
      <c r="O703" s="1071">
        <f>1038-148</f>
        <v>890</v>
      </c>
      <c r="P703" s="1063"/>
      <c r="Q703" s="1063"/>
      <c r="R703" s="1063"/>
      <c r="S703" s="1064"/>
      <c r="T703" s="1108">
        <f t="shared" ref="T703:T737" si="24">G703*O703</f>
        <v>4450</v>
      </c>
      <c r="U703" s="973"/>
      <c r="V703" s="973"/>
      <c r="W703" s="973"/>
      <c r="X703" s="974"/>
      <c r="Y703" s="1071">
        <v>148</v>
      </c>
      <c r="Z703" s="1063"/>
      <c r="AA703" s="1063"/>
      <c r="AB703" s="1064"/>
      <c r="AC703" s="1108">
        <f t="shared" ref="AC703:AC737" si="25">O703+Y703</f>
        <v>1038</v>
      </c>
      <c r="AD703" s="973"/>
      <c r="AE703" s="973"/>
      <c r="AF703" s="973"/>
      <c r="AG703" s="974"/>
      <c r="AH703" s="1130">
        <v>0.3</v>
      </c>
      <c r="AI703" s="1063"/>
      <c r="AJ703" s="1063"/>
      <c r="AK703" s="1063"/>
      <c r="AL703" s="1064"/>
      <c r="AM703" s="1072">
        <f>IF($AH703&gt;0,($AC703/$AV703),"")</f>
        <v>0.29982668977469673</v>
      </c>
      <c r="AN703" s="1073"/>
      <c r="AO703" s="1074"/>
      <c r="AV703" s="43">
        <f t="shared" ref="AV703:AV737" si="26">IF($G703=0,"N/A",VLOOKUP($T$189,TC_Rent,(MATCH($B703,bedrooms,FALSE))))</f>
        <v>3462</v>
      </c>
      <c r="AX703" s="43"/>
      <c r="AY703" s="442">
        <f t="shared" ref="AY703:AY737" si="27">G703</f>
        <v>5</v>
      </c>
      <c r="AZ703" s="449">
        <f t="shared" ref="AZ703:AZ737" si="28">IF($AY$738=0,"",AY703/$AY$738)</f>
        <v>0.13157894736842105</v>
      </c>
      <c r="BA703" s="450">
        <f t="shared" ref="BA703:BA736" si="29">IF(AZ703="","",AZ703*AH703)</f>
        <v>3.9473684210526314E-2</v>
      </c>
      <c r="BB703" s="41"/>
      <c r="BC703" s="41"/>
      <c r="BD703" s="41"/>
      <c r="BE703" s="845">
        <f t="shared" ref="BE703:BE737" si="30">G703</f>
        <v>5</v>
      </c>
      <c r="BF703" s="849">
        <f t="shared" ref="BF703:BF737" si="31">IF(BE703=0,"",BE703/$BE$738)</f>
        <v>0.13157894736842105</v>
      </c>
      <c r="BG703" s="850">
        <f t="shared" ref="BG703:BG736" si="32">IF(BF703="","",BF703*AM703)</f>
        <v>3.9450880233512724E-2</v>
      </c>
      <c r="BJ703" s="41"/>
      <c r="BK703" s="41"/>
      <c r="BL703" s="41"/>
      <c r="BM703" s="41"/>
      <c r="BN703" s="41"/>
      <c r="BO703" s="41"/>
      <c r="BP703" s="570" t="s">
        <v>79</v>
      </c>
      <c r="BQ703" s="569">
        <v>1644</v>
      </c>
      <c r="BR703" s="569">
        <v>1762</v>
      </c>
      <c r="BS703" s="569">
        <v>2114</v>
      </c>
      <c r="BT703" s="569">
        <v>2442</v>
      </c>
      <c r="BU703" s="569">
        <v>2724</v>
      </c>
      <c r="BV703" s="569">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5" t="s">
        <v>651</v>
      </c>
      <c r="C704" s="1063"/>
      <c r="D704" s="1063"/>
      <c r="E704" s="1063"/>
      <c r="F704" s="1064"/>
      <c r="G704" s="1078">
        <v>8</v>
      </c>
      <c r="H704" s="1063"/>
      <c r="I704" s="1063"/>
      <c r="J704" s="1064"/>
      <c r="K704" s="1102">
        <v>486</v>
      </c>
      <c r="L704" s="1063"/>
      <c r="M704" s="1063"/>
      <c r="N704" s="1064"/>
      <c r="O704" s="1071">
        <f>1385-148</f>
        <v>1237</v>
      </c>
      <c r="P704" s="1063"/>
      <c r="Q704" s="1063"/>
      <c r="R704" s="1063"/>
      <c r="S704" s="1064"/>
      <c r="T704" s="1108">
        <f t="shared" si="24"/>
        <v>9896</v>
      </c>
      <c r="U704" s="973"/>
      <c r="V704" s="973"/>
      <c r="W704" s="973"/>
      <c r="X704" s="974"/>
      <c r="Y704" s="1071">
        <v>148</v>
      </c>
      <c r="Z704" s="1063"/>
      <c r="AA704" s="1063"/>
      <c r="AB704" s="1064"/>
      <c r="AC704" s="1108">
        <f t="shared" si="25"/>
        <v>1385</v>
      </c>
      <c r="AD704" s="973"/>
      <c r="AE704" s="973"/>
      <c r="AF704" s="973"/>
      <c r="AG704" s="974"/>
      <c r="AH704" s="1138">
        <v>0.4</v>
      </c>
      <c r="AI704" s="1063"/>
      <c r="AJ704" s="1063"/>
      <c r="AK704" s="1063"/>
      <c r="AL704" s="1064"/>
      <c r="AM704" s="1072">
        <f t="shared" ref="AM704:AM737" si="33">IF($AH704&gt;0,($AC704/$AV704), "")</f>
        <v>0.40005777007510107</v>
      </c>
      <c r="AN704" s="1073"/>
      <c r="AO704" s="1074"/>
      <c r="AV704" s="43">
        <f t="shared" si="26"/>
        <v>3462</v>
      </c>
      <c r="AX704" s="43"/>
      <c r="AY704" s="443">
        <f t="shared" si="27"/>
        <v>8</v>
      </c>
      <c r="AZ704" s="449">
        <f t="shared" si="28"/>
        <v>0.21052631578947367</v>
      </c>
      <c r="BA704" s="450">
        <f t="shared" si="29"/>
        <v>8.4210526315789472E-2</v>
      </c>
      <c r="BB704" s="41"/>
      <c r="BC704" s="41"/>
      <c r="BD704" s="41"/>
      <c r="BE704" s="845">
        <f t="shared" si="30"/>
        <v>8</v>
      </c>
      <c r="BF704" s="849">
        <f t="shared" si="31"/>
        <v>0.21052631578947367</v>
      </c>
      <c r="BG704" s="850">
        <f t="shared" si="32"/>
        <v>8.4222688436863383E-2</v>
      </c>
      <c r="BJ704" s="41"/>
      <c r="BK704" s="41"/>
      <c r="BL704" s="41"/>
      <c r="BM704" s="41"/>
      <c r="BN704" s="41"/>
      <c r="BO704" s="41"/>
      <c r="BP704" s="570" t="s">
        <v>81</v>
      </c>
      <c r="BQ704" s="569">
        <v>2252</v>
      </c>
      <c r="BR704" s="569">
        <v>2412</v>
      </c>
      <c r="BS704" s="569">
        <v>2894</v>
      </c>
      <c r="BT704" s="569">
        <v>3342</v>
      </c>
      <c r="BU704" s="569">
        <v>3730</v>
      </c>
      <c r="BV704" s="569">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5" t="s">
        <v>651</v>
      </c>
      <c r="C705" s="1063"/>
      <c r="D705" s="1063"/>
      <c r="E705" s="1063"/>
      <c r="F705" s="1064"/>
      <c r="G705" s="1078">
        <v>13</v>
      </c>
      <c r="H705" s="1063"/>
      <c r="I705" s="1063"/>
      <c r="J705" s="1064"/>
      <c r="K705" s="1102">
        <v>486</v>
      </c>
      <c r="L705" s="1063"/>
      <c r="M705" s="1063"/>
      <c r="N705" s="1064"/>
      <c r="O705" s="1071">
        <f>1731-148</f>
        <v>1583</v>
      </c>
      <c r="P705" s="1063"/>
      <c r="Q705" s="1063"/>
      <c r="R705" s="1063"/>
      <c r="S705" s="1064"/>
      <c r="T705" s="1108">
        <f t="shared" si="24"/>
        <v>20579</v>
      </c>
      <c r="U705" s="973"/>
      <c r="V705" s="973"/>
      <c r="W705" s="973"/>
      <c r="X705" s="974"/>
      <c r="Y705" s="1071">
        <v>148</v>
      </c>
      <c r="Z705" s="1063"/>
      <c r="AA705" s="1063"/>
      <c r="AB705" s="1064"/>
      <c r="AC705" s="1108">
        <f t="shared" si="25"/>
        <v>1731</v>
      </c>
      <c r="AD705" s="973"/>
      <c r="AE705" s="973"/>
      <c r="AF705" s="973"/>
      <c r="AG705" s="974"/>
      <c r="AH705" s="1138">
        <v>0.5</v>
      </c>
      <c r="AI705" s="1063"/>
      <c r="AJ705" s="1063"/>
      <c r="AK705" s="1063"/>
      <c r="AL705" s="1064"/>
      <c r="AM705" s="1072">
        <f t="shared" si="33"/>
        <v>0.5</v>
      </c>
      <c r="AN705" s="1073"/>
      <c r="AO705" s="1074"/>
      <c r="AV705" s="43">
        <f t="shared" si="26"/>
        <v>3462</v>
      </c>
      <c r="AX705" s="41"/>
      <c r="AY705" s="443">
        <f t="shared" si="27"/>
        <v>13</v>
      </c>
      <c r="AZ705" s="449">
        <f t="shared" si="28"/>
        <v>0.34210526315789475</v>
      </c>
      <c r="BA705" s="450">
        <f t="shared" si="29"/>
        <v>0.17105263157894737</v>
      </c>
      <c r="BB705" s="41"/>
      <c r="BC705" s="41"/>
      <c r="BD705" s="41"/>
      <c r="BE705" s="845">
        <f t="shared" si="30"/>
        <v>13</v>
      </c>
      <c r="BF705" s="849">
        <f t="shared" si="31"/>
        <v>0.34210526315789475</v>
      </c>
      <c r="BG705" s="850">
        <f t="shared" si="32"/>
        <v>0.17105263157894737</v>
      </c>
      <c r="BJ705" s="41"/>
      <c r="BK705" s="41"/>
      <c r="BL705" s="41"/>
      <c r="BM705" s="41"/>
      <c r="BN705" s="41"/>
      <c r="BO705" s="41"/>
      <c r="BP705" s="570" t="s">
        <v>84</v>
      </c>
      <c r="BQ705" s="569">
        <v>1644</v>
      </c>
      <c r="BR705" s="569">
        <v>1762</v>
      </c>
      <c r="BS705" s="569">
        <v>2114</v>
      </c>
      <c r="BT705" s="569">
        <v>2442</v>
      </c>
      <c r="BU705" s="569">
        <v>2724</v>
      </c>
      <c r="BV705" s="569">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5" t="s">
        <v>651</v>
      </c>
      <c r="C706" s="1063"/>
      <c r="D706" s="1063"/>
      <c r="E706" s="1063"/>
      <c r="F706" s="1064"/>
      <c r="G706" s="1078">
        <v>12</v>
      </c>
      <c r="H706" s="1063"/>
      <c r="I706" s="1063"/>
      <c r="J706" s="1064"/>
      <c r="K706" s="1102">
        <v>486</v>
      </c>
      <c r="L706" s="1063"/>
      <c r="M706" s="1063"/>
      <c r="N706" s="1064"/>
      <c r="O706" s="1071">
        <f>2077-148</f>
        <v>1929</v>
      </c>
      <c r="P706" s="1063"/>
      <c r="Q706" s="1063"/>
      <c r="R706" s="1063"/>
      <c r="S706" s="1064"/>
      <c r="T706" s="1108">
        <f t="shared" si="24"/>
        <v>23148</v>
      </c>
      <c r="U706" s="973"/>
      <c r="V706" s="973"/>
      <c r="W706" s="973"/>
      <c r="X706" s="974"/>
      <c r="Y706" s="1071">
        <v>148</v>
      </c>
      <c r="Z706" s="1063"/>
      <c r="AA706" s="1063"/>
      <c r="AB706" s="1064"/>
      <c r="AC706" s="1108">
        <f t="shared" si="25"/>
        <v>2077</v>
      </c>
      <c r="AD706" s="973"/>
      <c r="AE706" s="973"/>
      <c r="AF706" s="973"/>
      <c r="AG706" s="974"/>
      <c r="AH706" s="1138">
        <v>0.6</v>
      </c>
      <c r="AI706" s="1063"/>
      <c r="AJ706" s="1063"/>
      <c r="AK706" s="1063"/>
      <c r="AL706" s="1064"/>
      <c r="AM706" s="1072">
        <f t="shared" si="33"/>
        <v>0.59994222992489887</v>
      </c>
      <c r="AN706" s="1073"/>
      <c r="AO706" s="1074"/>
      <c r="AV706" s="43">
        <f t="shared" si="26"/>
        <v>3462</v>
      </c>
      <c r="AX706" s="41"/>
      <c r="AY706" s="443">
        <f t="shared" si="27"/>
        <v>12</v>
      </c>
      <c r="AZ706" s="449">
        <f t="shared" si="28"/>
        <v>0.31578947368421051</v>
      </c>
      <c r="BA706" s="450">
        <f t="shared" si="29"/>
        <v>0.18947368421052629</v>
      </c>
      <c r="BB706" s="41"/>
      <c r="BC706" s="41"/>
      <c r="BD706" s="41"/>
      <c r="BE706" s="845">
        <f t="shared" si="30"/>
        <v>12</v>
      </c>
      <c r="BF706" s="849">
        <f t="shared" si="31"/>
        <v>0.31578947368421051</v>
      </c>
      <c r="BG706" s="850">
        <f t="shared" si="32"/>
        <v>0.18945544102891543</v>
      </c>
      <c r="BJ706" s="41"/>
      <c r="BK706" s="41"/>
      <c r="BL706" s="41"/>
      <c r="BM706" s="41"/>
      <c r="BN706" s="41"/>
      <c r="BO706" s="41"/>
      <c r="BP706" s="570" t="s">
        <v>87</v>
      </c>
      <c r="BQ706" s="569">
        <v>1644</v>
      </c>
      <c r="BR706" s="569">
        <v>1762</v>
      </c>
      <c r="BS706" s="569">
        <v>2114</v>
      </c>
      <c r="BT706" s="569">
        <v>2442</v>
      </c>
      <c r="BU706" s="569">
        <v>2724</v>
      </c>
      <c r="BV706" s="569">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5"/>
      <c r="C707" s="1063"/>
      <c r="D707" s="1063"/>
      <c r="E707" s="1063"/>
      <c r="F707" s="1064"/>
      <c r="G707" s="1078"/>
      <c r="H707" s="1063"/>
      <c r="I707" s="1063"/>
      <c r="J707" s="1064"/>
      <c r="K707" s="1102"/>
      <c r="L707" s="1063"/>
      <c r="M707" s="1063"/>
      <c r="N707" s="1064"/>
      <c r="O707" s="1071"/>
      <c r="P707" s="1063"/>
      <c r="Q707" s="1063"/>
      <c r="R707" s="1063"/>
      <c r="S707" s="1064"/>
      <c r="T707" s="1108">
        <f t="shared" si="24"/>
        <v>0</v>
      </c>
      <c r="U707" s="973"/>
      <c r="V707" s="973"/>
      <c r="W707" s="973"/>
      <c r="X707" s="974"/>
      <c r="Y707" s="1071"/>
      <c r="Z707" s="1063"/>
      <c r="AA707" s="1063"/>
      <c r="AB707" s="1064"/>
      <c r="AC707" s="1108">
        <f t="shared" si="25"/>
        <v>0</v>
      </c>
      <c r="AD707" s="973"/>
      <c r="AE707" s="973"/>
      <c r="AF707" s="973"/>
      <c r="AG707" s="974"/>
      <c r="AH707" s="1138"/>
      <c r="AI707" s="1063"/>
      <c r="AJ707" s="1063"/>
      <c r="AK707" s="1063"/>
      <c r="AL707" s="1064"/>
      <c r="AM707" s="1072" t="str">
        <f t="shared" si="33"/>
        <v/>
      </c>
      <c r="AN707" s="1073"/>
      <c r="AO707" s="1074"/>
      <c r="AV707" s="43" t="str">
        <f t="shared" si="26"/>
        <v>N/A</v>
      </c>
      <c r="AX707" s="41"/>
      <c r="AY707" s="443">
        <f t="shared" si="27"/>
        <v>0</v>
      </c>
      <c r="AZ707" s="449">
        <f t="shared" si="28"/>
        <v>0</v>
      </c>
      <c r="BA707" s="450">
        <f t="shared" si="29"/>
        <v>0</v>
      </c>
      <c r="BB707" s="41"/>
      <c r="BC707" s="41"/>
      <c r="BD707" s="41"/>
      <c r="BE707" s="845">
        <f t="shared" si="30"/>
        <v>0</v>
      </c>
      <c r="BF707" s="849" t="str">
        <f t="shared" si="31"/>
        <v/>
      </c>
      <c r="BG707" s="850" t="str">
        <f t="shared" si="32"/>
        <v/>
      </c>
      <c r="BJ707" s="41"/>
      <c r="BK707" s="41"/>
      <c r="BL707" s="41"/>
      <c r="BM707" s="41"/>
      <c r="BN707" s="41"/>
      <c r="BO707" s="41"/>
      <c r="BP707" s="570" t="s">
        <v>89</v>
      </c>
      <c r="BQ707" s="569">
        <v>1644</v>
      </c>
      <c r="BR707" s="569">
        <v>1762</v>
      </c>
      <c r="BS707" s="569">
        <v>2114</v>
      </c>
      <c r="BT707" s="569">
        <v>2442</v>
      </c>
      <c r="BU707" s="569">
        <v>2724</v>
      </c>
      <c r="BV707" s="569">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5"/>
      <c r="C708" s="1063"/>
      <c r="D708" s="1063"/>
      <c r="E708" s="1063"/>
      <c r="F708" s="1064"/>
      <c r="G708" s="1078"/>
      <c r="H708" s="1063"/>
      <c r="I708" s="1063"/>
      <c r="J708" s="1064"/>
      <c r="K708" s="1102"/>
      <c r="L708" s="1063"/>
      <c r="M708" s="1063"/>
      <c r="N708" s="1064"/>
      <c r="O708" s="1071"/>
      <c r="P708" s="1063"/>
      <c r="Q708" s="1063"/>
      <c r="R708" s="1063"/>
      <c r="S708" s="1064"/>
      <c r="T708" s="1108">
        <f t="shared" si="24"/>
        <v>0</v>
      </c>
      <c r="U708" s="973"/>
      <c r="V708" s="973"/>
      <c r="W708" s="973"/>
      <c r="X708" s="974"/>
      <c r="Y708" s="1071"/>
      <c r="Z708" s="1063"/>
      <c r="AA708" s="1063"/>
      <c r="AB708" s="1064"/>
      <c r="AC708" s="1108">
        <f t="shared" si="25"/>
        <v>0</v>
      </c>
      <c r="AD708" s="973"/>
      <c r="AE708" s="973"/>
      <c r="AF708" s="973"/>
      <c r="AG708" s="974"/>
      <c r="AH708" s="1138"/>
      <c r="AI708" s="1063"/>
      <c r="AJ708" s="1063"/>
      <c r="AK708" s="1063"/>
      <c r="AL708" s="1064"/>
      <c r="AM708" s="1072" t="str">
        <f t="shared" si="33"/>
        <v/>
      </c>
      <c r="AN708" s="1073"/>
      <c r="AO708" s="1074"/>
      <c r="AV708" s="43" t="str">
        <f t="shared" si="26"/>
        <v>N/A</v>
      </c>
      <c r="AX708" s="41"/>
      <c r="AY708" s="443">
        <f t="shared" si="27"/>
        <v>0</v>
      </c>
      <c r="AZ708" s="449">
        <f t="shared" si="28"/>
        <v>0</v>
      </c>
      <c r="BA708" s="450">
        <f t="shared" si="29"/>
        <v>0</v>
      </c>
      <c r="BB708" s="41"/>
      <c r="BC708" s="41"/>
      <c r="BD708" s="41"/>
      <c r="BE708" s="845">
        <f t="shared" si="30"/>
        <v>0</v>
      </c>
      <c r="BF708" s="849" t="str">
        <f t="shared" si="31"/>
        <v/>
      </c>
      <c r="BG708" s="850" t="str">
        <f t="shared" si="32"/>
        <v/>
      </c>
      <c r="BJ708" s="41"/>
      <c r="BK708" s="41"/>
      <c r="BL708" s="41"/>
      <c r="BM708" s="41"/>
      <c r="BN708" s="41"/>
      <c r="BO708" s="41"/>
      <c r="BP708" s="570" t="s">
        <v>92</v>
      </c>
      <c r="BQ708" s="569">
        <v>1644</v>
      </c>
      <c r="BR708" s="569">
        <v>1762</v>
      </c>
      <c r="BS708" s="569">
        <v>2114</v>
      </c>
      <c r="BT708" s="569">
        <v>2442</v>
      </c>
      <c r="BU708" s="569">
        <v>2724</v>
      </c>
      <c r="BV708" s="569">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5"/>
      <c r="C709" s="1063"/>
      <c r="D709" s="1063"/>
      <c r="E709" s="1063"/>
      <c r="F709" s="1064"/>
      <c r="G709" s="1078"/>
      <c r="H709" s="1063"/>
      <c r="I709" s="1063"/>
      <c r="J709" s="1064"/>
      <c r="K709" s="1102"/>
      <c r="L709" s="1063"/>
      <c r="M709" s="1063"/>
      <c r="N709" s="1064"/>
      <c r="O709" s="1071"/>
      <c r="P709" s="1063"/>
      <c r="Q709" s="1063"/>
      <c r="R709" s="1063"/>
      <c r="S709" s="1064"/>
      <c r="T709" s="1108">
        <f t="shared" si="24"/>
        <v>0</v>
      </c>
      <c r="U709" s="973"/>
      <c r="V709" s="973"/>
      <c r="W709" s="973"/>
      <c r="X709" s="974"/>
      <c r="Y709" s="1071"/>
      <c r="Z709" s="1063"/>
      <c r="AA709" s="1063"/>
      <c r="AB709" s="1064"/>
      <c r="AC709" s="1108">
        <f t="shared" si="25"/>
        <v>0</v>
      </c>
      <c r="AD709" s="973"/>
      <c r="AE709" s="973"/>
      <c r="AF709" s="973"/>
      <c r="AG709" s="974"/>
      <c r="AH709" s="1138"/>
      <c r="AI709" s="1063"/>
      <c r="AJ709" s="1063"/>
      <c r="AK709" s="1063"/>
      <c r="AL709" s="1064"/>
      <c r="AM709" s="1072" t="str">
        <f t="shared" si="33"/>
        <v/>
      </c>
      <c r="AN709" s="1073"/>
      <c r="AO709" s="1074"/>
      <c r="AV709" s="43" t="str">
        <f t="shared" si="26"/>
        <v>N/A</v>
      </c>
      <c r="AX709" s="41"/>
      <c r="AY709" s="443">
        <f t="shared" si="27"/>
        <v>0</v>
      </c>
      <c r="AZ709" s="449">
        <f t="shared" si="28"/>
        <v>0</v>
      </c>
      <c r="BA709" s="450">
        <f t="shared" si="29"/>
        <v>0</v>
      </c>
      <c r="BB709" s="41"/>
      <c r="BC709" s="41"/>
      <c r="BD709" s="41"/>
      <c r="BE709" s="845">
        <f t="shared" si="30"/>
        <v>0</v>
      </c>
      <c r="BF709" s="849" t="str">
        <f t="shared" si="31"/>
        <v/>
      </c>
      <c r="BG709" s="850" t="str">
        <f t="shared" si="32"/>
        <v/>
      </c>
      <c r="BJ709" s="41"/>
      <c r="BK709" s="41"/>
      <c r="BL709" s="41"/>
      <c r="BM709" s="41"/>
      <c r="BN709" s="41"/>
      <c r="BO709" s="41"/>
      <c r="BP709" s="570" t="s">
        <v>94</v>
      </c>
      <c r="BQ709" s="569">
        <v>1680</v>
      </c>
      <c r="BR709" s="569">
        <v>1800</v>
      </c>
      <c r="BS709" s="569">
        <v>2160</v>
      </c>
      <c r="BT709" s="569">
        <v>2496</v>
      </c>
      <c r="BU709" s="569">
        <v>2784</v>
      </c>
      <c r="BV709" s="569">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5"/>
      <c r="C710" s="1063"/>
      <c r="D710" s="1063"/>
      <c r="E710" s="1063"/>
      <c r="F710" s="1064"/>
      <c r="G710" s="1078"/>
      <c r="H710" s="1063"/>
      <c r="I710" s="1063"/>
      <c r="J710" s="1064"/>
      <c r="K710" s="1102"/>
      <c r="L710" s="1063"/>
      <c r="M710" s="1063"/>
      <c r="N710" s="1064"/>
      <c r="O710" s="1071"/>
      <c r="P710" s="1063"/>
      <c r="Q710" s="1063"/>
      <c r="R710" s="1063"/>
      <c r="S710" s="1064"/>
      <c r="T710" s="1108">
        <f t="shared" si="24"/>
        <v>0</v>
      </c>
      <c r="U710" s="973"/>
      <c r="V710" s="973"/>
      <c r="W710" s="973"/>
      <c r="X710" s="974"/>
      <c r="Y710" s="1071"/>
      <c r="Z710" s="1063"/>
      <c r="AA710" s="1063"/>
      <c r="AB710" s="1064"/>
      <c r="AC710" s="1108">
        <f t="shared" si="25"/>
        <v>0</v>
      </c>
      <c r="AD710" s="973"/>
      <c r="AE710" s="973"/>
      <c r="AF710" s="973"/>
      <c r="AG710" s="974"/>
      <c r="AH710" s="1138"/>
      <c r="AI710" s="1063"/>
      <c r="AJ710" s="1063"/>
      <c r="AK710" s="1063"/>
      <c r="AL710" s="1064"/>
      <c r="AM710" s="1072" t="str">
        <f t="shared" si="33"/>
        <v/>
      </c>
      <c r="AN710" s="1073"/>
      <c r="AO710" s="1074"/>
      <c r="AV710" s="43" t="str">
        <f t="shared" si="26"/>
        <v>N/A</v>
      </c>
      <c r="AX710" s="41"/>
      <c r="AY710" s="443">
        <f t="shared" si="27"/>
        <v>0</v>
      </c>
      <c r="AZ710" s="449">
        <f t="shared" si="28"/>
        <v>0</v>
      </c>
      <c r="BA710" s="450">
        <f t="shared" si="29"/>
        <v>0</v>
      </c>
      <c r="BB710" s="41"/>
      <c r="BC710" s="41"/>
      <c r="BD710" s="41"/>
      <c r="BE710" s="845">
        <f t="shared" si="30"/>
        <v>0</v>
      </c>
      <c r="BF710" s="849" t="str">
        <f t="shared" si="31"/>
        <v/>
      </c>
      <c r="BG710" s="850" t="str">
        <f t="shared" si="32"/>
        <v/>
      </c>
      <c r="BJ710" s="41"/>
      <c r="BK710" s="41"/>
      <c r="BL710" s="41"/>
      <c r="BM710" s="41"/>
      <c r="BN710" s="41"/>
      <c r="BO710" s="41"/>
      <c r="BP710" s="570" t="s">
        <v>96</v>
      </c>
      <c r="BQ710" s="569">
        <v>1644</v>
      </c>
      <c r="BR710" s="569">
        <v>1762</v>
      </c>
      <c r="BS710" s="569">
        <v>2114</v>
      </c>
      <c r="BT710" s="569">
        <v>2442</v>
      </c>
      <c r="BU710" s="569">
        <v>2724</v>
      </c>
      <c r="BV710" s="569">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5"/>
      <c r="C711" s="1063"/>
      <c r="D711" s="1063"/>
      <c r="E711" s="1063"/>
      <c r="F711" s="1064"/>
      <c r="G711" s="1078"/>
      <c r="H711" s="1063"/>
      <c r="I711" s="1063"/>
      <c r="J711" s="1064"/>
      <c r="K711" s="1102"/>
      <c r="L711" s="1063"/>
      <c r="M711" s="1063"/>
      <c r="N711" s="1064"/>
      <c r="O711" s="1071"/>
      <c r="P711" s="1063"/>
      <c r="Q711" s="1063"/>
      <c r="R711" s="1063"/>
      <c r="S711" s="1064"/>
      <c r="T711" s="1108">
        <f t="shared" si="24"/>
        <v>0</v>
      </c>
      <c r="U711" s="973"/>
      <c r="V711" s="973"/>
      <c r="W711" s="973"/>
      <c r="X711" s="974"/>
      <c r="Y711" s="1071"/>
      <c r="Z711" s="1063"/>
      <c r="AA711" s="1063"/>
      <c r="AB711" s="1064"/>
      <c r="AC711" s="1108">
        <f t="shared" si="25"/>
        <v>0</v>
      </c>
      <c r="AD711" s="973"/>
      <c r="AE711" s="973"/>
      <c r="AF711" s="973"/>
      <c r="AG711" s="974"/>
      <c r="AH711" s="1138"/>
      <c r="AI711" s="1063"/>
      <c r="AJ711" s="1063"/>
      <c r="AK711" s="1063"/>
      <c r="AL711" s="1064"/>
      <c r="AM711" s="1072" t="str">
        <f t="shared" si="33"/>
        <v/>
      </c>
      <c r="AN711" s="1073"/>
      <c r="AO711" s="1074"/>
      <c r="AV711" s="43" t="str">
        <f t="shared" si="26"/>
        <v>N/A</v>
      </c>
      <c r="AX711" s="41"/>
      <c r="AY711" s="443">
        <f t="shared" si="27"/>
        <v>0</v>
      </c>
      <c r="AZ711" s="449">
        <f t="shared" si="28"/>
        <v>0</v>
      </c>
      <c r="BA711" s="450">
        <f t="shared" si="29"/>
        <v>0</v>
      </c>
      <c r="BB711" s="41"/>
      <c r="BC711" s="41"/>
      <c r="BD711" s="41"/>
      <c r="BE711" s="845">
        <f t="shared" si="30"/>
        <v>0</v>
      </c>
      <c r="BF711" s="849" t="str">
        <f t="shared" si="31"/>
        <v/>
      </c>
      <c r="BG711" s="850" t="str">
        <f t="shared" si="32"/>
        <v/>
      </c>
      <c r="BJ711" s="41"/>
      <c r="BK711" s="41"/>
      <c r="BL711" s="41"/>
      <c r="BM711" s="41"/>
      <c r="BN711" s="41"/>
      <c r="BO711" s="41"/>
      <c r="BP711" s="570" t="s">
        <v>100</v>
      </c>
      <c r="BQ711" s="569">
        <v>1644</v>
      </c>
      <c r="BR711" s="569">
        <v>1762</v>
      </c>
      <c r="BS711" s="569">
        <v>2114</v>
      </c>
      <c r="BT711" s="569">
        <v>2442</v>
      </c>
      <c r="BU711" s="569">
        <v>2724</v>
      </c>
      <c r="BV711" s="569">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5"/>
      <c r="C712" s="1063"/>
      <c r="D712" s="1063"/>
      <c r="E712" s="1063"/>
      <c r="F712" s="1064"/>
      <c r="G712" s="1078"/>
      <c r="H712" s="1063"/>
      <c r="I712" s="1063"/>
      <c r="J712" s="1064"/>
      <c r="K712" s="1102"/>
      <c r="L712" s="1063"/>
      <c r="M712" s="1063"/>
      <c r="N712" s="1064"/>
      <c r="O712" s="1071"/>
      <c r="P712" s="1063"/>
      <c r="Q712" s="1063"/>
      <c r="R712" s="1063"/>
      <c r="S712" s="1064"/>
      <c r="T712" s="1108">
        <f t="shared" si="24"/>
        <v>0</v>
      </c>
      <c r="U712" s="973"/>
      <c r="V712" s="973"/>
      <c r="W712" s="973"/>
      <c r="X712" s="974"/>
      <c r="Y712" s="1071"/>
      <c r="Z712" s="1063"/>
      <c r="AA712" s="1063"/>
      <c r="AB712" s="1064"/>
      <c r="AC712" s="1108">
        <f t="shared" si="25"/>
        <v>0</v>
      </c>
      <c r="AD712" s="973"/>
      <c r="AE712" s="973"/>
      <c r="AF712" s="973"/>
      <c r="AG712" s="974"/>
      <c r="AH712" s="1138"/>
      <c r="AI712" s="1063"/>
      <c r="AJ712" s="1063"/>
      <c r="AK712" s="1063"/>
      <c r="AL712" s="1064"/>
      <c r="AM712" s="1072" t="str">
        <f t="shared" si="33"/>
        <v/>
      </c>
      <c r="AN712" s="1073"/>
      <c r="AO712" s="1074"/>
      <c r="AV712" s="43" t="str">
        <f t="shared" si="26"/>
        <v>N/A</v>
      </c>
      <c r="AX712" s="41"/>
      <c r="AY712" s="443">
        <f t="shared" si="27"/>
        <v>0</v>
      </c>
      <c r="AZ712" s="449">
        <f t="shared" si="28"/>
        <v>0</v>
      </c>
      <c r="BA712" s="450">
        <f t="shared" si="29"/>
        <v>0</v>
      </c>
      <c r="BB712" s="41"/>
      <c r="BC712" s="41"/>
      <c r="BD712" s="41"/>
      <c r="BE712" s="845">
        <f t="shared" si="30"/>
        <v>0</v>
      </c>
      <c r="BF712" s="849" t="str">
        <f t="shared" si="31"/>
        <v/>
      </c>
      <c r="BG712" s="850" t="str">
        <f t="shared" si="32"/>
        <v/>
      </c>
      <c r="BJ712" s="41"/>
      <c r="BK712" s="41"/>
      <c r="BL712" s="41"/>
      <c r="BM712" s="41"/>
      <c r="BN712" s="41"/>
      <c r="BO712" s="41"/>
      <c r="BP712" s="570" t="s">
        <v>104</v>
      </c>
      <c r="BQ712" s="569">
        <v>1644</v>
      </c>
      <c r="BR712" s="569">
        <v>1762</v>
      </c>
      <c r="BS712" s="569">
        <v>2114</v>
      </c>
      <c r="BT712" s="569">
        <v>2442</v>
      </c>
      <c r="BU712" s="569">
        <v>2724</v>
      </c>
      <c r="BV712" s="569">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5"/>
      <c r="C713" s="1063"/>
      <c r="D713" s="1063"/>
      <c r="E713" s="1063"/>
      <c r="F713" s="1064"/>
      <c r="G713" s="1078"/>
      <c r="H713" s="1063"/>
      <c r="I713" s="1063"/>
      <c r="J713" s="1064"/>
      <c r="K713" s="1102"/>
      <c r="L713" s="1063"/>
      <c r="M713" s="1063"/>
      <c r="N713" s="1064"/>
      <c r="O713" s="1071"/>
      <c r="P713" s="1063"/>
      <c r="Q713" s="1063"/>
      <c r="R713" s="1063"/>
      <c r="S713" s="1064"/>
      <c r="T713" s="1108">
        <f t="shared" si="24"/>
        <v>0</v>
      </c>
      <c r="U713" s="973"/>
      <c r="V713" s="973"/>
      <c r="W713" s="973"/>
      <c r="X713" s="974"/>
      <c r="Y713" s="1071"/>
      <c r="Z713" s="1063"/>
      <c r="AA713" s="1063"/>
      <c r="AB713" s="1064"/>
      <c r="AC713" s="1108">
        <f t="shared" si="25"/>
        <v>0</v>
      </c>
      <c r="AD713" s="973"/>
      <c r="AE713" s="973"/>
      <c r="AF713" s="973"/>
      <c r="AG713" s="974"/>
      <c r="AH713" s="1138"/>
      <c r="AI713" s="1063"/>
      <c r="AJ713" s="1063"/>
      <c r="AK713" s="1063"/>
      <c r="AL713" s="1064"/>
      <c r="AM713" s="1072" t="str">
        <f t="shared" si="33"/>
        <v/>
      </c>
      <c r="AN713" s="1073"/>
      <c r="AO713" s="1074"/>
      <c r="AV713" s="43" t="str">
        <f t="shared" si="26"/>
        <v>N/A</v>
      </c>
      <c r="AX713" s="41"/>
      <c r="AY713" s="443">
        <f t="shared" si="27"/>
        <v>0</v>
      </c>
      <c r="AZ713" s="449">
        <f t="shared" si="28"/>
        <v>0</v>
      </c>
      <c r="BA713" s="450">
        <f t="shared" si="29"/>
        <v>0</v>
      </c>
      <c r="BB713" s="41"/>
      <c r="BC713" s="41"/>
      <c r="BD713" s="41"/>
      <c r="BE713" s="845">
        <f t="shared" si="30"/>
        <v>0</v>
      </c>
      <c r="BF713" s="849" t="str">
        <f t="shared" si="31"/>
        <v/>
      </c>
      <c r="BG713" s="850" t="str">
        <f t="shared" si="32"/>
        <v/>
      </c>
      <c r="BJ713" s="41"/>
      <c r="BK713" s="41"/>
      <c r="BL713" s="41"/>
      <c r="BM713" s="41"/>
      <c r="BN713" s="41"/>
      <c r="BO713" s="41"/>
      <c r="BP713" s="570" t="s">
        <v>107</v>
      </c>
      <c r="BQ713" s="569">
        <v>1644</v>
      </c>
      <c r="BR713" s="569">
        <v>1762</v>
      </c>
      <c r="BS713" s="569">
        <v>2114</v>
      </c>
      <c r="BT713" s="569">
        <v>2442</v>
      </c>
      <c r="BU713" s="569">
        <v>2724</v>
      </c>
      <c r="BV713" s="569">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5"/>
      <c r="C714" s="1063"/>
      <c r="D714" s="1063"/>
      <c r="E714" s="1063"/>
      <c r="F714" s="1064"/>
      <c r="G714" s="1078"/>
      <c r="H714" s="1063"/>
      <c r="I714" s="1063"/>
      <c r="J714" s="1064"/>
      <c r="K714" s="1102"/>
      <c r="L714" s="1063"/>
      <c r="M714" s="1063"/>
      <c r="N714" s="1064"/>
      <c r="O714" s="1071"/>
      <c r="P714" s="1063"/>
      <c r="Q714" s="1063"/>
      <c r="R714" s="1063"/>
      <c r="S714" s="1064"/>
      <c r="T714" s="1108">
        <f t="shared" si="24"/>
        <v>0</v>
      </c>
      <c r="U714" s="973"/>
      <c r="V714" s="973"/>
      <c r="W714" s="973"/>
      <c r="X714" s="974"/>
      <c r="Y714" s="1071"/>
      <c r="Z714" s="1063"/>
      <c r="AA714" s="1063"/>
      <c r="AB714" s="1064"/>
      <c r="AC714" s="1108">
        <f t="shared" si="25"/>
        <v>0</v>
      </c>
      <c r="AD714" s="973"/>
      <c r="AE714" s="973"/>
      <c r="AF714" s="973"/>
      <c r="AG714" s="974"/>
      <c r="AH714" s="1138"/>
      <c r="AI714" s="1063"/>
      <c r="AJ714" s="1063"/>
      <c r="AK714" s="1063"/>
      <c r="AL714" s="1064"/>
      <c r="AM714" s="1072" t="str">
        <f t="shared" si="33"/>
        <v/>
      </c>
      <c r="AN714" s="1073"/>
      <c r="AO714" s="1074"/>
      <c r="AV714" s="43" t="str">
        <f t="shared" si="26"/>
        <v>N/A</v>
      </c>
      <c r="AX714" s="41"/>
      <c r="AY714" s="443">
        <f t="shared" si="27"/>
        <v>0</v>
      </c>
      <c r="AZ714" s="449">
        <f t="shared" si="28"/>
        <v>0</v>
      </c>
      <c r="BA714" s="450">
        <f t="shared" si="29"/>
        <v>0</v>
      </c>
      <c r="BB714" s="41"/>
      <c r="BC714" s="41"/>
      <c r="BD714" s="41"/>
      <c r="BE714" s="845">
        <f t="shared" si="30"/>
        <v>0</v>
      </c>
      <c r="BF714" s="849" t="str">
        <f t="shared" si="31"/>
        <v/>
      </c>
      <c r="BG714" s="850" t="str">
        <f t="shared" si="32"/>
        <v/>
      </c>
      <c r="BJ714" s="41"/>
      <c r="BK714" s="41"/>
      <c r="BL714" s="41"/>
      <c r="BM714" s="41"/>
      <c r="BN714" s="41"/>
      <c r="BO714" s="41"/>
      <c r="BP714" s="570" t="s">
        <v>113</v>
      </c>
      <c r="BQ714" s="569">
        <v>2650</v>
      </c>
      <c r="BR714" s="569">
        <v>2840</v>
      </c>
      <c r="BS714" s="569">
        <v>3406</v>
      </c>
      <c r="BT714" s="569">
        <v>3938</v>
      </c>
      <c r="BU714" s="569">
        <v>4392</v>
      </c>
      <c r="BV714" s="569">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5"/>
      <c r="C715" s="1063"/>
      <c r="D715" s="1063"/>
      <c r="E715" s="1063"/>
      <c r="F715" s="1064"/>
      <c r="G715" s="1078"/>
      <c r="H715" s="1063"/>
      <c r="I715" s="1063"/>
      <c r="J715" s="1064"/>
      <c r="K715" s="1102"/>
      <c r="L715" s="1063"/>
      <c r="M715" s="1063"/>
      <c r="N715" s="1064"/>
      <c r="O715" s="1071"/>
      <c r="P715" s="1063"/>
      <c r="Q715" s="1063"/>
      <c r="R715" s="1063"/>
      <c r="S715" s="1064"/>
      <c r="T715" s="1108">
        <f t="shared" si="24"/>
        <v>0</v>
      </c>
      <c r="U715" s="973"/>
      <c r="V715" s="973"/>
      <c r="W715" s="973"/>
      <c r="X715" s="974"/>
      <c r="Y715" s="1071"/>
      <c r="Z715" s="1063"/>
      <c r="AA715" s="1063"/>
      <c r="AB715" s="1064"/>
      <c r="AC715" s="1108">
        <f t="shared" si="25"/>
        <v>0</v>
      </c>
      <c r="AD715" s="973"/>
      <c r="AE715" s="973"/>
      <c r="AF715" s="973"/>
      <c r="AG715" s="974"/>
      <c r="AH715" s="1138"/>
      <c r="AI715" s="1063"/>
      <c r="AJ715" s="1063"/>
      <c r="AK715" s="1063"/>
      <c r="AL715" s="1064"/>
      <c r="AM715" s="1072" t="str">
        <f t="shared" si="33"/>
        <v/>
      </c>
      <c r="AN715" s="1073"/>
      <c r="AO715" s="1074"/>
      <c r="AV715" s="43" t="str">
        <f t="shared" si="26"/>
        <v>N/A</v>
      </c>
      <c r="AX715" s="41"/>
      <c r="AY715" s="443">
        <f t="shared" si="27"/>
        <v>0</v>
      </c>
      <c r="AZ715" s="449">
        <f t="shared" si="28"/>
        <v>0</v>
      </c>
      <c r="BA715" s="450">
        <f t="shared" si="29"/>
        <v>0</v>
      </c>
      <c r="BB715" s="41"/>
      <c r="BC715" s="41"/>
      <c r="BD715" s="41"/>
      <c r="BE715" s="845">
        <f t="shared" si="30"/>
        <v>0</v>
      </c>
      <c r="BF715" s="849" t="str">
        <f t="shared" si="31"/>
        <v/>
      </c>
      <c r="BG715" s="850" t="str">
        <f t="shared" si="32"/>
        <v/>
      </c>
      <c r="BJ715" s="41"/>
      <c r="BK715" s="41"/>
      <c r="BL715" s="41"/>
      <c r="BM715" s="41"/>
      <c r="BN715" s="41"/>
      <c r="BO715" s="41"/>
      <c r="BP715" s="570" t="s">
        <v>116</v>
      </c>
      <c r="BQ715" s="569">
        <v>1644</v>
      </c>
      <c r="BR715" s="569">
        <v>1762</v>
      </c>
      <c r="BS715" s="569">
        <v>2114</v>
      </c>
      <c r="BT715" s="569">
        <v>2442</v>
      </c>
      <c r="BU715" s="569">
        <v>2724</v>
      </c>
      <c r="BV715" s="569">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5"/>
      <c r="C716" s="1063"/>
      <c r="D716" s="1063"/>
      <c r="E716" s="1063"/>
      <c r="F716" s="1064"/>
      <c r="G716" s="1078"/>
      <c r="H716" s="1063"/>
      <c r="I716" s="1063"/>
      <c r="J716" s="1064"/>
      <c r="K716" s="1102"/>
      <c r="L716" s="1063"/>
      <c r="M716" s="1063"/>
      <c r="N716" s="1064"/>
      <c r="O716" s="1071"/>
      <c r="P716" s="1063"/>
      <c r="Q716" s="1063"/>
      <c r="R716" s="1063"/>
      <c r="S716" s="1064"/>
      <c r="T716" s="1108">
        <f t="shared" si="24"/>
        <v>0</v>
      </c>
      <c r="U716" s="973"/>
      <c r="V716" s="973"/>
      <c r="W716" s="973"/>
      <c r="X716" s="974"/>
      <c r="Y716" s="1071"/>
      <c r="Z716" s="1063"/>
      <c r="AA716" s="1063"/>
      <c r="AB716" s="1064"/>
      <c r="AC716" s="1108">
        <f t="shared" si="25"/>
        <v>0</v>
      </c>
      <c r="AD716" s="973"/>
      <c r="AE716" s="973"/>
      <c r="AF716" s="973"/>
      <c r="AG716" s="974"/>
      <c r="AH716" s="1138"/>
      <c r="AI716" s="1063"/>
      <c r="AJ716" s="1063"/>
      <c r="AK716" s="1063"/>
      <c r="AL716" s="1064"/>
      <c r="AM716" s="1072" t="str">
        <f t="shared" si="33"/>
        <v/>
      </c>
      <c r="AN716" s="1073"/>
      <c r="AO716" s="1074"/>
      <c r="AV716" s="43" t="str">
        <f t="shared" si="26"/>
        <v>N/A</v>
      </c>
      <c r="AX716" s="41"/>
      <c r="AY716" s="443">
        <f t="shared" si="27"/>
        <v>0</v>
      </c>
      <c r="AZ716" s="449">
        <f t="shared" si="28"/>
        <v>0</v>
      </c>
      <c r="BA716" s="450">
        <f t="shared" si="29"/>
        <v>0</v>
      </c>
      <c r="BB716" s="41"/>
      <c r="BC716" s="41"/>
      <c r="BD716" s="41"/>
      <c r="BE716" s="845">
        <f t="shared" si="30"/>
        <v>0</v>
      </c>
      <c r="BF716" s="849" t="str">
        <f t="shared" si="31"/>
        <v/>
      </c>
      <c r="BG716" s="850" t="str">
        <f t="shared" si="32"/>
        <v/>
      </c>
      <c r="BJ716" s="41"/>
      <c r="BK716" s="41"/>
      <c r="BL716" s="41"/>
      <c r="BM716" s="41"/>
      <c r="BN716" s="41"/>
      <c r="BO716" s="41"/>
      <c r="BP716" s="570" t="s">
        <v>119</v>
      </c>
      <c r="BQ716" s="569">
        <v>3384</v>
      </c>
      <c r="BR716" s="569">
        <v>3626</v>
      </c>
      <c r="BS716" s="569">
        <v>4352</v>
      </c>
      <c r="BT716" s="569">
        <v>5028</v>
      </c>
      <c r="BU716" s="569">
        <v>5610</v>
      </c>
      <c r="BV716" s="569">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5"/>
      <c r="C717" s="1063"/>
      <c r="D717" s="1063"/>
      <c r="E717" s="1063"/>
      <c r="F717" s="1064"/>
      <c r="G717" s="1078"/>
      <c r="H717" s="1063"/>
      <c r="I717" s="1063"/>
      <c r="J717" s="1064"/>
      <c r="K717" s="1102"/>
      <c r="L717" s="1063"/>
      <c r="M717" s="1063"/>
      <c r="N717" s="1064"/>
      <c r="O717" s="1071"/>
      <c r="P717" s="1063"/>
      <c r="Q717" s="1063"/>
      <c r="R717" s="1063"/>
      <c r="S717" s="1064"/>
      <c r="T717" s="1108">
        <f t="shared" si="24"/>
        <v>0</v>
      </c>
      <c r="U717" s="973"/>
      <c r="V717" s="973"/>
      <c r="W717" s="973"/>
      <c r="X717" s="974"/>
      <c r="Y717" s="1071"/>
      <c r="Z717" s="1063"/>
      <c r="AA717" s="1063"/>
      <c r="AB717" s="1064"/>
      <c r="AC717" s="1108">
        <f t="shared" si="25"/>
        <v>0</v>
      </c>
      <c r="AD717" s="973"/>
      <c r="AE717" s="973"/>
      <c r="AF717" s="973"/>
      <c r="AG717" s="974"/>
      <c r="AH717" s="1138"/>
      <c r="AI717" s="1063"/>
      <c r="AJ717" s="1063"/>
      <c r="AK717" s="1063"/>
      <c r="AL717" s="1064"/>
      <c r="AM717" s="1072" t="str">
        <f t="shared" si="33"/>
        <v/>
      </c>
      <c r="AN717" s="1073"/>
      <c r="AO717" s="1074"/>
      <c r="AV717" s="43" t="str">
        <f t="shared" si="26"/>
        <v>N/A</v>
      </c>
      <c r="AX717" s="41"/>
      <c r="AY717" s="443">
        <f t="shared" si="27"/>
        <v>0</v>
      </c>
      <c r="AZ717" s="449">
        <f t="shared" si="28"/>
        <v>0</v>
      </c>
      <c r="BA717" s="450">
        <f t="shared" si="29"/>
        <v>0</v>
      </c>
      <c r="BB717" s="41"/>
      <c r="BC717" s="41"/>
      <c r="BD717" s="41"/>
      <c r="BE717" s="845">
        <f t="shared" si="30"/>
        <v>0</v>
      </c>
      <c r="BF717" s="849" t="str">
        <f t="shared" si="31"/>
        <v/>
      </c>
      <c r="BG717" s="850" t="str">
        <f t="shared" si="32"/>
        <v/>
      </c>
      <c r="BJ717" s="41"/>
      <c r="BK717" s="41"/>
      <c r="BL717" s="41"/>
      <c r="BM717" s="41"/>
      <c r="BN717" s="41"/>
      <c r="BO717" s="41"/>
      <c r="BP717" s="570" t="s">
        <v>122</v>
      </c>
      <c r="BQ717" s="569">
        <v>1644</v>
      </c>
      <c r="BR717" s="569">
        <v>1762</v>
      </c>
      <c r="BS717" s="569">
        <v>2114</v>
      </c>
      <c r="BT717" s="569">
        <v>2442</v>
      </c>
      <c r="BU717" s="569">
        <v>2724</v>
      </c>
      <c r="BV717" s="569">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5"/>
      <c r="C718" s="1063"/>
      <c r="D718" s="1063"/>
      <c r="E718" s="1063"/>
      <c r="F718" s="1064"/>
      <c r="G718" s="1078"/>
      <c r="H718" s="1063"/>
      <c r="I718" s="1063"/>
      <c r="J718" s="1064"/>
      <c r="K718" s="1102"/>
      <c r="L718" s="1063"/>
      <c r="M718" s="1063"/>
      <c r="N718" s="1064"/>
      <c r="O718" s="1071"/>
      <c r="P718" s="1063"/>
      <c r="Q718" s="1063"/>
      <c r="R718" s="1063"/>
      <c r="S718" s="1064"/>
      <c r="T718" s="1108">
        <f t="shared" si="24"/>
        <v>0</v>
      </c>
      <c r="U718" s="973"/>
      <c r="V718" s="973"/>
      <c r="W718" s="973"/>
      <c r="X718" s="974"/>
      <c r="Y718" s="1071"/>
      <c r="Z718" s="1063"/>
      <c r="AA718" s="1063"/>
      <c r="AB718" s="1064"/>
      <c r="AC718" s="1108">
        <f t="shared" si="25"/>
        <v>0</v>
      </c>
      <c r="AD718" s="973"/>
      <c r="AE718" s="973"/>
      <c r="AF718" s="973"/>
      <c r="AG718" s="974"/>
      <c r="AH718" s="1138"/>
      <c r="AI718" s="1063"/>
      <c r="AJ718" s="1063"/>
      <c r="AK718" s="1063"/>
      <c r="AL718" s="1064"/>
      <c r="AM718" s="1072" t="str">
        <f t="shared" si="33"/>
        <v/>
      </c>
      <c r="AN718" s="1073"/>
      <c r="AO718" s="1074"/>
      <c r="AV718" s="43" t="str">
        <f t="shared" si="26"/>
        <v>N/A</v>
      </c>
      <c r="AX718" s="41"/>
      <c r="AY718" s="443">
        <f t="shared" si="27"/>
        <v>0</v>
      </c>
      <c r="AZ718" s="449">
        <f t="shared" si="28"/>
        <v>0</v>
      </c>
      <c r="BA718" s="450">
        <f t="shared" si="29"/>
        <v>0</v>
      </c>
      <c r="BB718" s="41"/>
      <c r="BC718" s="41"/>
      <c r="BD718" s="41"/>
      <c r="BE718" s="845">
        <f t="shared" si="30"/>
        <v>0</v>
      </c>
      <c r="BF718" s="849" t="str">
        <f t="shared" si="31"/>
        <v/>
      </c>
      <c r="BG718" s="850" t="str">
        <f t="shared" si="32"/>
        <v/>
      </c>
      <c r="BJ718" s="41"/>
      <c r="BK718" s="41"/>
      <c r="BL718" s="41"/>
      <c r="BM718" s="41"/>
      <c r="BN718" s="41"/>
      <c r="BO718" s="41"/>
      <c r="BP718" s="570" t="s">
        <v>124</v>
      </c>
      <c r="BQ718" s="569">
        <v>1644</v>
      </c>
      <c r="BR718" s="569">
        <v>1762</v>
      </c>
      <c r="BS718" s="569">
        <v>2114</v>
      </c>
      <c r="BT718" s="569">
        <v>2442</v>
      </c>
      <c r="BU718" s="569">
        <v>2724</v>
      </c>
      <c r="BV718" s="569">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5"/>
      <c r="C719" s="1063"/>
      <c r="D719" s="1063"/>
      <c r="E719" s="1063"/>
      <c r="F719" s="1064"/>
      <c r="G719" s="1078"/>
      <c r="H719" s="1063"/>
      <c r="I719" s="1063"/>
      <c r="J719" s="1064"/>
      <c r="K719" s="1102"/>
      <c r="L719" s="1063"/>
      <c r="M719" s="1063"/>
      <c r="N719" s="1064"/>
      <c r="O719" s="1071"/>
      <c r="P719" s="1063"/>
      <c r="Q719" s="1063"/>
      <c r="R719" s="1063"/>
      <c r="S719" s="1064"/>
      <c r="T719" s="1108">
        <f t="shared" si="24"/>
        <v>0</v>
      </c>
      <c r="U719" s="973"/>
      <c r="V719" s="973"/>
      <c r="W719" s="973"/>
      <c r="X719" s="974"/>
      <c r="Y719" s="1071"/>
      <c r="Z719" s="1063"/>
      <c r="AA719" s="1063"/>
      <c r="AB719" s="1064"/>
      <c r="AC719" s="1108">
        <f t="shared" si="25"/>
        <v>0</v>
      </c>
      <c r="AD719" s="973"/>
      <c r="AE719" s="973"/>
      <c r="AF719" s="973"/>
      <c r="AG719" s="974"/>
      <c r="AH719" s="1138"/>
      <c r="AI719" s="1063"/>
      <c r="AJ719" s="1063"/>
      <c r="AK719" s="1063"/>
      <c r="AL719" s="1064"/>
      <c r="AM719" s="1072" t="str">
        <f t="shared" si="33"/>
        <v/>
      </c>
      <c r="AN719" s="1073"/>
      <c r="AO719" s="1074"/>
      <c r="AV719" s="43" t="str">
        <f t="shared" si="26"/>
        <v>N/A</v>
      </c>
      <c r="AX719" s="41"/>
      <c r="AY719" s="443">
        <f t="shared" si="27"/>
        <v>0</v>
      </c>
      <c r="AZ719" s="449">
        <f t="shared" si="28"/>
        <v>0</v>
      </c>
      <c r="BA719" s="450">
        <f t="shared" si="29"/>
        <v>0</v>
      </c>
      <c r="BB719" s="41"/>
      <c r="BC719" s="41"/>
      <c r="BD719" s="41"/>
      <c r="BE719" s="845">
        <f t="shared" si="30"/>
        <v>0</v>
      </c>
      <c r="BF719" s="849" t="str">
        <f t="shared" si="31"/>
        <v/>
      </c>
      <c r="BG719" s="850" t="str">
        <f t="shared" si="32"/>
        <v/>
      </c>
      <c r="BJ719" s="41"/>
      <c r="BK719" s="41"/>
      <c r="BL719" s="41"/>
      <c r="BM719" s="41"/>
      <c r="BN719" s="41"/>
      <c r="BO719" s="41"/>
      <c r="BP719" s="570" t="s">
        <v>127</v>
      </c>
      <c r="BQ719" s="569">
        <v>1644</v>
      </c>
      <c r="BR719" s="569">
        <v>1762</v>
      </c>
      <c r="BS719" s="569">
        <v>2114</v>
      </c>
      <c r="BT719" s="569">
        <v>2442</v>
      </c>
      <c r="BU719" s="569">
        <v>2724</v>
      </c>
      <c r="BV719" s="569">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5"/>
      <c r="C720" s="1063"/>
      <c r="D720" s="1063"/>
      <c r="E720" s="1063"/>
      <c r="F720" s="1064"/>
      <c r="G720" s="1078"/>
      <c r="H720" s="1063"/>
      <c r="I720" s="1063"/>
      <c r="J720" s="1064"/>
      <c r="K720" s="1102"/>
      <c r="L720" s="1063"/>
      <c r="M720" s="1063"/>
      <c r="N720" s="1064"/>
      <c r="O720" s="1071"/>
      <c r="P720" s="1063"/>
      <c r="Q720" s="1063"/>
      <c r="R720" s="1063"/>
      <c r="S720" s="1064"/>
      <c r="T720" s="1108">
        <f t="shared" si="24"/>
        <v>0</v>
      </c>
      <c r="U720" s="973"/>
      <c r="V720" s="973"/>
      <c r="W720" s="973"/>
      <c r="X720" s="974"/>
      <c r="Y720" s="1071"/>
      <c r="Z720" s="1063"/>
      <c r="AA720" s="1063"/>
      <c r="AB720" s="1064"/>
      <c r="AC720" s="1108">
        <f t="shared" si="25"/>
        <v>0</v>
      </c>
      <c r="AD720" s="973"/>
      <c r="AE720" s="973"/>
      <c r="AF720" s="973"/>
      <c r="AG720" s="974"/>
      <c r="AH720" s="1138"/>
      <c r="AI720" s="1063"/>
      <c r="AJ720" s="1063"/>
      <c r="AK720" s="1063"/>
      <c r="AL720" s="1064"/>
      <c r="AM720" s="1072" t="str">
        <f t="shared" si="33"/>
        <v/>
      </c>
      <c r="AN720" s="1073"/>
      <c r="AO720" s="1074"/>
      <c r="AV720" s="43" t="str">
        <f t="shared" si="26"/>
        <v>N/A</v>
      </c>
      <c r="AX720" s="41"/>
      <c r="AY720" s="443">
        <f t="shared" si="27"/>
        <v>0</v>
      </c>
      <c r="AZ720" s="449">
        <f t="shared" si="28"/>
        <v>0</v>
      </c>
      <c r="BA720" s="450">
        <f t="shared" si="29"/>
        <v>0</v>
      </c>
      <c r="BB720" s="43"/>
      <c r="BC720" s="43"/>
      <c r="BD720" s="43"/>
      <c r="BE720" s="845">
        <f t="shared" si="30"/>
        <v>0</v>
      </c>
      <c r="BF720" s="849" t="str">
        <f t="shared" si="31"/>
        <v/>
      </c>
      <c r="BG720" s="850" t="str">
        <f t="shared" si="32"/>
        <v/>
      </c>
      <c r="BJ720" s="41"/>
      <c r="BK720" s="41"/>
      <c r="BL720" s="41"/>
      <c r="BM720" s="41"/>
      <c r="BN720" s="41"/>
      <c r="BO720" s="41"/>
      <c r="BP720" s="570" t="s">
        <v>130</v>
      </c>
      <c r="BQ720" s="569">
        <v>1644</v>
      </c>
      <c r="BR720" s="569">
        <v>1762</v>
      </c>
      <c r="BS720" s="569">
        <v>2114</v>
      </c>
      <c r="BT720" s="569">
        <v>2442</v>
      </c>
      <c r="BU720" s="569">
        <v>2724</v>
      </c>
      <c r="BV720" s="569">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5"/>
      <c r="C721" s="1063"/>
      <c r="D721" s="1063"/>
      <c r="E721" s="1063"/>
      <c r="F721" s="1064"/>
      <c r="G721" s="1078"/>
      <c r="H721" s="1063"/>
      <c r="I721" s="1063"/>
      <c r="J721" s="1064"/>
      <c r="K721" s="1102"/>
      <c r="L721" s="1063"/>
      <c r="M721" s="1063"/>
      <c r="N721" s="1064"/>
      <c r="O721" s="1071"/>
      <c r="P721" s="1063"/>
      <c r="Q721" s="1063"/>
      <c r="R721" s="1063"/>
      <c r="S721" s="1064"/>
      <c r="T721" s="1108">
        <f t="shared" si="24"/>
        <v>0</v>
      </c>
      <c r="U721" s="973"/>
      <c r="V721" s="973"/>
      <c r="W721" s="973"/>
      <c r="X721" s="974"/>
      <c r="Y721" s="1071"/>
      <c r="Z721" s="1063"/>
      <c r="AA721" s="1063"/>
      <c r="AB721" s="1064"/>
      <c r="AC721" s="1108">
        <f t="shared" si="25"/>
        <v>0</v>
      </c>
      <c r="AD721" s="973"/>
      <c r="AE721" s="973"/>
      <c r="AF721" s="973"/>
      <c r="AG721" s="974"/>
      <c r="AH721" s="1138"/>
      <c r="AI721" s="1063"/>
      <c r="AJ721" s="1063"/>
      <c r="AK721" s="1063"/>
      <c r="AL721" s="1064"/>
      <c r="AM721" s="1072" t="str">
        <f t="shared" si="33"/>
        <v/>
      </c>
      <c r="AN721" s="1073"/>
      <c r="AO721" s="1074"/>
      <c r="AV721" s="43" t="str">
        <f t="shared" si="26"/>
        <v>N/A</v>
      </c>
      <c r="AX721" s="41"/>
      <c r="AY721" s="443">
        <f t="shared" si="27"/>
        <v>0</v>
      </c>
      <c r="AZ721" s="449">
        <f t="shared" si="28"/>
        <v>0</v>
      </c>
      <c r="BA721" s="450">
        <f t="shared" si="29"/>
        <v>0</v>
      </c>
      <c r="BB721" s="43"/>
      <c r="BC721" s="43"/>
      <c r="BD721" s="43"/>
      <c r="BE721" s="845">
        <f t="shared" si="30"/>
        <v>0</v>
      </c>
      <c r="BF721" s="849" t="str">
        <f t="shared" si="31"/>
        <v/>
      </c>
      <c r="BG721" s="850" t="str">
        <f t="shared" si="32"/>
        <v/>
      </c>
      <c r="BJ721" s="41"/>
      <c r="BK721" s="41"/>
      <c r="BL721" s="41"/>
      <c r="BM721" s="41"/>
      <c r="BN721" s="41"/>
      <c r="BO721" s="41"/>
      <c r="BP721" s="570" t="s">
        <v>132</v>
      </c>
      <c r="BQ721" s="569">
        <v>1784</v>
      </c>
      <c r="BR721" s="569">
        <v>1912</v>
      </c>
      <c r="BS721" s="569">
        <v>2294</v>
      </c>
      <c r="BT721" s="569">
        <v>2652</v>
      </c>
      <c r="BU721" s="569">
        <v>2960</v>
      </c>
      <c r="BV721" s="569">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5"/>
      <c r="C722" s="1063"/>
      <c r="D722" s="1063"/>
      <c r="E722" s="1063"/>
      <c r="F722" s="1064"/>
      <c r="G722" s="1078"/>
      <c r="H722" s="1063"/>
      <c r="I722" s="1063"/>
      <c r="J722" s="1064"/>
      <c r="K722" s="1102"/>
      <c r="L722" s="1063"/>
      <c r="M722" s="1063"/>
      <c r="N722" s="1064"/>
      <c r="O722" s="1071"/>
      <c r="P722" s="1063"/>
      <c r="Q722" s="1063"/>
      <c r="R722" s="1063"/>
      <c r="S722" s="1064"/>
      <c r="T722" s="1108">
        <f t="shared" si="24"/>
        <v>0</v>
      </c>
      <c r="U722" s="973"/>
      <c r="V722" s="973"/>
      <c r="W722" s="973"/>
      <c r="X722" s="974"/>
      <c r="Y722" s="1071"/>
      <c r="Z722" s="1063"/>
      <c r="AA722" s="1063"/>
      <c r="AB722" s="1064"/>
      <c r="AC722" s="1108">
        <f t="shared" si="25"/>
        <v>0</v>
      </c>
      <c r="AD722" s="973"/>
      <c r="AE722" s="973"/>
      <c r="AF722" s="973"/>
      <c r="AG722" s="974"/>
      <c r="AH722" s="1138"/>
      <c r="AI722" s="1063"/>
      <c r="AJ722" s="1063"/>
      <c r="AK722" s="1063"/>
      <c r="AL722" s="1064"/>
      <c r="AM722" s="1072" t="str">
        <f t="shared" si="33"/>
        <v/>
      </c>
      <c r="AN722" s="1073"/>
      <c r="AO722" s="1074"/>
      <c r="AV722" s="43" t="str">
        <f t="shared" si="26"/>
        <v>N/A</v>
      </c>
      <c r="AX722" s="41"/>
      <c r="AY722" s="443">
        <f t="shared" si="27"/>
        <v>0</v>
      </c>
      <c r="AZ722" s="449">
        <f t="shared" si="28"/>
        <v>0</v>
      </c>
      <c r="BA722" s="450">
        <f t="shared" si="29"/>
        <v>0</v>
      </c>
      <c r="BB722" s="43"/>
      <c r="BC722" s="43"/>
      <c r="BD722" s="43"/>
      <c r="BE722" s="845">
        <f t="shared" si="30"/>
        <v>0</v>
      </c>
      <c r="BF722" s="849" t="str">
        <f t="shared" si="31"/>
        <v/>
      </c>
      <c r="BG722" s="850" t="str">
        <f t="shared" si="32"/>
        <v/>
      </c>
      <c r="BJ722" s="41"/>
      <c r="BK722" s="41"/>
      <c r="BL722" s="41"/>
      <c r="BM722" s="41"/>
      <c r="BN722" s="41"/>
      <c r="BO722" s="41"/>
      <c r="BP722" s="570" t="s">
        <v>136</v>
      </c>
      <c r="BQ722" s="569">
        <v>2530</v>
      </c>
      <c r="BR722" s="569">
        <v>2710</v>
      </c>
      <c r="BS722" s="569">
        <v>3254</v>
      </c>
      <c r="BT722" s="569">
        <v>3760</v>
      </c>
      <c r="BU722" s="569">
        <v>4192</v>
      </c>
      <c r="BV722" s="569">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5"/>
      <c r="C723" s="1063"/>
      <c r="D723" s="1063"/>
      <c r="E723" s="1063"/>
      <c r="F723" s="1064"/>
      <c r="G723" s="1078"/>
      <c r="H723" s="1063"/>
      <c r="I723" s="1063"/>
      <c r="J723" s="1064"/>
      <c r="K723" s="1102"/>
      <c r="L723" s="1063"/>
      <c r="M723" s="1063"/>
      <c r="N723" s="1064"/>
      <c r="O723" s="1071"/>
      <c r="P723" s="1063"/>
      <c r="Q723" s="1063"/>
      <c r="R723" s="1063"/>
      <c r="S723" s="1064"/>
      <c r="T723" s="1108">
        <f t="shared" si="24"/>
        <v>0</v>
      </c>
      <c r="U723" s="973"/>
      <c r="V723" s="973"/>
      <c r="W723" s="973"/>
      <c r="X723" s="974"/>
      <c r="Y723" s="1071"/>
      <c r="Z723" s="1063"/>
      <c r="AA723" s="1063"/>
      <c r="AB723" s="1064"/>
      <c r="AC723" s="1108">
        <f t="shared" si="25"/>
        <v>0</v>
      </c>
      <c r="AD723" s="973"/>
      <c r="AE723" s="973"/>
      <c r="AF723" s="973"/>
      <c r="AG723" s="974"/>
      <c r="AH723" s="1138"/>
      <c r="AI723" s="1063"/>
      <c r="AJ723" s="1063"/>
      <c r="AK723" s="1063"/>
      <c r="AL723" s="1064"/>
      <c r="AM723" s="1072" t="str">
        <f t="shared" si="33"/>
        <v/>
      </c>
      <c r="AN723" s="1073"/>
      <c r="AO723" s="1074"/>
      <c r="AV723" s="43" t="str">
        <f t="shared" si="26"/>
        <v>N/A</v>
      </c>
      <c r="AX723" s="41"/>
      <c r="AY723" s="443">
        <f t="shared" si="27"/>
        <v>0</v>
      </c>
      <c r="AZ723" s="449">
        <f t="shared" si="28"/>
        <v>0</v>
      </c>
      <c r="BA723" s="450">
        <f t="shared" si="29"/>
        <v>0</v>
      </c>
      <c r="BB723" s="43"/>
      <c r="BC723" s="43"/>
      <c r="BD723" s="43"/>
      <c r="BE723" s="845">
        <f t="shared" si="30"/>
        <v>0</v>
      </c>
      <c r="BF723" s="849" t="str">
        <f t="shared" si="31"/>
        <v/>
      </c>
      <c r="BG723" s="850" t="str">
        <f t="shared" si="32"/>
        <v/>
      </c>
      <c r="BH723" s="41"/>
      <c r="BI723" s="41"/>
      <c r="BJ723" s="41"/>
      <c r="BK723" s="41"/>
      <c r="BL723" s="41"/>
      <c r="BM723" s="41"/>
      <c r="BN723" s="41"/>
      <c r="BO723" s="41"/>
      <c r="BP723" s="570" t="s">
        <v>140</v>
      </c>
      <c r="BQ723" s="569">
        <v>2804</v>
      </c>
      <c r="BR723" s="569">
        <v>3004</v>
      </c>
      <c r="BS723" s="569">
        <v>3606</v>
      </c>
      <c r="BT723" s="569">
        <v>4168</v>
      </c>
      <c r="BU723" s="569">
        <v>4650</v>
      </c>
      <c r="BV723" s="569">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5"/>
      <c r="C724" s="1063"/>
      <c r="D724" s="1063"/>
      <c r="E724" s="1063"/>
      <c r="F724" s="1064"/>
      <c r="G724" s="1078"/>
      <c r="H724" s="1063"/>
      <c r="I724" s="1063"/>
      <c r="J724" s="1064"/>
      <c r="K724" s="1102"/>
      <c r="L724" s="1063"/>
      <c r="M724" s="1063"/>
      <c r="N724" s="1064"/>
      <c r="O724" s="1071"/>
      <c r="P724" s="1063"/>
      <c r="Q724" s="1063"/>
      <c r="R724" s="1063"/>
      <c r="S724" s="1064"/>
      <c r="T724" s="1108">
        <f t="shared" si="24"/>
        <v>0</v>
      </c>
      <c r="U724" s="973"/>
      <c r="V724" s="973"/>
      <c r="W724" s="973"/>
      <c r="X724" s="974"/>
      <c r="Y724" s="1071"/>
      <c r="Z724" s="1063"/>
      <c r="AA724" s="1063"/>
      <c r="AB724" s="1064"/>
      <c r="AC724" s="1108">
        <f t="shared" si="25"/>
        <v>0</v>
      </c>
      <c r="AD724" s="973"/>
      <c r="AE724" s="973"/>
      <c r="AF724" s="973"/>
      <c r="AG724" s="974"/>
      <c r="AH724" s="1138"/>
      <c r="AI724" s="1063"/>
      <c r="AJ724" s="1063"/>
      <c r="AK724" s="1063"/>
      <c r="AL724" s="1064"/>
      <c r="AM724" s="1072" t="str">
        <f t="shared" si="33"/>
        <v/>
      </c>
      <c r="AN724" s="1073"/>
      <c r="AO724" s="1074"/>
      <c r="AV724" s="43" t="str">
        <f t="shared" si="26"/>
        <v>N/A</v>
      </c>
      <c r="AX724" s="41"/>
      <c r="AY724" s="443">
        <f t="shared" si="27"/>
        <v>0</v>
      </c>
      <c r="AZ724" s="449">
        <f t="shared" si="28"/>
        <v>0</v>
      </c>
      <c r="BA724" s="450">
        <f t="shared" si="29"/>
        <v>0</v>
      </c>
      <c r="BB724" s="43"/>
      <c r="BC724" s="43"/>
      <c r="BD724" s="43"/>
      <c r="BE724" s="845">
        <f t="shared" si="30"/>
        <v>0</v>
      </c>
      <c r="BF724" s="849" t="str">
        <f t="shared" si="31"/>
        <v/>
      </c>
      <c r="BG724" s="850" t="str">
        <f t="shared" si="32"/>
        <v/>
      </c>
      <c r="BH724" s="41"/>
      <c r="BI724" s="41"/>
      <c r="BJ724" s="41"/>
      <c r="BK724" s="41"/>
      <c r="BL724" s="41"/>
      <c r="BM724" s="41"/>
      <c r="BN724" s="41"/>
      <c r="BO724" s="41"/>
      <c r="BP724" s="570" t="s">
        <v>145</v>
      </c>
      <c r="BQ724" s="569">
        <v>1992</v>
      </c>
      <c r="BR724" s="569">
        <v>2132</v>
      </c>
      <c r="BS724" s="569">
        <v>2560</v>
      </c>
      <c r="BT724" s="569">
        <v>2958</v>
      </c>
      <c r="BU724" s="569">
        <v>3300</v>
      </c>
      <c r="BV724" s="569">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5"/>
      <c r="C725" s="1063"/>
      <c r="D725" s="1063"/>
      <c r="E725" s="1063"/>
      <c r="F725" s="1064"/>
      <c r="G725" s="1078"/>
      <c r="H725" s="1063"/>
      <c r="I725" s="1063"/>
      <c r="J725" s="1064"/>
      <c r="K725" s="1102"/>
      <c r="L725" s="1063"/>
      <c r="M725" s="1063"/>
      <c r="N725" s="1064"/>
      <c r="O725" s="1071"/>
      <c r="P725" s="1063"/>
      <c r="Q725" s="1063"/>
      <c r="R725" s="1063"/>
      <c r="S725" s="1064"/>
      <c r="T725" s="1108">
        <f t="shared" si="24"/>
        <v>0</v>
      </c>
      <c r="U725" s="973"/>
      <c r="V725" s="973"/>
      <c r="W725" s="973"/>
      <c r="X725" s="974"/>
      <c r="Y725" s="1071"/>
      <c r="Z725" s="1063"/>
      <c r="AA725" s="1063"/>
      <c r="AB725" s="1064"/>
      <c r="AC725" s="1108">
        <f t="shared" si="25"/>
        <v>0</v>
      </c>
      <c r="AD725" s="973"/>
      <c r="AE725" s="973"/>
      <c r="AF725" s="973"/>
      <c r="AG725" s="974"/>
      <c r="AH725" s="1138"/>
      <c r="AI725" s="1063"/>
      <c r="AJ725" s="1063"/>
      <c r="AK725" s="1063"/>
      <c r="AL725" s="1064"/>
      <c r="AM725" s="1072" t="str">
        <f t="shared" si="33"/>
        <v/>
      </c>
      <c r="AN725" s="1073"/>
      <c r="AO725" s="1074"/>
      <c r="AV725" s="43" t="str">
        <f t="shared" si="26"/>
        <v>N/A</v>
      </c>
      <c r="AX725" s="41"/>
      <c r="AY725" s="443">
        <f t="shared" si="27"/>
        <v>0</v>
      </c>
      <c r="AZ725" s="449">
        <f t="shared" si="28"/>
        <v>0</v>
      </c>
      <c r="BA725" s="450">
        <f t="shared" si="29"/>
        <v>0</v>
      </c>
      <c r="BB725" s="41"/>
      <c r="BC725" s="41"/>
      <c r="BD725" s="41"/>
      <c r="BE725" s="845">
        <f t="shared" si="30"/>
        <v>0</v>
      </c>
      <c r="BF725" s="849" t="str">
        <f t="shared" si="31"/>
        <v/>
      </c>
      <c r="BG725" s="850" t="str">
        <f t="shared" si="32"/>
        <v/>
      </c>
      <c r="BH725" s="41"/>
      <c r="BI725" s="41"/>
      <c r="BJ725" s="41"/>
      <c r="BK725" s="41"/>
      <c r="BL725" s="41"/>
      <c r="BM725" s="41"/>
      <c r="BN725" s="41"/>
      <c r="BO725" s="41"/>
      <c r="BP725" s="570" t="s">
        <v>148</v>
      </c>
      <c r="BQ725" s="569">
        <v>2962</v>
      </c>
      <c r="BR725" s="569">
        <v>3172</v>
      </c>
      <c r="BS725" s="569">
        <v>3806</v>
      </c>
      <c r="BT725" s="569">
        <v>4400</v>
      </c>
      <c r="BU725" s="569">
        <v>4906</v>
      </c>
      <c r="BV725" s="569">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5"/>
      <c r="C726" s="1063"/>
      <c r="D726" s="1063"/>
      <c r="E726" s="1063"/>
      <c r="F726" s="1064"/>
      <c r="G726" s="1078"/>
      <c r="H726" s="1063"/>
      <c r="I726" s="1063"/>
      <c r="J726" s="1064"/>
      <c r="K726" s="1102"/>
      <c r="L726" s="1063"/>
      <c r="M726" s="1063"/>
      <c r="N726" s="1064"/>
      <c r="O726" s="1071"/>
      <c r="P726" s="1063"/>
      <c r="Q726" s="1063"/>
      <c r="R726" s="1063"/>
      <c r="S726" s="1064"/>
      <c r="T726" s="1108">
        <f t="shared" si="24"/>
        <v>0</v>
      </c>
      <c r="U726" s="973"/>
      <c r="V726" s="973"/>
      <c r="W726" s="973"/>
      <c r="X726" s="974"/>
      <c r="Y726" s="1071"/>
      <c r="Z726" s="1063"/>
      <c r="AA726" s="1063"/>
      <c r="AB726" s="1064"/>
      <c r="AC726" s="1108">
        <f t="shared" si="25"/>
        <v>0</v>
      </c>
      <c r="AD726" s="973"/>
      <c r="AE726" s="973"/>
      <c r="AF726" s="973"/>
      <c r="AG726" s="974"/>
      <c r="AH726" s="1138"/>
      <c r="AI726" s="1063"/>
      <c r="AJ726" s="1063"/>
      <c r="AK726" s="1063"/>
      <c r="AL726" s="1064"/>
      <c r="AM726" s="1072" t="str">
        <f t="shared" si="33"/>
        <v/>
      </c>
      <c r="AN726" s="1073"/>
      <c r="AO726" s="1074"/>
      <c r="AV726" s="43" t="str">
        <f t="shared" si="26"/>
        <v>N/A</v>
      </c>
      <c r="AX726" s="41"/>
      <c r="AY726" s="443">
        <f t="shared" si="27"/>
        <v>0</v>
      </c>
      <c r="AZ726" s="449">
        <f t="shared" si="28"/>
        <v>0</v>
      </c>
      <c r="BA726" s="450">
        <f t="shared" si="29"/>
        <v>0</v>
      </c>
      <c r="BB726" s="41"/>
      <c r="BC726" s="41"/>
      <c r="BD726" s="41"/>
      <c r="BE726" s="845">
        <f t="shared" si="30"/>
        <v>0</v>
      </c>
      <c r="BF726" s="849" t="str">
        <f t="shared" si="31"/>
        <v/>
      </c>
      <c r="BG726" s="850" t="str">
        <f t="shared" si="32"/>
        <v/>
      </c>
      <c r="BJ726" s="41"/>
      <c r="BK726" s="41"/>
      <c r="BL726" s="41"/>
      <c r="BM726" s="41"/>
      <c r="BN726" s="41"/>
      <c r="BO726" s="41"/>
      <c r="BP726" s="570" t="s">
        <v>150</v>
      </c>
      <c r="BQ726" s="569">
        <v>2252</v>
      </c>
      <c r="BR726" s="569">
        <v>2412</v>
      </c>
      <c r="BS726" s="569">
        <v>2894</v>
      </c>
      <c r="BT726" s="569">
        <v>3342</v>
      </c>
      <c r="BU726" s="569">
        <v>3730</v>
      </c>
      <c r="BV726" s="569">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5"/>
      <c r="C727" s="1063"/>
      <c r="D727" s="1063"/>
      <c r="E727" s="1063"/>
      <c r="F727" s="1064"/>
      <c r="G727" s="1078"/>
      <c r="H727" s="1063"/>
      <c r="I727" s="1063"/>
      <c r="J727" s="1064"/>
      <c r="K727" s="1102"/>
      <c r="L727" s="1063"/>
      <c r="M727" s="1063"/>
      <c r="N727" s="1064"/>
      <c r="O727" s="1071"/>
      <c r="P727" s="1063"/>
      <c r="Q727" s="1063"/>
      <c r="R727" s="1063"/>
      <c r="S727" s="1064"/>
      <c r="T727" s="1108">
        <f t="shared" si="24"/>
        <v>0</v>
      </c>
      <c r="U727" s="973"/>
      <c r="V727" s="973"/>
      <c r="W727" s="973"/>
      <c r="X727" s="974"/>
      <c r="Y727" s="1071"/>
      <c r="Z727" s="1063"/>
      <c r="AA727" s="1063"/>
      <c r="AB727" s="1064"/>
      <c r="AC727" s="1108">
        <f t="shared" si="25"/>
        <v>0</v>
      </c>
      <c r="AD727" s="973"/>
      <c r="AE727" s="973"/>
      <c r="AF727" s="973"/>
      <c r="AG727" s="974"/>
      <c r="AH727" s="1138"/>
      <c r="AI727" s="1063"/>
      <c r="AJ727" s="1063"/>
      <c r="AK727" s="1063"/>
      <c r="AL727" s="1064"/>
      <c r="AM727" s="1072" t="str">
        <f t="shared" si="33"/>
        <v/>
      </c>
      <c r="AN727" s="1073"/>
      <c r="AO727" s="1074"/>
      <c r="AV727" s="43" t="str">
        <f t="shared" si="26"/>
        <v>N/A</v>
      </c>
      <c r="AY727" s="443">
        <f t="shared" si="27"/>
        <v>0</v>
      </c>
      <c r="AZ727" s="449">
        <f t="shared" si="28"/>
        <v>0</v>
      </c>
      <c r="BA727" s="450">
        <f t="shared" si="29"/>
        <v>0</v>
      </c>
      <c r="BB727" s="41"/>
      <c r="BC727" s="41"/>
      <c r="BD727" s="41"/>
      <c r="BE727" s="845">
        <f t="shared" si="30"/>
        <v>0</v>
      </c>
      <c r="BF727" s="849" t="str">
        <f t="shared" si="31"/>
        <v/>
      </c>
      <c r="BG727" s="850" t="str">
        <f t="shared" si="32"/>
        <v/>
      </c>
      <c r="BJ727" s="41"/>
      <c r="BK727" s="41"/>
      <c r="BL727" s="41"/>
      <c r="BM727" s="41"/>
      <c r="BN727" s="41"/>
      <c r="BO727" s="41"/>
      <c r="BP727" s="570" t="s">
        <v>152</v>
      </c>
      <c r="BQ727" s="569">
        <v>1670</v>
      </c>
      <c r="BR727" s="569">
        <v>1788</v>
      </c>
      <c r="BS727" s="569">
        <v>2144</v>
      </c>
      <c r="BT727" s="569">
        <v>2478</v>
      </c>
      <c r="BU727" s="569">
        <v>2764</v>
      </c>
      <c r="BV727" s="569">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5"/>
      <c r="C728" s="1063"/>
      <c r="D728" s="1063"/>
      <c r="E728" s="1063"/>
      <c r="F728" s="1064"/>
      <c r="G728" s="1078"/>
      <c r="H728" s="1063"/>
      <c r="I728" s="1063"/>
      <c r="J728" s="1064"/>
      <c r="K728" s="1102"/>
      <c r="L728" s="1063"/>
      <c r="M728" s="1063"/>
      <c r="N728" s="1064"/>
      <c r="O728" s="1071"/>
      <c r="P728" s="1063"/>
      <c r="Q728" s="1063"/>
      <c r="R728" s="1063"/>
      <c r="S728" s="1064"/>
      <c r="T728" s="1108">
        <f t="shared" si="24"/>
        <v>0</v>
      </c>
      <c r="U728" s="973"/>
      <c r="V728" s="973"/>
      <c r="W728" s="973"/>
      <c r="X728" s="974"/>
      <c r="Y728" s="1071"/>
      <c r="Z728" s="1063"/>
      <c r="AA728" s="1063"/>
      <c r="AB728" s="1064"/>
      <c r="AC728" s="1108">
        <f t="shared" si="25"/>
        <v>0</v>
      </c>
      <c r="AD728" s="973"/>
      <c r="AE728" s="973"/>
      <c r="AF728" s="973"/>
      <c r="AG728" s="974"/>
      <c r="AH728" s="1138"/>
      <c r="AI728" s="1063"/>
      <c r="AJ728" s="1063"/>
      <c r="AK728" s="1063"/>
      <c r="AL728" s="1064"/>
      <c r="AM728" s="1072" t="str">
        <f t="shared" si="33"/>
        <v/>
      </c>
      <c r="AN728" s="1073"/>
      <c r="AO728" s="1074"/>
      <c r="AV728" s="43" t="str">
        <f t="shared" si="26"/>
        <v>N/A</v>
      </c>
      <c r="AY728" s="443">
        <f t="shared" si="27"/>
        <v>0</v>
      </c>
      <c r="AZ728" s="449">
        <f t="shared" si="28"/>
        <v>0</v>
      </c>
      <c r="BA728" s="450">
        <f t="shared" si="29"/>
        <v>0</v>
      </c>
      <c r="BB728" s="41"/>
      <c r="BC728" s="41"/>
      <c r="BD728" s="41"/>
      <c r="BE728" s="845">
        <f t="shared" si="30"/>
        <v>0</v>
      </c>
      <c r="BF728" s="849" t="str">
        <f t="shared" si="31"/>
        <v/>
      </c>
      <c r="BG728" s="850" t="str">
        <f t="shared" si="32"/>
        <v/>
      </c>
      <c r="BJ728" s="41"/>
      <c r="BK728" s="41"/>
      <c r="BL728" s="41"/>
      <c r="BM728" s="41"/>
      <c r="BN728" s="41"/>
      <c r="BO728" s="41"/>
      <c r="BP728" s="570" t="s">
        <v>157</v>
      </c>
      <c r="BQ728" s="569">
        <v>1960</v>
      </c>
      <c r="BR728" s="569">
        <v>2098</v>
      </c>
      <c r="BS728" s="569">
        <v>2516</v>
      </c>
      <c r="BT728" s="569">
        <v>2910</v>
      </c>
      <c r="BU728" s="569">
        <v>3244</v>
      </c>
      <c r="BV728" s="569">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5"/>
      <c r="C729" s="1063"/>
      <c r="D729" s="1063"/>
      <c r="E729" s="1063"/>
      <c r="F729" s="1064"/>
      <c r="G729" s="1078"/>
      <c r="H729" s="1063"/>
      <c r="I729" s="1063"/>
      <c r="J729" s="1064"/>
      <c r="K729" s="1102"/>
      <c r="L729" s="1063"/>
      <c r="M729" s="1063"/>
      <c r="N729" s="1064"/>
      <c r="O729" s="1071"/>
      <c r="P729" s="1063"/>
      <c r="Q729" s="1063"/>
      <c r="R729" s="1063"/>
      <c r="S729" s="1064"/>
      <c r="T729" s="1108">
        <f t="shared" si="24"/>
        <v>0</v>
      </c>
      <c r="U729" s="973"/>
      <c r="V729" s="973"/>
      <c r="W729" s="973"/>
      <c r="X729" s="974"/>
      <c r="Y729" s="1071"/>
      <c r="Z729" s="1063"/>
      <c r="AA729" s="1063"/>
      <c r="AB729" s="1064"/>
      <c r="AC729" s="1108">
        <f t="shared" si="25"/>
        <v>0</v>
      </c>
      <c r="AD729" s="973"/>
      <c r="AE729" s="973"/>
      <c r="AF729" s="973"/>
      <c r="AG729" s="974"/>
      <c r="AH729" s="1138"/>
      <c r="AI729" s="1063"/>
      <c r="AJ729" s="1063"/>
      <c r="AK729" s="1063"/>
      <c r="AL729" s="1064"/>
      <c r="AM729" s="1072" t="str">
        <f t="shared" si="33"/>
        <v/>
      </c>
      <c r="AN729" s="1073"/>
      <c r="AO729" s="1074"/>
      <c r="AV729" s="43" t="str">
        <f t="shared" si="26"/>
        <v>N/A</v>
      </c>
      <c r="AY729" s="443">
        <f t="shared" si="27"/>
        <v>0</v>
      </c>
      <c r="AZ729" s="449">
        <f t="shared" si="28"/>
        <v>0</v>
      </c>
      <c r="BA729" s="450">
        <f t="shared" si="29"/>
        <v>0</v>
      </c>
      <c r="BB729" s="41"/>
      <c r="BC729" s="41"/>
      <c r="BD729" s="41"/>
      <c r="BE729" s="845">
        <f t="shared" si="30"/>
        <v>0</v>
      </c>
      <c r="BF729" s="849" t="str">
        <f t="shared" si="31"/>
        <v/>
      </c>
      <c r="BG729" s="850" t="str">
        <f t="shared" si="32"/>
        <v/>
      </c>
      <c r="BJ729" s="41"/>
      <c r="BK729" s="41"/>
      <c r="BL729" s="41"/>
      <c r="BM729" s="41"/>
      <c r="BN729" s="41"/>
      <c r="BO729" s="41"/>
      <c r="BP729" s="570" t="s">
        <v>162</v>
      </c>
      <c r="BQ729" s="569">
        <v>2252</v>
      </c>
      <c r="BR729" s="569">
        <v>2412</v>
      </c>
      <c r="BS729" s="569">
        <v>2894</v>
      </c>
      <c r="BT729" s="569">
        <v>3342</v>
      </c>
      <c r="BU729" s="569">
        <v>3730</v>
      </c>
      <c r="BV729" s="569">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5"/>
      <c r="C730" s="1063"/>
      <c r="D730" s="1063"/>
      <c r="E730" s="1063"/>
      <c r="F730" s="1064"/>
      <c r="G730" s="1078"/>
      <c r="H730" s="1063"/>
      <c r="I730" s="1063"/>
      <c r="J730" s="1064"/>
      <c r="K730" s="1102"/>
      <c r="L730" s="1063"/>
      <c r="M730" s="1063"/>
      <c r="N730" s="1064"/>
      <c r="O730" s="1071"/>
      <c r="P730" s="1063"/>
      <c r="Q730" s="1063"/>
      <c r="R730" s="1063"/>
      <c r="S730" s="1064"/>
      <c r="T730" s="1108">
        <f t="shared" si="24"/>
        <v>0</v>
      </c>
      <c r="U730" s="973"/>
      <c r="V730" s="973"/>
      <c r="W730" s="973"/>
      <c r="X730" s="974"/>
      <c r="Y730" s="1071"/>
      <c r="Z730" s="1063"/>
      <c r="AA730" s="1063"/>
      <c r="AB730" s="1064"/>
      <c r="AC730" s="1108">
        <f t="shared" si="25"/>
        <v>0</v>
      </c>
      <c r="AD730" s="973"/>
      <c r="AE730" s="973"/>
      <c r="AF730" s="973"/>
      <c r="AG730" s="974"/>
      <c r="AH730" s="1138"/>
      <c r="AI730" s="1063"/>
      <c r="AJ730" s="1063"/>
      <c r="AK730" s="1063"/>
      <c r="AL730" s="1064"/>
      <c r="AM730" s="1072" t="str">
        <f t="shared" si="33"/>
        <v/>
      </c>
      <c r="AN730" s="1073"/>
      <c r="AO730" s="1074"/>
      <c r="AV730" s="43" t="str">
        <f t="shared" si="26"/>
        <v>N/A</v>
      </c>
      <c r="AY730" s="443">
        <f t="shared" si="27"/>
        <v>0</v>
      </c>
      <c r="AZ730" s="449">
        <f t="shared" si="28"/>
        <v>0</v>
      </c>
      <c r="BA730" s="450">
        <f t="shared" si="29"/>
        <v>0</v>
      </c>
      <c r="BB730" s="41"/>
      <c r="BC730" s="41"/>
      <c r="BD730" s="41"/>
      <c r="BE730" s="845">
        <f t="shared" si="30"/>
        <v>0</v>
      </c>
      <c r="BF730" s="849" t="str">
        <f t="shared" si="31"/>
        <v/>
      </c>
      <c r="BG730" s="850" t="str">
        <f t="shared" si="32"/>
        <v/>
      </c>
      <c r="BJ730" s="43"/>
      <c r="BK730" s="43"/>
      <c r="BL730" s="43"/>
      <c r="BM730" s="43"/>
      <c r="BN730" s="43"/>
      <c r="BO730" s="43"/>
      <c r="BP730" s="570" t="s">
        <v>166</v>
      </c>
      <c r="BQ730" s="569">
        <v>2340</v>
      </c>
      <c r="BR730" s="569">
        <v>2506</v>
      </c>
      <c r="BS730" s="569">
        <v>3006</v>
      </c>
      <c r="BT730" s="569">
        <v>3472</v>
      </c>
      <c r="BU730" s="569">
        <v>3874</v>
      </c>
      <c r="BV730" s="569">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5"/>
      <c r="C731" s="1063"/>
      <c r="D731" s="1063"/>
      <c r="E731" s="1063"/>
      <c r="F731" s="1064"/>
      <c r="G731" s="1078"/>
      <c r="H731" s="1063"/>
      <c r="I731" s="1063"/>
      <c r="J731" s="1064"/>
      <c r="K731" s="1102"/>
      <c r="L731" s="1063"/>
      <c r="M731" s="1063"/>
      <c r="N731" s="1064"/>
      <c r="O731" s="1071"/>
      <c r="P731" s="1063"/>
      <c r="Q731" s="1063"/>
      <c r="R731" s="1063"/>
      <c r="S731" s="1064"/>
      <c r="T731" s="1108">
        <f t="shared" si="24"/>
        <v>0</v>
      </c>
      <c r="U731" s="973"/>
      <c r="V731" s="973"/>
      <c r="W731" s="973"/>
      <c r="X731" s="974"/>
      <c r="Y731" s="1071"/>
      <c r="Z731" s="1063"/>
      <c r="AA731" s="1063"/>
      <c r="AB731" s="1064"/>
      <c r="AC731" s="1108">
        <f t="shared" si="25"/>
        <v>0</v>
      </c>
      <c r="AD731" s="973"/>
      <c r="AE731" s="973"/>
      <c r="AF731" s="973"/>
      <c r="AG731" s="974"/>
      <c r="AH731" s="1138"/>
      <c r="AI731" s="1063"/>
      <c r="AJ731" s="1063"/>
      <c r="AK731" s="1063"/>
      <c r="AL731" s="1064"/>
      <c r="AM731" s="1072" t="str">
        <f t="shared" si="33"/>
        <v/>
      </c>
      <c r="AN731" s="1073"/>
      <c r="AO731" s="1074"/>
      <c r="AV731" s="43" t="str">
        <f t="shared" si="26"/>
        <v>N/A</v>
      </c>
      <c r="AY731" s="443">
        <f t="shared" si="27"/>
        <v>0</v>
      </c>
      <c r="AZ731" s="449">
        <f t="shared" si="28"/>
        <v>0</v>
      </c>
      <c r="BA731" s="450">
        <f t="shared" si="29"/>
        <v>0</v>
      </c>
      <c r="BB731" s="41"/>
      <c r="BC731" s="41"/>
      <c r="BD731" s="41"/>
      <c r="BE731" s="845">
        <f t="shared" si="30"/>
        <v>0</v>
      </c>
      <c r="BF731" s="849" t="str">
        <f t="shared" si="31"/>
        <v/>
      </c>
      <c r="BG731" s="850" t="str">
        <f t="shared" si="32"/>
        <v/>
      </c>
      <c r="BJ731" s="43"/>
      <c r="BK731" s="43"/>
      <c r="BL731" s="43"/>
      <c r="BM731" s="43"/>
      <c r="BN731" s="43"/>
      <c r="BO731" s="43"/>
      <c r="BP731" s="570" t="s">
        <v>170</v>
      </c>
      <c r="BQ731" s="569">
        <v>1960</v>
      </c>
      <c r="BR731" s="569">
        <v>2098</v>
      </c>
      <c r="BS731" s="569">
        <v>2516</v>
      </c>
      <c r="BT731" s="569">
        <v>2910</v>
      </c>
      <c r="BU731" s="569">
        <v>3244</v>
      </c>
      <c r="BV731" s="569">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5"/>
      <c r="C732" s="1063"/>
      <c r="D732" s="1063"/>
      <c r="E732" s="1063"/>
      <c r="F732" s="1064"/>
      <c r="G732" s="1078"/>
      <c r="H732" s="1063"/>
      <c r="I732" s="1063"/>
      <c r="J732" s="1064"/>
      <c r="K732" s="1102"/>
      <c r="L732" s="1063"/>
      <c r="M732" s="1063"/>
      <c r="N732" s="1064"/>
      <c r="O732" s="1071"/>
      <c r="P732" s="1063"/>
      <c r="Q732" s="1063"/>
      <c r="R732" s="1063"/>
      <c r="S732" s="1064"/>
      <c r="T732" s="1108">
        <f t="shared" si="24"/>
        <v>0</v>
      </c>
      <c r="U732" s="973"/>
      <c r="V732" s="973"/>
      <c r="W732" s="973"/>
      <c r="X732" s="974"/>
      <c r="Y732" s="1071"/>
      <c r="Z732" s="1063"/>
      <c r="AA732" s="1063"/>
      <c r="AB732" s="1064"/>
      <c r="AC732" s="1108">
        <f t="shared" si="25"/>
        <v>0</v>
      </c>
      <c r="AD732" s="973"/>
      <c r="AE732" s="973"/>
      <c r="AF732" s="973"/>
      <c r="AG732" s="974"/>
      <c r="AH732" s="1138"/>
      <c r="AI732" s="1063"/>
      <c r="AJ732" s="1063"/>
      <c r="AK732" s="1063"/>
      <c r="AL732" s="1064"/>
      <c r="AM732" s="1072" t="str">
        <f t="shared" si="33"/>
        <v/>
      </c>
      <c r="AN732" s="1073"/>
      <c r="AO732" s="1074"/>
      <c r="AV732" s="43" t="str">
        <f t="shared" si="26"/>
        <v>N/A</v>
      </c>
      <c r="AY732" s="443">
        <f t="shared" si="27"/>
        <v>0</v>
      </c>
      <c r="AZ732" s="449">
        <f t="shared" si="28"/>
        <v>0</v>
      </c>
      <c r="BA732" s="450">
        <f t="shared" si="29"/>
        <v>0</v>
      </c>
      <c r="BB732" s="41"/>
      <c r="BC732" s="41"/>
      <c r="BD732" s="41"/>
      <c r="BE732" s="845">
        <f t="shared" si="30"/>
        <v>0</v>
      </c>
      <c r="BF732" s="849" t="str">
        <f t="shared" si="31"/>
        <v/>
      </c>
      <c r="BG732" s="850" t="str">
        <f t="shared" si="32"/>
        <v/>
      </c>
      <c r="BJ732" s="43"/>
      <c r="BK732" s="43"/>
      <c r="BL732" s="43"/>
      <c r="BM732" s="43"/>
      <c r="BN732" s="43"/>
      <c r="BO732" s="43"/>
      <c r="BP732" s="570" t="s">
        <v>176</v>
      </c>
      <c r="BQ732" s="569">
        <v>2894</v>
      </c>
      <c r="BR732" s="569">
        <v>3100</v>
      </c>
      <c r="BS732" s="569">
        <v>3722</v>
      </c>
      <c r="BT732" s="569">
        <v>4300</v>
      </c>
      <c r="BU732" s="569">
        <v>4796</v>
      </c>
      <c r="BV732" s="569">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5"/>
      <c r="C733" s="1063"/>
      <c r="D733" s="1063"/>
      <c r="E733" s="1063"/>
      <c r="F733" s="1064"/>
      <c r="G733" s="1078"/>
      <c r="H733" s="1063"/>
      <c r="I733" s="1063"/>
      <c r="J733" s="1064"/>
      <c r="K733" s="1102"/>
      <c r="L733" s="1063"/>
      <c r="M733" s="1063"/>
      <c r="N733" s="1064"/>
      <c r="O733" s="1071"/>
      <c r="P733" s="1063"/>
      <c r="Q733" s="1063"/>
      <c r="R733" s="1063"/>
      <c r="S733" s="1064"/>
      <c r="T733" s="1108">
        <f t="shared" si="24"/>
        <v>0</v>
      </c>
      <c r="U733" s="973"/>
      <c r="V733" s="973"/>
      <c r="W733" s="973"/>
      <c r="X733" s="974"/>
      <c r="Y733" s="1071"/>
      <c r="Z733" s="1063"/>
      <c r="AA733" s="1063"/>
      <c r="AB733" s="1064"/>
      <c r="AC733" s="1108">
        <f t="shared" si="25"/>
        <v>0</v>
      </c>
      <c r="AD733" s="973"/>
      <c r="AE733" s="973"/>
      <c r="AF733" s="973"/>
      <c r="AG733" s="974"/>
      <c r="AH733" s="1138"/>
      <c r="AI733" s="1063"/>
      <c r="AJ733" s="1063"/>
      <c r="AK733" s="1063"/>
      <c r="AL733" s="1064"/>
      <c r="AM733" s="1072" t="str">
        <f t="shared" si="33"/>
        <v/>
      </c>
      <c r="AN733" s="1073"/>
      <c r="AO733" s="1074"/>
      <c r="AV733" s="43" t="str">
        <f t="shared" si="26"/>
        <v>N/A</v>
      </c>
      <c r="AY733" s="443">
        <f t="shared" si="27"/>
        <v>0</v>
      </c>
      <c r="AZ733" s="449">
        <f t="shared" si="28"/>
        <v>0</v>
      </c>
      <c r="BA733" s="450">
        <f t="shared" si="29"/>
        <v>0</v>
      </c>
      <c r="BB733" s="41"/>
      <c r="BC733" s="41"/>
      <c r="BD733" s="41"/>
      <c r="BE733" s="845">
        <f t="shared" si="30"/>
        <v>0</v>
      </c>
      <c r="BF733" s="849" t="str">
        <f t="shared" si="31"/>
        <v/>
      </c>
      <c r="BG733" s="850" t="str">
        <f t="shared" si="32"/>
        <v/>
      </c>
      <c r="BJ733" s="43"/>
      <c r="BK733" s="43"/>
      <c r="BL733" s="43"/>
      <c r="BM733" s="43"/>
      <c r="BN733" s="43"/>
      <c r="BO733" s="43"/>
      <c r="BP733" s="570" t="s">
        <v>180</v>
      </c>
      <c r="BQ733" s="569">
        <v>3384</v>
      </c>
      <c r="BR733" s="569">
        <v>3626</v>
      </c>
      <c r="BS733" s="569">
        <v>4352</v>
      </c>
      <c r="BT733" s="569">
        <v>5028</v>
      </c>
      <c r="BU733" s="569">
        <v>5610</v>
      </c>
      <c r="BV733" s="569">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5"/>
      <c r="C734" s="1063"/>
      <c r="D734" s="1063"/>
      <c r="E734" s="1063"/>
      <c r="F734" s="1064"/>
      <c r="G734" s="1078"/>
      <c r="H734" s="1063"/>
      <c r="I734" s="1063"/>
      <c r="J734" s="1064"/>
      <c r="K734" s="1102"/>
      <c r="L734" s="1063"/>
      <c r="M734" s="1063"/>
      <c r="N734" s="1064"/>
      <c r="O734" s="1071"/>
      <c r="P734" s="1063"/>
      <c r="Q734" s="1063"/>
      <c r="R734" s="1063"/>
      <c r="S734" s="1064"/>
      <c r="T734" s="1108">
        <f t="shared" si="24"/>
        <v>0</v>
      </c>
      <c r="U734" s="973"/>
      <c r="V734" s="973"/>
      <c r="W734" s="973"/>
      <c r="X734" s="974"/>
      <c r="Y734" s="1071"/>
      <c r="Z734" s="1063"/>
      <c r="AA734" s="1063"/>
      <c r="AB734" s="1064"/>
      <c r="AC734" s="1108">
        <f t="shared" si="25"/>
        <v>0</v>
      </c>
      <c r="AD734" s="973"/>
      <c r="AE734" s="973"/>
      <c r="AF734" s="973"/>
      <c r="AG734" s="974"/>
      <c r="AH734" s="1138"/>
      <c r="AI734" s="1063"/>
      <c r="AJ734" s="1063"/>
      <c r="AK734" s="1063"/>
      <c r="AL734" s="1064"/>
      <c r="AM734" s="1072" t="str">
        <f t="shared" si="33"/>
        <v/>
      </c>
      <c r="AN734" s="1073"/>
      <c r="AO734" s="1074"/>
      <c r="AV734" s="43" t="str">
        <f t="shared" si="26"/>
        <v>N/A</v>
      </c>
      <c r="AY734" s="443">
        <f t="shared" si="27"/>
        <v>0</v>
      </c>
      <c r="AZ734" s="449">
        <f t="shared" si="28"/>
        <v>0</v>
      </c>
      <c r="BA734" s="450">
        <f t="shared" si="29"/>
        <v>0</v>
      </c>
      <c r="BB734" s="41"/>
      <c r="BC734" s="41"/>
      <c r="BD734" s="41"/>
      <c r="BE734" s="845">
        <f t="shared" si="30"/>
        <v>0</v>
      </c>
      <c r="BF734" s="849" t="str">
        <f t="shared" si="31"/>
        <v/>
      </c>
      <c r="BG734" s="850" t="str">
        <f t="shared" si="32"/>
        <v/>
      </c>
      <c r="BJ734" s="43"/>
      <c r="BK734" s="43"/>
      <c r="BL734" s="43"/>
      <c r="BM734" s="43"/>
      <c r="BN734" s="43"/>
      <c r="BO734" s="43"/>
      <c r="BP734" s="570" t="s">
        <v>185</v>
      </c>
      <c r="BQ734" s="569">
        <v>1832</v>
      </c>
      <c r="BR734" s="569">
        <v>1962</v>
      </c>
      <c r="BS734" s="569">
        <v>2354</v>
      </c>
      <c r="BT734" s="569">
        <v>2720</v>
      </c>
      <c r="BU734" s="569">
        <v>3034</v>
      </c>
      <c r="BV734" s="569">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5"/>
      <c r="C735" s="1063"/>
      <c r="D735" s="1063"/>
      <c r="E735" s="1063"/>
      <c r="F735" s="1064"/>
      <c r="G735" s="1078"/>
      <c r="H735" s="1063"/>
      <c r="I735" s="1063"/>
      <c r="J735" s="1064"/>
      <c r="K735" s="1102"/>
      <c r="L735" s="1063"/>
      <c r="M735" s="1063"/>
      <c r="N735" s="1064"/>
      <c r="O735" s="1071"/>
      <c r="P735" s="1063"/>
      <c r="Q735" s="1063"/>
      <c r="R735" s="1063"/>
      <c r="S735" s="1064"/>
      <c r="T735" s="1108">
        <f t="shared" si="24"/>
        <v>0</v>
      </c>
      <c r="U735" s="973"/>
      <c r="V735" s="973"/>
      <c r="W735" s="973"/>
      <c r="X735" s="974"/>
      <c r="Y735" s="1071"/>
      <c r="Z735" s="1063"/>
      <c r="AA735" s="1063"/>
      <c r="AB735" s="1064"/>
      <c r="AC735" s="1108">
        <f t="shared" si="25"/>
        <v>0</v>
      </c>
      <c r="AD735" s="973"/>
      <c r="AE735" s="973"/>
      <c r="AF735" s="973"/>
      <c r="AG735" s="974"/>
      <c r="AH735" s="1138"/>
      <c r="AI735" s="1063"/>
      <c r="AJ735" s="1063"/>
      <c r="AK735" s="1063"/>
      <c r="AL735" s="1064"/>
      <c r="AM735" s="1072" t="str">
        <f t="shared" si="33"/>
        <v/>
      </c>
      <c r="AN735" s="1073"/>
      <c r="AO735" s="1074"/>
      <c r="AV735" s="43" t="str">
        <f t="shared" si="26"/>
        <v>N/A</v>
      </c>
      <c r="AY735" s="443">
        <f t="shared" si="27"/>
        <v>0</v>
      </c>
      <c r="AZ735" s="449">
        <f t="shared" si="28"/>
        <v>0</v>
      </c>
      <c r="BA735" s="450">
        <f t="shared" si="29"/>
        <v>0</v>
      </c>
      <c r="BB735" s="41"/>
      <c r="BC735" s="41"/>
      <c r="BD735" s="41"/>
      <c r="BE735" s="845">
        <f t="shared" si="30"/>
        <v>0</v>
      </c>
      <c r="BF735" s="849" t="str">
        <f t="shared" si="31"/>
        <v/>
      </c>
      <c r="BG735" s="850" t="str">
        <f t="shared" si="32"/>
        <v/>
      </c>
      <c r="BJ735" s="43"/>
      <c r="BK735" s="43"/>
      <c r="BL735" s="43"/>
      <c r="BM735" s="43"/>
      <c r="BN735" s="43"/>
      <c r="BO735" s="43"/>
      <c r="BP735" s="570" t="s">
        <v>189</v>
      </c>
      <c r="BQ735" s="569">
        <v>2432</v>
      </c>
      <c r="BR735" s="569">
        <v>2606</v>
      </c>
      <c r="BS735" s="569">
        <v>3126</v>
      </c>
      <c r="BT735" s="569">
        <v>3612</v>
      </c>
      <c r="BU735" s="569">
        <v>4032</v>
      </c>
      <c r="BV735" s="569">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5"/>
      <c r="C736" s="1063"/>
      <c r="D736" s="1063"/>
      <c r="E736" s="1063"/>
      <c r="F736" s="1064"/>
      <c r="G736" s="1078"/>
      <c r="H736" s="1063"/>
      <c r="I736" s="1063"/>
      <c r="J736" s="1064"/>
      <c r="K736" s="1102"/>
      <c r="L736" s="1063"/>
      <c r="M736" s="1063"/>
      <c r="N736" s="1064"/>
      <c r="O736" s="1071"/>
      <c r="P736" s="1063"/>
      <c r="Q736" s="1063"/>
      <c r="R736" s="1063"/>
      <c r="S736" s="1064"/>
      <c r="T736" s="1108">
        <f t="shared" si="24"/>
        <v>0</v>
      </c>
      <c r="U736" s="973"/>
      <c r="V736" s="973"/>
      <c r="W736" s="973"/>
      <c r="X736" s="974"/>
      <c r="Y736" s="1071"/>
      <c r="Z736" s="1063"/>
      <c r="AA736" s="1063"/>
      <c r="AB736" s="1064"/>
      <c r="AC736" s="1108">
        <f t="shared" si="25"/>
        <v>0</v>
      </c>
      <c r="AD736" s="973"/>
      <c r="AE736" s="973"/>
      <c r="AF736" s="973"/>
      <c r="AG736" s="974"/>
      <c r="AH736" s="1138"/>
      <c r="AI736" s="1063"/>
      <c r="AJ736" s="1063"/>
      <c r="AK736" s="1063"/>
      <c r="AL736" s="1064"/>
      <c r="AM736" s="1072" t="str">
        <f t="shared" si="33"/>
        <v/>
      </c>
      <c r="AN736" s="1073"/>
      <c r="AO736" s="1074"/>
      <c r="AV736" s="43" t="str">
        <f t="shared" si="26"/>
        <v>N/A</v>
      </c>
      <c r="AY736" s="443">
        <f t="shared" si="27"/>
        <v>0</v>
      </c>
      <c r="AZ736" s="449">
        <f t="shared" si="28"/>
        <v>0</v>
      </c>
      <c r="BA736" s="450">
        <f t="shared" si="29"/>
        <v>0</v>
      </c>
      <c r="BB736" s="41"/>
      <c r="BC736" s="41"/>
      <c r="BD736" s="41"/>
      <c r="BE736" s="845">
        <f t="shared" si="30"/>
        <v>0</v>
      </c>
      <c r="BF736" s="849" t="str">
        <f t="shared" si="31"/>
        <v/>
      </c>
      <c r="BG736" s="850" t="str">
        <f t="shared" si="32"/>
        <v/>
      </c>
      <c r="BJ736" s="43"/>
      <c r="BK736" s="43"/>
      <c r="BL736" s="43"/>
      <c r="BM736" s="43"/>
      <c r="BN736" s="43"/>
      <c r="BO736" s="43"/>
      <c r="BP736" s="570" t="s">
        <v>193</v>
      </c>
      <c r="BQ736" s="569">
        <v>3384</v>
      </c>
      <c r="BR736" s="569">
        <v>3626</v>
      </c>
      <c r="BS736" s="569">
        <v>4352</v>
      </c>
      <c r="BT736" s="569">
        <v>5028</v>
      </c>
      <c r="BU736" s="569">
        <v>5610</v>
      </c>
      <c r="BV736" s="569">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5"/>
      <c r="C737" s="1063"/>
      <c r="D737" s="1063"/>
      <c r="E737" s="1063"/>
      <c r="F737" s="1064"/>
      <c r="G737" s="1078"/>
      <c r="H737" s="1063"/>
      <c r="I737" s="1063"/>
      <c r="J737" s="1064"/>
      <c r="K737" s="1102"/>
      <c r="L737" s="1063"/>
      <c r="M737" s="1063"/>
      <c r="N737" s="1064"/>
      <c r="O737" s="1071"/>
      <c r="P737" s="1063"/>
      <c r="Q737" s="1063"/>
      <c r="R737" s="1063"/>
      <c r="S737" s="1064"/>
      <c r="T737" s="1108">
        <f t="shared" si="24"/>
        <v>0</v>
      </c>
      <c r="U737" s="973"/>
      <c r="V737" s="973"/>
      <c r="W737" s="973"/>
      <c r="X737" s="974"/>
      <c r="Y737" s="1071"/>
      <c r="Z737" s="1063"/>
      <c r="AA737" s="1063"/>
      <c r="AB737" s="1064"/>
      <c r="AC737" s="1108">
        <f t="shared" si="25"/>
        <v>0</v>
      </c>
      <c r="AD737" s="973"/>
      <c r="AE737" s="973"/>
      <c r="AF737" s="973"/>
      <c r="AG737" s="974"/>
      <c r="AH737" s="1138"/>
      <c r="AI737" s="1063"/>
      <c r="AJ737" s="1063"/>
      <c r="AK737" s="1063"/>
      <c r="AL737" s="1064"/>
      <c r="AM737" s="1072" t="str">
        <f t="shared" si="33"/>
        <v/>
      </c>
      <c r="AN737" s="1073"/>
      <c r="AO737" s="1074"/>
      <c r="AV737" s="43" t="str">
        <f t="shared" si="26"/>
        <v>N/A</v>
      </c>
      <c r="AX737" s="41"/>
      <c r="AY737" s="444">
        <f t="shared" si="27"/>
        <v>0</v>
      </c>
      <c r="AZ737" s="449">
        <f t="shared" si="28"/>
        <v>0</v>
      </c>
      <c r="BA737" s="450">
        <f>IF(AZ737="","",AZ737*AH727)</f>
        <v>0</v>
      </c>
      <c r="BB737" s="41"/>
      <c r="BC737" s="41"/>
      <c r="BD737" s="41"/>
      <c r="BE737" s="848">
        <f t="shared" si="30"/>
        <v>0</v>
      </c>
      <c r="BF737" s="849" t="str">
        <f t="shared" si="31"/>
        <v/>
      </c>
      <c r="BG737" s="850" t="str">
        <f>IF(BF737="","",BF737*AM727)</f>
        <v/>
      </c>
      <c r="BJ737" s="43"/>
      <c r="BK737" s="43"/>
      <c r="BL737" s="43"/>
      <c r="BM737" s="43"/>
      <c r="BN737" s="43"/>
      <c r="BO737" s="43"/>
      <c r="BP737" s="570" t="s">
        <v>197</v>
      </c>
      <c r="BQ737" s="569">
        <v>3090</v>
      </c>
      <c r="BR737" s="569">
        <v>3310</v>
      </c>
      <c r="BS737" s="569">
        <v>3972</v>
      </c>
      <c r="BT737" s="569">
        <v>4590</v>
      </c>
      <c r="BU737" s="569">
        <v>5120</v>
      </c>
      <c r="BV737" s="569">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60" t="s">
        <v>698</v>
      </c>
      <c r="C738" s="973"/>
      <c r="D738" s="973"/>
      <c r="E738" s="973"/>
      <c r="F738" s="974"/>
      <c r="G738" s="1293">
        <f>SUM(G703:J737)</f>
        <v>38</v>
      </c>
      <c r="H738" s="973"/>
      <c r="I738" s="973"/>
      <c r="J738" s="974"/>
      <c r="O738" s="427" t="s">
        <v>699</v>
      </c>
      <c r="P738" s="166"/>
      <c r="Q738" s="166"/>
      <c r="R738" s="166"/>
      <c r="S738" s="836"/>
      <c r="T738" s="1108">
        <f>SUM(T703:X737)</f>
        <v>58073</v>
      </c>
      <c r="U738" s="973"/>
      <c r="V738" s="973"/>
      <c r="W738" s="973"/>
      <c r="X738" s="974"/>
      <c r="AC738" s="837" t="s">
        <v>700</v>
      </c>
      <c r="AD738" s="838"/>
      <c r="AE738" s="838"/>
      <c r="AF738" s="838"/>
      <c r="AG738" s="839"/>
      <c r="AH738" s="1104">
        <f>BA738</f>
        <v>0.48421052631578948</v>
      </c>
      <c r="AI738" s="973"/>
      <c r="AJ738" s="973"/>
      <c r="AK738" s="973"/>
      <c r="AL738" s="974"/>
      <c r="AM738" s="1104">
        <f>IFERROR(BG738,0)</f>
        <v>0.48418164127823893</v>
      </c>
      <c r="AN738" s="973"/>
      <c r="AO738" s="974"/>
      <c r="AX738" s="62" t="s">
        <v>701</v>
      </c>
      <c r="AY738" s="451">
        <f>SUM(AY703:AY737)</f>
        <v>38</v>
      </c>
      <c r="AZ738" s="452">
        <f>SUM(AZ703:AZ737)</f>
        <v>0.99999999999999989</v>
      </c>
      <c r="BA738" s="452">
        <f>SUM(BA703:BA737)</f>
        <v>0.48421052631578948</v>
      </c>
      <c r="BB738" s="41"/>
      <c r="BC738" s="41"/>
      <c r="BD738" s="41"/>
      <c r="BE738" s="846">
        <f>SUM(BE703:BE737)</f>
        <v>38</v>
      </c>
      <c r="BF738" s="847">
        <f>SUM(BF703:BF737)</f>
        <v>0.99999999999999989</v>
      </c>
      <c r="BG738" s="847">
        <f>SUM(BG703:BG737)</f>
        <v>0.48418164127823893</v>
      </c>
      <c r="BJ738" s="43"/>
      <c r="BK738" s="43"/>
      <c r="BL738" s="43"/>
      <c r="BM738" s="43"/>
      <c r="BN738" s="43"/>
      <c r="BO738" s="43"/>
      <c r="BP738" s="570" t="s">
        <v>203</v>
      </c>
      <c r="BQ738" s="569">
        <v>3516</v>
      </c>
      <c r="BR738" s="569">
        <v>3768</v>
      </c>
      <c r="BS738" s="569">
        <v>4522</v>
      </c>
      <c r="BT738" s="569">
        <v>5222</v>
      </c>
      <c r="BU738" s="569">
        <v>5826</v>
      </c>
      <c r="BV738" s="569">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15" t="s">
        <v>702</v>
      </c>
      <c r="D739" s="976"/>
      <c r="E739" s="976"/>
      <c r="F739" s="976"/>
      <c r="G739" s="976"/>
      <c r="H739" s="976"/>
      <c r="I739" s="976"/>
      <c r="J739" s="976"/>
      <c r="K739" s="976"/>
      <c r="L739" s="976"/>
      <c r="M739" s="976"/>
      <c r="N739" s="976"/>
      <c r="O739" s="976"/>
      <c r="P739" s="976"/>
      <c r="Q739" s="976"/>
      <c r="R739" s="976"/>
      <c r="S739" s="976"/>
      <c r="T739" s="976"/>
      <c r="U739" s="976"/>
      <c r="V739" s="976"/>
      <c r="W739" s="976"/>
      <c r="X739" s="976"/>
      <c r="Y739" s="976"/>
      <c r="Z739" s="976"/>
      <c r="AA739" s="976"/>
      <c r="AB739" s="976"/>
      <c r="AC739" s="976"/>
      <c r="AD739" s="976"/>
      <c r="AE739" s="976"/>
      <c r="AF739" s="976"/>
      <c r="AG739" s="976"/>
      <c r="AH739" s="976"/>
      <c r="AL739" s="41"/>
      <c r="AM739" s="43"/>
      <c r="BA739" s="41"/>
      <c r="BB739" s="41"/>
      <c r="BC739" s="41"/>
      <c r="BD739" s="41"/>
      <c r="BE739" s="41"/>
      <c r="BF739" s="41"/>
      <c r="BJ739" s="41"/>
      <c r="BK739" s="41"/>
      <c r="BL739" s="41"/>
      <c r="BM739" s="41"/>
      <c r="BN739" s="41"/>
      <c r="BO739" s="41"/>
      <c r="BP739" s="570" t="s">
        <v>47</v>
      </c>
      <c r="BQ739" s="569">
        <v>3462</v>
      </c>
      <c r="BR739" s="569">
        <v>3708</v>
      </c>
      <c r="BS739" s="569">
        <v>4450</v>
      </c>
      <c r="BT739" s="569">
        <v>5142</v>
      </c>
      <c r="BU739" s="569">
        <v>5734</v>
      </c>
      <c r="BV739" s="569">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13"/>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L740" s="41"/>
      <c r="AM740" s="41"/>
      <c r="BA740" s="41"/>
      <c r="BB740" s="41"/>
      <c r="BC740" s="41"/>
      <c r="BD740" s="41"/>
      <c r="BE740" s="41"/>
      <c r="BF740" s="41"/>
      <c r="BJ740" s="41"/>
      <c r="BK740" s="41"/>
      <c r="BL740" s="41"/>
      <c r="BM740" s="41"/>
      <c r="BN740" s="41"/>
      <c r="BO740" s="41"/>
      <c r="BP740" s="570" t="s">
        <v>212</v>
      </c>
      <c r="BQ740" s="569">
        <v>1702</v>
      </c>
      <c r="BR740" s="569">
        <v>1822</v>
      </c>
      <c r="BS740" s="569">
        <v>2190</v>
      </c>
      <c r="BT740" s="569">
        <v>2530</v>
      </c>
      <c r="BU740" s="569">
        <v>2822</v>
      </c>
      <c r="BV740" s="569">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703</v>
      </c>
      <c r="D741" s="913"/>
      <c r="E741" s="913"/>
      <c r="F741" s="913"/>
      <c r="G741" s="914"/>
      <c r="H741" s="914"/>
      <c r="I741" s="914"/>
      <c r="J741" s="914"/>
      <c r="K741" s="913"/>
      <c r="L741" s="913"/>
      <c r="M741" s="913"/>
      <c r="N741" s="913"/>
      <c r="O741" s="1076">
        <f>CQ636</f>
        <v>38</v>
      </c>
      <c r="P741" s="973"/>
      <c r="Q741" s="973"/>
      <c r="R741" s="974"/>
      <c r="S741" s="915"/>
      <c r="T741" s="915"/>
      <c r="U741" s="268" t="s">
        <v>704</v>
      </c>
      <c r="V741" s="913"/>
      <c r="W741" s="913"/>
      <c r="X741" s="913"/>
      <c r="Y741" s="914"/>
      <c r="Z741" s="914"/>
      <c r="AA741" s="914"/>
      <c r="AB741" s="914"/>
      <c r="AC741" s="913"/>
      <c r="AD741" s="913"/>
      <c r="AE741" s="913"/>
      <c r="AF741" s="913"/>
      <c r="AG741" s="1203">
        <v>0</v>
      </c>
      <c r="AH741" s="1063"/>
      <c r="AI741" s="1063"/>
      <c r="AJ741" s="1064"/>
      <c r="AK741" s="41"/>
      <c r="AL741" s="41"/>
      <c r="AM741" s="41"/>
      <c r="BA741" s="41"/>
      <c r="BB741" s="41"/>
      <c r="BC741" s="41"/>
      <c r="BD741" s="41"/>
      <c r="BE741" s="41"/>
      <c r="BF741" s="41"/>
      <c r="BJ741" s="41"/>
      <c r="BK741" s="41"/>
      <c r="BL741" s="41"/>
      <c r="BM741" s="41"/>
      <c r="BN741" s="41"/>
      <c r="BO741" s="41"/>
      <c r="BP741" s="570" t="s">
        <v>218</v>
      </c>
      <c r="BQ741" s="569">
        <v>1644</v>
      </c>
      <c r="BR741" s="569">
        <v>1762</v>
      </c>
      <c r="BS741" s="569">
        <v>2114</v>
      </c>
      <c r="BT741" s="569">
        <v>2442</v>
      </c>
      <c r="BU741" s="569">
        <v>2724</v>
      </c>
      <c r="BV741" s="569">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240" t="str">
        <f>IF(G738&lt;&gt;AG441,"! Total Low-Income Units in the Unit Mix Table above does not match the number of Total Low-Income Units on row #"&amp;TEXT(ROW(AG441),"#"),"")</f>
        <v/>
      </c>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N742" s="976"/>
      <c r="BA742" s="41"/>
      <c r="BB742" s="41"/>
      <c r="BC742" s="41"/>
      <c r="BD742" s="41"/>
      <c r="BE742" s="41"/>
      <c r="BF742" s="41"/>
      <c r="BJ742" s="41"/>
      <c r="BK742" s="41"/>
      <c r="BL742" s="41"/>
      <c r="BM742" s="41"/>
      <c r="BN742" s="41"/>
      <c r="BO742" s="41"/>
      <c r="BP742" s="570" t="s">
        <v>221</v>
      </c>
      <c r="BQ742" s="569">
        <v>1644</v>
      </c>
      <c r="BR742" s="569">
        <v>1762</v>
      </c>
      <c r="BS742" s="569">
        <v>2114</v>
      </c>
      <c r="BT742" s="569">
        <v>2442</v>
      </c>
      <c r="BU742" s="569">
        <v>2724</v>
      </c>
      <c r="BV742" s="569">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13"/>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N743" s="976"/>
      <c r="BA743" s="41"/>
      <c r="BB743" s="41"/>
      <c r="BC743" s="41"/>
      <c r="BD743" s="41"/>
      <c r="BE743" s="41"/>
      <c r="BF743" s="41"/>
      <c r="BJ743" s="41"/>
      <c r="BK743" s="41"/>
      <c r="BL743" s="41"/>
      <c r="BM743" s="41"/>
      <c r="BN743" s="41"/>
      <c r="BO743" s="41"/>
      <c r="BP743" s="570" t="s">
        <v>226</v>
      </c>
      <c r="BQ743" s="569">
        <v>2404</v>
      </c>
      <c r="BR743" s="569">
        <v>2576</v>
      </c>
      <c r="BS743" s="569">
        <v>3092</v>
      </c>
      <c r="BT743" s="569">
        <v>3572</v>
      </c>
      <c r="BU743" s="569">
        <v>3984</v>
      </c>
      <c r="BV743" s="569">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6" t="s">
        <v>705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309" t="s">
        <v>155</v>
      </c>
      <c r="AA744" s="1060"/>
      <c r="AB744" s="1060"/>
      <c r="AF744" s="358"/>
      <c r="AG744" s="376"/>
      <c r="AH744" s="376"/>
      <c r="AL744" s="41"/>
      <c r="AM744" s="41"/>
      <c r="BA744" s="41"/>
      <c r="BB744" s="41"/>
      <c r="BC744" s="41"/>
      <c r="BD744" s="41"/>
      <c r="BE744" s="41"/>
      <c r="BF744" s="41"/>
      <c r="BJ744" s="41"/>
      <c r="BK744" s="41"/>
      <c r="BL744" s="41"/>
      <c r="BM744" s="41"/>
      <c r="BN744" s="41"/>
      <c r="BO744" s="41"/>
      <c r="BP744" s="570" t="s">
        <v>231</v>
      </c>
      <c r="BQ744" s="569">
        <v>2642</v>
      </c>
      <c r="BR744" s="569">
        <v>2830</v>
      </c>
      <c r="BS744" s="569">
        <v>3396</v>
      </c>
      <c r="BT744" s="569">
        <v>3926</v>
      </c>
      <c r="BU744" s="569">
        <v>4380</v>
      </c>
      <c r="BV744" s="569">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8" t="s">
        <v>706</v>
      </c>
      <c r="C745" s="1113"/>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41"/>
      <c r="BA745" s="41"/>
      <c r="BB745" s="41"/>
      <c r="BC745" s="41"/>
      <c r="BD745" s="41"/>
      <c r="BE745" s="41"/>
      <c r="BF745" s="41"/>
      <c r="BJ745" s="41"/>
      <c r="BK745" s="41"/>
      <c r="BL745" s="41"/>
      <c r="BM745" s="41"/>
      <c r="BN745" s="41"/>
      <c r="BO745" s="41"/>
      <c r="BP745" s="570" t="s">
        <v>234</v>
      </c>
      <c r="BQ745" s="569">
        <v>1724</v>
      </c>
      <c r="BR745" s="569">
        <v>1846</v>
      </c>
      <c r="BS745" s="569">
        <v>2216</v>
      </c>
      <c r="BT745" s="569">
        <v>2560</v>
      </c>
      <c r="BU745" s="569">
        <v>2856</v>
      </c>
      <c r="BV745" s="569">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76"/>
      <c r="C746" s="1113"/>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41"/>
      <c r="BE746" s="41"/>
      <c r="BF746" s="41"/>
      <c r="BJ746" s="41"/>
      <c r="BK746" s="41"/>
      <c r="BL746" s="41"/>
      <c r="BM746" s="41"/>
      <c r="BN746" s="41"/>
      <c r="BO746" s="41"/>
      <c r="BP746" s="570" t="s">
        <v>239</v>
      </c>
      <c r="BQ746" s="569">
        <v>1680</v>
      </c>
      <c r="BR746" s="569">
        <v>1800</v>
      </c>
      <c r="BS746" s="569">
        <v>2160</v>
      </c>
      <c r="BT746" s="569">
        <v>2496</v>
      </c>
      <c r="BU746" s="569">
        <v>2784</v>
      </c>
      <c r="BV746" s="569">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133</v>
      </c>
      <c r="B747" s="62"/>
      <c r="C747" s="63" t="s">
        <v>707</v>
      </c>
      <c r="D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911"/>
      <c r="AE747" s="911"/>
      <c r="AF747" s="911"/>
      <c r="AG747" s="911"/>
      <c r="AH747" s="911"/>
      <c r="AI747" s="911"/>
      <c r="AJ747" s="911"/>
      <c r="AK747" s="911"/>
      <c r="AM747" s="41"/>
      <c r="AT747" s="41"/>
      <c r="AU747" s="41"/>
      <c r="AV747" s="41"/>
      <c r="AW747" s="41"/>
      <c r="AX747" s="41"/>
      <c r="AY747" s="41"/>
      <c r="AZ747" s="41"/>
      <c r="BA747" s="41"/>
      <c r="BB747" s="41"/>
      <c r="BC747" s="41"/>
      <c r="BD747" s="41"/>
      <c r="BE747" s="41"/>
      <c r="BF747" s="41"/>
      <c r="BJ747" s="41"/>
      <c r="BK747" s="41"/>
      <c r="BL747" s="41"/>
      <c r="BM747" s="41"/>
      <c r="BN747" s="41"/>
      <c r="BO747" s="41"/>
      <c r="BP747" s="570" t="s">
        <v>243</v>
      </c>
      <c r="BQ747" s="569">
        <v>1644</v>
      </c>
      <c r="BR747" s="569">
        <v>1762</v>
      </c>
      <c r="BS747" s="569">
        <v>2114</v>
      </c>
      <c r="BT747" s="569">
        <v>2442</v>
      </c>
      <c r="BU747" s="569">
        <v>2724</v>
      </c>
      <c r="BV747" s="569">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8" t="s">
        <v>708</v>
      </c>
      <c r="D748" s="976"/>
      <c r="E748" s="976"/>
      <c r="F748" s="976"/>
      <c r="G748" s="976"/>
      <c r="H748" s="976"/>
      <c r="I748" s="976"/>
      <c r="J748" s="976"/>
      <c r="K748" s="976"/>
      <c r="L748" s="976"/>
      <c r="M748" s="976"/>
      <c r="N748" s="976"/>
      <c r="O748" s="976"/>
      <c r="P748" s="976"/>
      <c r="Q748" s="976"/>
      <c r="R748" s="976"/>
      <c r="S748" s="976"/>
      <c r="T748" s="976"/>
      <c r="U748" s="976"/>
      <c r="V748" s="976"/>
      <c r="W748" s="976"/>
      <c r="X748" s="976"/>
      <c r="Y748" s="976"/>
      <c r="Z748" s="976"/>
      <c r="AA748" s="976"/>
      <c r="AB748" s="976"/>
      <c r="AC748" s="976"/>
      <c r="AD748" s="976"/>
      <c r="AE748" s="976"/>
      <c r="AF748" s="976"/>
      <c r="AG748" s="976"/>
      <c r="AH748" s="976"/>
      <c r="AI748" s="976"/>
      <c r="AJ748" s="976"/>
      <c r="AK748" s="976"/>
      <c r="AL748" s="976"/>
      <c r="AM748" s="976"/>
      <c r="AT748" s="41"/>
      <c r="AU748" s="41"/>
      <c r="AV748" s="41"/>
      <c r="AW748" s="41"/>
      <c r="AX748" s="41"/>
      <c r="AY748" s="41"/>
      <c r="AZ748" s="41"/>
      <c r="BA748" s="41"/>
      <c r="BB748" s="41"/>
      <c r="BC748" s="41"/>
      <c r="BD748" s="41"/>
      <c r="BE748" s="41"/>
      <c r="BF748" s="41"/>
      <c r="BJ748" s="41"/>
      <c r="BK748" s="41"/>
      <c r="BL748" s="41"/>
      <c r="BM748" s="41"/>
      <c r="BN748" s="41"/>
      <c r="BO748" s="41"/>
      <c r="BP748" s="570" t="s">
        <v>246</v>
      </c>
      <c r="BQ748" s="569">
        <v>1644</v>
      </c>
      <c r="BR748" s="569">
        <v>1762</v>
      </c>
      <c r="BS748" s="569">
        <v>2114</v>
      </c>
      <c r="BT748" s="569">
        <v>2442</v>
      </c>
      <c r="BU748" s="569">
        <v>2724</v>
      </c>
      <c r="BV748" s="569">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113"/>
      <c r="D749" s="976"/>
      <c r="E749" s="976"/>
      <c r="F749" s="976"/>
      <c r="G749" s="976"/>
      <c r="H749" s="976"/>
      <c r="I749" s="976"/>
      <c r="J749" s="976"/>
      <c r="K749" s="976"/>
      <c r="L749" s="976"/>
      <c r="M749" s="976"/>
      <c r="N749" s="976"/>
      <c r="O749" s="976"/>
      <c r="P749" s="976"/>
      <c r="Q749" s="976"/>
      <c r="R749" s="976"/>
      <c r="S749" s="976"/>
      <c r="T749" s="976"/>
      <c r="U749" s="976"/>
      <c r="V749" s="976"/>
      <c r="W749" s="976"/>
      <c r="X749" s="976"/>
      <c r="Y749" s="976"/>
      <c r="Z749" s="976"/>
      <c r="AA749" s="976"/>
      <c r="AB749" s="976"/>
      <c r="AC749" s="976"/>
      <c r="AD749" s="976"/>
      <c r="AE749" s="976"/>
      <c r="AF749" s="976"/>
      <c r="AG749" s="976"/>
      <c r="AH749" s="976"/>
      <c r="AI749" s="976"/>
      <c r="AJ749" s="976"/>
      <c r="AK749" s="976"/>
      <c r="AL749" s="976"/>
      <c r="AM749" s="976"/>
      <c r="AT749" s="41"/>
      <c r="AU749" s="41"/>
      <c r="AV749" s="41"/>
      <c r="AW749" s="41"/>
      <c r="AX749" s="41"/>
      <c r="AY749" s="41"/>
      <c r="AZ749" s="41"/>
      <c r="BA749" s="41"/>
      <c r="BB749" s="41"/>
      <c r="BC749" s="41"/>
      <c r="BD749" s="41"/>
      <c r="BE749" s="41"/>
      <c r="BF749" s="41"/>
      <c r="BJ749" s="41"/>
      <c r="BK749" s="41"/>
      <c r="BL749" s="41"/>
      <c r="BM749" s="41"/>
      <c r="BN749" s="41"/>
      <c r="BO749" s="41"/>
      <c r="BP749" s="570" t="s">
        <v>251</v>
      </c>
      <c r="BQ749" s="569">
        <v>1644</v>
      </c>
      <c r="BR749" s="569">
        <v>1762</v>
      </c>
      <c r="BS749" s="569">
        <v>2114</v>
      </c>
      <c r="BT749" s="569">
        <v>2442</v>
      </c>
      <c r="BU749" s="569">
        <v>2724</v>
      </c>
      <c r="BV749" s="569">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113"/>
      <c r="D750" s="976"/>
      <c r="E750" s="976"/>
      <c r="F750" s="976"/>
      <c r="G750" s="976"/>
      <c r="H750" s="976"/>
      <c r="I750" s="976"/>
      <c r="J750" s="976"/>
      <c r="K750" s="976"/>
      <c r="L750" s="976"/>
      <c r="M750" s="976"/>
      <c r="N750" s="976"/>
      <c r="O750" s="976"/>
      <c r="P750" s="976"/>
      <c r="Q750" s="976"/>
      <c r="R750" s="976"/>
      <c r="S750" s="976"/>
      <c r="T750" s="976"/>
      <c r="U750" s="976"/>
      <c r="V750" s="976"/>
      <c r="W750" s="976"/>
      <c r="X750" s="976"/>
      <c r="Y750" s="976"/>
      <c r="Z750" s="976"/>
      <c r="AA750" s="976"/>
      <c r="AB750" s="976"/>
      <c r="AC750" s="976"/>
      <c r="AD750" s="976"/>
      <c r="AE750" s="976"/>
      <c r="AF750" s="976"/>
      <c r="AG750" s="976"/>
      <c r="AH750" s="976"/>
      <c r="AI750" s="976"/>
      <c r="AJ750" s="976"/>
      <c r="AK750" s="976"/>
      <c r="AL750" s="976"/>
      <c r="AM750" s="976"/>
      <c r="AT750" s="41"/>
      <c r="AU750" s="41"/>
      <c r="AV750" s="41"/>
      <c r="AW750" s="41"/>
      <c r="AX750" s="41"/>
      <c r="AY750" s="41"/>
      <c r="AZ750" s="41"/>
      <c r="BA750" s="41"/>
      <c r="BB750" s="41"/>
      <c r="BC750" s="41"/>
      <c r="BD750" s="41"/>
      <c r="BE750" s="41"/>
      <c r="BF750" s="41"/>
      <c r="BJ750" s="41"/>
      <c r="BK750" s="41"/>
      <c r="BL750" s="41"/>
      <c r="BM750" s="41"/>
      <c r="BN750" s="41"/>
      <c r="BO750" s="41"/>
      <c r="BP750" s="570" t="s">
        <v>253</v>
      </c>
      <c r="BQ750" s="569">
        <v>1780</v>
      </c>
      <c r="BR750" s="569">
        <v>1906</v>
      </c>
      <c r="BS750" s="569">
        <v>2286</v>
      </c>
      <c r="BT750" s="569">
        <v>2642</v>
      </c>
      <c r="BU750" s="569">
        <v>2946</v>
      </c>
      <c r="BV750" s="569">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113"/>
      <c r="D751" s="976"/>
      <c r="E751" s="976"/>
      <c r="F751" s="976"/>
      <c r="G751" s="976"/>
      <c r="H751" s="976"/>
      <c r="I751" s="976"/>
      <c r="J751" s="976"/>
      <c r="K751" s="976"/>
      <c r="L751" s="976"/>
      <c r="M751" s="976"/>
      <c r="N751" s="976"/>
      <c r="O751" s="976"/>
      <c r="P751" s="976"/>
      <c r="Q751" s="976"/>
      <c r="R751" s="976"/>
      <c r="S751" s="976"/>
      <c r="T751" s="976"/>
      <c r="U751" s="976"/>
      <c r="V751" s="976"/>
      <c r="W751" s="976"/>
      <c r="X751" s="976"/>
      <c r="Y751" s="976"/>
      <c r="Z751" s="976"/>
      <c r="AA751" s="976"/>
      <c r="AB751" s="976"/>
      <c r="AC751" s="976"/>
      <c r="AD751" s="976"/>
      <c r="AE751" s="976"/>
      <c r="AF751" s="976"/>
      <c r="AG751" s="976"/>
      <c r="AH751" s="976"/>
      <c r="AI751" s="976"/>
      <c r="AJ751" s="976"/>
      <c r="AK751" s="976"/>
      <c r="AL751" s="976"/>
      <c r="AM751" s="976"/>
      <c r="AT751" s="41"/>
      <c r="AU751" s="41"/>
      <c r="AV751" s="41"/>
      <c r="AW751" s="41"/>
      <c r="AX751" s="41"/>
      <c r="AY751" s="41"/>
      <c r="AZ751" s="41"/>
      <c r="BA751" s="41"/>
      <c r="BB751" s="41"/>
      <c r="BC751" s="41"/>
      <c r="BD751" s="41"/>
      <c r="BE751" s="41"/>
      <c r="BF751" s="41"/>
      <c r="BJ751" s="41"/>
      <c r="BK751" s="41"/>
      <c r="BL751" s="41"/>
      <c r="BM751" s="41"/>
      <c r="BN751" s="41"/>
      <c r="BO751" s="41"/>
      <c r="BP751" s="570" t="s">
        <v>255</v>
      </c>
      <c r="BQ751" s="569">
        <v>2620</v>
      </c>
      <c r="BR751" s="569">
        <v>2806</v>
      </c>
      <c r="BS751" s="569">
        <v>3370</v>
      </c>
      <c r="BT751" s="569">
        <v>3892</v>
      </c>
      <c r="BU751" s="569">
        <v>4342</v>
      </c>
      <c r="BV751" s="569">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113"/>
      <c r="D752" s="976"/>
      <c r="E752" s="976"/>
      <c r="F752" s="976"/>
      <c r="G752" s="976"/>
      <c r="H752" s="976"/>
      <c r="I752" s="976"/>
      <c r="J752" s="976"/>
      <c r="K752" s="976"/>
      <c r="L752" s="976"/>
      <c r="M752" s="976"/>
      <c r="N752" s="976"/>
      <c r="O752" s="976"/>
      <c r="P752" s="976"/>
      <c r="Q752" s="976"/>
      <c r="R752" s="976"/>
      <c r="S752" s="976"/>
      <c r="T752" s="976"/>
      <c r="U752" s="976"/>
      <c r="V752" s="976"/>
      <c r="W752" s="976"/>
      <c r="X752" s="976"/>
      <c r="Y752" s="976"/>
      <c r="Z752" s="976"/>
      <c r="AA752" s="976"/>
      <c r="AB752" s="976"/>
      <c r="AC752" s="976"/>
      <c r="AD752" s="976"/>
      <c r="AE752" s="976"/>
      <c r="AF752" s="976"/>
      <c r="AG752" s="976"/>
      <c r="AH752" s="976"/>
      <c r="AI752" s="976"/>
      <c r="AJ752" s="976"/>
      <c r="AK752" s="976"/>
      <c r="AL752" s="976"/>
      <c r="AM752" s="976"/>
      <c r="AT752" s="41"/>
      <c r="AU752" s="41"/>
      <c r="AV752" s="41"/>
      <c r="AW752" s="41"/>
      <c r="AX752" s="41"/>
      <c r="AY752" s="41"/>
      <c r="AZ752" s="41"/>
      <c r="BA752" s="41"/>
      <c r="BB752" s="41"/>
      <c r="BC752" s="41"/>
      <c r="BD752" s="41"/>
      <c r="BE752" s="41"/>
      <c r="BF752" s="41"/>
      <c r="BJ752" s="41"/>
      <c r="BK752" s="41"/>
      <c r="BL752" s="41"/>
      <c r="BM752" s="41"/>
      <c r="BN752" s="41"/>
      <c r="BO752" s="41"/>
      <c r="BP752" s="570" t="s">
        <v>261</v>
      </c>
      <c r="BQ752" s="569">
        <v>2204</v>
      </c>
      <c r="BR752" s="569">
        <v>2362</v>
      </c>
      <c r="BS752" s="569">
        <v>2832</v>
      </c>
      <c r="BT752" s="569">
        <v>3272</v>
      </c>
      <c r="BU752" s="569">
        <v>3652</v>
      </c>
      <c r="BV752" s="569">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113"/>
      <c r="D753" s="976"/>
      <c r="E753" s="976"/>
      <c r="F753" s="976"/>
      <c r="G753" s="976"/>
      <c r="H753" s="976"/>
      <c r="I753" s="976"/>
      <c r="J753" s="976"/>
      <c r="K753" s="976"/>
      <c r="L753" s="976"/>
      <c r="M753" s="976"/>
      <c r="N753" s="976"/>
      <c r="O753" s="976"/>
      <c r="P753" s="976"/>
      <c r="Q753" s="976"/>
      <c r="R753" s="976"/>
      <c r="S753" s="976"/>
      <c r="T753" s="976"/>
      <c r="U753" s="976"/>
      <c r="V753" s="976"/>
      <c r="W753" s="976"/>
      <c r="X753" s="976"/>
      <c r="Y753" s="976"/>
      <c r="Z753" s="976"/>
      <c r="AA753" s="976"/>
      <c r="AB753" s="976"/>
      <c r="AC753" s="976"/>
      <c r="AD753" s="976"/>
      <c r="AE753" s="976"/>
      <c r="AF753" s="976"/>
      <c r="AG753" s="976"/>
      <c r="AH753" s="976"/>
      <c r="AI753" s="976"/>
      <c r="AJ753" s="976"/>
      <c r="AK753" s="976"/>
      <c r="AL753" s="976"/>
      <c r="AM753" s="976"/>
      <c r="AT753" s="41"/>
      <c r="AU753" s="41"/>
      <c r="AV753" s="41"/>
      <c r="AW753" s="41"/>
      <c r="AX753" s="41"/>
      <c r="AY753" s="41"/>
      <c r="AZ753" s="41"/>
      <c r="BA753" s="41"/>
      <c r="BB753" s="41"/>
      <c r="BC753" s="41"/>
      <c r="BD753" s="41"/>
      <c r="BE753" s="41"/>
      <c r="BF753" s="41"/>
      <c r="BJ753" s="41"/>
      <c r="BK753" s="41"/>
      <c r="BL753" s="41"/>
      <c r="BM753" s="41"/>
      <c r="BN753" s="41"/>
      <c r="BO753" s="41"/>
      <c r="BP753" s="570" t="s">
        <v>265</v>
      </c>
      <c r="BQ753" s="569">
        <v>1680</v>
      </c>
      <c r="BR753" s="569">
        <v>1800</v>
      </c>
      <c r="BS753" s="569">
        <v>2160</v>
      </c>
      <c r="BT753" s="569">
        <v>2496</v>
      </c>
      <c r="BU753" s="569">
        <v>2784</v>
      </c>
      <c r="BV753" s="569">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113"/>
      <c r="D754" s="976"/>
      <c r="E754" s="976"/>
      <c r="F754" s="976"/>
      <c r="G754" s="976"/>
      <c r="H754" s="976"/>
      <c r="I754" s="976"/>
      <c r="J754" s="976"/>
      <c r="K754" s="976"/>
      <c r="L754" s="976"/>
      <c r="M754" s="976"/>
      <c r="N754" s="976"/>
      <c r="O754" s="976"/>
      <c r="P754" s="976"/>
      <c r="Q754" s="976"/>
      <c r="R754" s="976"/>
      <c r="S754" s="976"/>
      <c r="T754" s="976"/>
      <c r="U754" s="976"/>
      <c r="V754" s="976"/>
      <c r="W754" s="976"/>
      <c r="X754" s="976"/>
      <c r="Y754" s="976"/>
      <c r="Z754" s="976"/>
      <c r="AA754" s="976"/>
      <c r="AB754" s="976"/>
      <c r="AC754" s="976"/>
      <c r="AD754" s="976"/>
      <c r="AE754" s="976"/>
      <c r="AF754" s="976"/>
      <c r="AG754" s="976"/>
      <c r="AH754" s="976"/>
      <c r="AI754" s="976"/>
      <c r="AJ754" s="976"/>
      <c r="AK754" s="976"/>
      <c r="AL754" s="976"/>
      <c r="AM754" s="97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113"/>
      <c r="D755" s="976"/>
      <c r="E755" s="976"/>
      <c r="F755" s="976"/>
      <c r="G755" s="976"/>
      <c r="H755" s="976"/>
      <c r="I755" s="976"/>
      <c r="J755" s="976"/>
      <c r="K755" s="976"/>
      <c r="L755" s="976"/>
      <c r="M755" s="976"/>
      <c r="N755" s="976"/>
      <c r="O755" s="976"/>
      <c r="P755" s="976"/>
      <c r="Q755" s="976"/>
      <c r="R755" s="976"/>
      <c r="S755" s="976"/>
      <c r="T755" s="976"/>
      <c r="U755" s="976"/>
      <c r="V755" s="976"/>
      <c r="W755" s="976"/>
      <c r="X755" s="976"/>
      <c r="Y755" s="976"/>
      <c r="Z755" s="976"/>
      <c r="AA755" s="976"/>
      <c r="AB755" s="976"/>
      <c r="AC755" s="976"/>
      <c r="AD755" s="976"/>
      <c r="AE755" s="976"/>
      <c r="AF755" s="976"/>
      <c r="AG755" s="976"/>
      <c r="AH755" s="976"/>
      <c r="AI755" s="976"/>
      <c r="AJ755" s="976"/>
      <c r="AK755" s="976"/>
      <c r="AL755" s="976"/>
      <c r="AM755" s="97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16" t="s">
        <v>683</v>
      </c>
      <c r="K756" s="1073"/>
      <c r="L756" s="1073"/>
      <c r="M756" s="1073"/>
      <c r="N756" s="1074"/>
      <c r="O756" s="1116" t="s">
        <v>684</v>
      </c>
      <c r="P756" s="1073"/>
      <c r="Q756" s="1073"/>
      <c r="R756" s="1073"/>
      <c r="S756" s="1074"/>
      <c r="T756" s="1210" t="s">
        <v>685</v>
      </c>
      <c r="U756" s="1073"/>
      <c r="V756" s="1073"/>
      <c r="W756" s="1074"/>
      <c r="X756" s="1116" t="s">
        <v>686</v>
      </c>
      <c r="Y756" s="1073"/>
      <c r="Z756" s="1073"/>
      <c r="AA756" s="1073"/>
      <c r="AB756" s="1074"/>
      <c r="AC756" s="1116" t="s">
        <v>687</v>
      </c>
      <c r="AD756" s="1073"/>
      <c r="AE756" s="1073"/>
      <c r="AF756" s="1073"/>
      <c r="AG756" s="107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091"/>
      <c r="K757" s="976"/>
      <c r="L757" s="976"/>
      <c r="M757" s="976"/>
      <c r="N757" s="977"/>
      <c r="O757" s="1091"/>
      <c r="P757" s="976"/>
      <c r="Q757" s="976"/>
      <c r="R757" s="976"/>
      <c r="S757" s="977"/>
      <c r="T757" s="1091"/>
      <c r="U757" s="976"/>
      <c r="V757" s="976"/>
      <c r="W757" s="977"/>
      <c r="X757" s="1091"/>
      <c r="Y757" s="976"/>
      <c r="Z757" s="976"/>
      <c r="AA757" s="976"/>
      <c r="AB757" s="977"/>
      <c r="AC757" s="1091"/>
      <c r="AD757" s="976"/>
      <c r="AE757" s="976"/>
      <c r="AF757" s="976"/>
      <c r="AG757" s="97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091"/>
      <c r="K758" s="976"/>
      <c r="L758" s="976"/>
      <c r="M758" s="976"/>
      <c r="N758" s="977"/>
      <c r="O758" s="1091"/>
      <c r="P758" s="976"/>
      <c r="Q758" s="976"/>
      <c r="R758" s="976"/>
      <c r="S758" s="977"/>
      <c r="T758" s="1091"/>
      <c r="U758" s="976"/>
      <c r="V758" s="976"/>
      <c r="W758" s="977"/>
      <c r="X758" s="1091"/>
      <c r="Y758" s="976"/>
      <c r="Z758" s="976"/>
      <c r="AA758" s="976"/>
      <c r="AB758" s="977"/>
      <c r="AC758" s="1091"/>
      <c r="AD758" s="976"/>
      <c r="AE758" s="976"/>
      <c r="AF758" s="976"/>
      <c r="AG758" s="977"/>
      <c r="AM758" s="41"/>
      <c r="AN758" s="41"/>
      <c r="AO758" s="41"/>
      <c r="AP758" s="41"/>
      <c r="AQ758" s="41"/>
      <c r="AR758" s="41"/>
      <c r="AS758" s="41"/>
      <c r="AT758" s="41"/>
      <c r="AU758" s="41"/>
      <c r="AV758" s="41"/>
      <c r="AW758" s="41"/>
      <c r="AX758" s="41"/>
      <c r="AY758" s="41"/>
      <c r="AZ758" s="41"/>
      <c r="BA758" s="41"/>
      <c r="BB758" s="41"/>
      <c r="BC758" s="41"/>
      <c r="BD758" s="41"/>
      <c r="BE758" s="912"/>
      <c r="BF758" s="912"/>
      <c r="BG758" s="912"/>
      <c r="BH758" s="912"/>
      <c r="BI758" s="912"/>
      <c r="BJ758" s="912"/>
      <c r="BK758" s="912"/>
      <c r="BL758" s="912"/>
      <c r="BM758" s="912"/>
      <c r="BN758" s="912"/>
      <c r="BO758" s="912"/>
      <c r="BP758" s="912"/>
      <c r="BQ758" s="912"/>
      <c r="BR758" s="912"/>
      <c r="BS758" s="912"/>
      <c r="BT758" s="912"/>
      <c r="BU758" s="912"/>
      <c r="BV758" s="912"/>
      <c r="BW758" s="912"/>
      <c r="BX758" s="912"/>
      <c r="BY758" s="912"/>
      <c r="BZ758" s="912"/>
      <c r="CA758" s="912"/>
      <c r="CB758" s="912"/>
      <c r="CC758" s="912"/>
      <c r="CD758" s="912"/>
      <c r="CE758" s="912"/>
      <c r="CF758" s="912"/>
      <c r="CG758" s="912"/>
      <c r="CH758" s="912"/>
      <c r="CI758" s="912"/>
      <c r="CJ758" s="912"/>
      <c r="CK758" s="912"/>
      <c r="CL758" s="41"/>
      <c r="CM758" s="41"/>
      <c r="CN758" s="41"/>
      <c r="CO758" s="41"/>
      <c r="CP758" s="41"/>
      <c r="CQ758" s="41"/>
      <c r="CR758" s="41"/>
      <c r="CS758" s="41"/>
    </row>
    <row r="759" spans="1:97" ht="12.95" customHeight="1">
      <c r="J759" s="1092"/>
      <c r="K759" s="1093"/>
      <c r="L759" s="1093"/>
      <c r="M759" s="1093"/>
      <c r="N759" s="1094"/>
      <c r="O759" s="1092"/>
      <c r="P759" s="1093"/>
      <c r="Q759" s="1093"/>
      <c r="R759" s="1093"/>
      <c r="S759" s="1094"/>
      <c r="T759" s="1092"/>
      <c r="U759" s="1093"/>
      <c r="V759" s="1093"/>
      <c r="W759" s="1094"/>
      <c r="X759" s="1092"/>
      <c r="Y759" s="1093"/>
      <c r="Z759" s="1093"/>
      <c r="AA759" s="1093"/>
      <c r="AB759" s="1094"/>
      <c r="AC759" s="1092"/>
      <c r="AD759" s="1093"/>
      <c r="AE759" s="1093"/>
      <c r="AF759" s="1093"/>
      <c r="AG759" s="1094"/>
      <c r="AM759" s="41"/>
      <c r="AN759" s="41"/>
      <c r="AO759" s="41"/>
      <c r="AP759" s="41"/>
      <c r="AQ759" s="41"/>
      <c r="AR759" s="41"/>
      <c r="AS759" s="41"/>
      <c r="AT759" s="41"/>
      <c r="AU759" s="41"/>
      <c r="AV759" s="41"/>
      <c r="AW759" s="41"/>
      <c r="AX759" s="41"/>
      <c r="AY759" s="41"/>
      <c r="AZ759" s="41"/>
      <c r="BA759" s="41"/>
      <c r="BB759" s="41"/>
      <c r="BC759" s="41"/>
      <c r="BD759" s="41"/>
      <c r="BE759" s="912"/>
      <c r="BF759" s="912"/>
      <c r="BG759" s="912"/>
      <c r="BH759" s="912"/>
      <c r="BI759" s="912"/>
      <c r="BJ759" s="912"/>
      <c r="BK759" s="912"/>
      <c r="BL759" s="912"/>
      <c r="BM759" s="912"/>
      <c r="BN759" s="912"/>
      <c r="BO759" s="912"/>
      <c r="BP759" s="912"/>
      <c r="BQ759" s="912"/>
      <c r="BR759" s="912"/>
      <c r="BS759" s="912"/>
      <c r="BT759" s="912"/>
      <c r="BU759" s="912"/>
      <c r="BV759" s="912"/>
      <c r="BW759" s="912"/>
      <c r="BX759" s="912"/>
      <c r="BY759" s="912"/>
      <c r="BZ759" s="912"/>
      <c r="CA759" s="912"/>
      <c r="CB759" s="912"/>
      <c r="CC759" s="912"/>
      <c r="CD759" s="912"/>
      <c r="CE759" s="912"/>
      <c r="CF759" s="912"/>
      <c r="CG759" s="912"/>
      <c r="CH759" s="912"/>
      <c r="CI759" s="912"/>
      <c r="CJ759" s="912"/>
      <c r="CK759" s="912"/>
      <c r="CL759" s="41"/>
      <c r="CM759" s="41"/>
      <c r="CN759" s="41"/>
      <c r="CO759" s="41"/>
      <c r="CP759" s="41"/>
      <c r="CQ759" s="41"/>
      <c r="CR759" s="41"/>
      <c r="CS759" s="41"/>
    </row>
    <row r="760" spans="1:97" ht="12.95" customHeight="1">
      <c r="J760" s="1085" t="s">
        <v>651</v>
      </c>
      <c r="K760" s="1063"/>
      <c r="L760" s="1063"/>
      <c r="M760" s="1063"/>
      <c r="N760" s="1064"/>
      <c r="O760" s="1078">
        <v>1</v>
      </c>
      <c r="P760" s="1063"/>
      <c r="Q760" s="1063"/>
      <c r="R760" s="1063"/>
      <c r="S760" s="1064"/>
      <c r="T760" s="1102">
        <v>486</v>
      </c>
      <c r="U760" s="1063"/>
      <c r="V760" s="1063"/>
      <c r="W760" s="1064"/>
      <c r="X760" s="1071"/>
      <c r="Y760" s="1063"/>
      <c r="Z760" s="1063"/>
      <c r="AA760" s="1063"/>
      <c r="AB760" s="1064"/>
      <c r="AC760" s="1108">
        <f>X760*O760</f>
        <v>0</v>
      </c>
      <c r="AD760" s="973"/>
      <c r="AE760" s="973"/>
      <c r="AF760" s="973"/>
      <c r="AG760" s="97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085"/>
      <c r="K761" s="1063"/>
      <c r="L761" s="1063"/>
      <c r="M761" s="1063"/>
      <c r="N761" s="1064"/>
      <c r="O761" s="1078"/>
      <c r="P761" s="1063"/>
      <c r="Q761" s="1063"/>
      <c r="R761" s="1063"/>
      <c r="S761" s="1064"/>
      <c r="T761" s="1102"/>
      <c r="U761" s="1063"/>
      <c r="V761" s="1063"/>
      <c r="W761" s="1064"/>
      <c r="X761" s="1071"/>
      <c r="Y761" s="1063"/>
      <c r="Z761" s="1063"/>
      <c r="AA761" s="1063"/>
      <c r="AB761" s="1064"/>
      <c r="AC761" s="1108">
        <f>X761*O761</f>
        <v>0</v>
      </c>
      <c r="AD761" s="973"/>
      <c r="AE761" s="973"/>
      <c r="AF761" s="973"/>
      <c r="AG761" s="97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5"/>
      <c r="K762" s="1063"/>
      <c r="L762" s="1063"/>
      <c r="M762" s="1063"/>
      <c r="N762" s="1064"/>
      <c r="O762" s="1078"/>
      <c r="P762" s="1063"/>
      <c r="Q762" s="1063"/>
      <c r="R762" s="1063"/>
      <c r="S762" s="1064"/>
      <c r="T762" s="1102"/>
      <c r="U762" s="1063"/>
      <c r="V762" s="1063"/>
      <c r="W762" s="1064"/>
      <c r="X762" s="1071"/>
      <c r="Y762" s="1063"/>
      <c r="Z762" s="1063"/>
      <c r="AA762" s="1063"/>
      <c r="AB762" s="1064"/>
      <c r="AC762" s="1108">
        <f>X762*O762</f>
        <v>0</v>
      </c>
      <c r="AD762" s="973"/>
      <c r="AE762" s="973"/>
      <c r="AF762" s="973"/>
      <c r="AG762" s="97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085"/>
      <c r="K763" s="1063"/>
      <c r="L763" s="1063"/>
      <c r="M763" s="1063"/>
      <c r="N763" s="1064"/>
      <c r="O763" s="1078"/>
      <c r="P763" s="1063"/>
      <c r="Q763" s="1063"/>
      <c r="R763" s="1063"/>
      <c r="S763" s="1064"/>
      <c r="T763" s="1102"/>
      <c r="U763" s="1063"/>
      <c r="V763" s="1063"/>
      <c r="W763" s="1064"/>
      <c r="X763" s="1071"/>
      <c r="Y763" s="1063"/>
      <c r="Z763" s="1063"/>
      <c r="AA763" s="1063"/>
      <c r="AB763" s="1064"/>
      <c r="AC763" s="1108">
        <f>X763*O763</f>
        <v>0</v>
      </c>
      <c r="AD763" s="973"/>
      <c r="AE763" s="973"/>
      <c r="AF763" s="973"/>
      <c r="AG763" s="9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160" t="s">
        <v>698</v>
      </c>
      <c r="K764" s="973"/>
      <c r="L764" s="973"/>
      <c r="M764" s="973"/>
      <c r="N764" s="974"/>
      <c r="O764" s="1076">
        <f>SUM(O760:S763)</f>
        <v>1</v>
      </c>
      <c r="P764" s="973"/>
      <c r="Q764" s="973"/>
      <c r="R764" s="973"/>
      <c r="S764" s="974"/>
      <c r="X764" s="1160" t="s">
        <v>699</v>
      </c>
      <c r="Y764" s="973"/>
      <c r="Z764" s="973"/>
      <c r="AA764" s="973"/>
      <c r="AB764" s="974"/>
      <c r="AC764" s="1108">
        <f>SUM(AC760:AG763)</f>
        <v>0</v>
      </c>
      <c r="AD764" s="973"/>
      <c r="AE764" s="973"/>
      <c r="AF764" s="973"/>
      <c r="AG764" s="9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37" t="s">
        <v>14</v>
      </c>
      <c r="K766" s="1060"/>
      <c r="L766" s="62"/>
      <c r="M766" s="417" t="s">
        <v>709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710</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213</v>
      </c>
      <c r="B768" s="63"/>
      <c r="C768" s="63" t="s">
        <v>711</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J770" s="1116" t="s">
        <v>683</v>
      </c>
      <c r="K770" s="1073"/>
      <c r="L770" s="1073"/>
      <c r="M770" s="1073"/>
      <c r="N770" s="1074"/>
      <c r="O770" s="1116" t="s">
        <v>684</v>
      </c>
      <c r="P770" s="1073"/>
      <c r="Q770" s="1073"/>
      <c r="R770" s="1073"/>
      <c r="S770" s="1074"/>
      <c r="T770" s="1210" t="s">
        <v>685</v>
      </c>
      <c r="U770" s="1073"/>
      <c r="V770" s="1073"/>
      <c r="W770" s="1074"/>
      <c r="X770" s="1116" t="s">
        <v>686</v>
      </c>
      <c r="Y770" s="1073"/>
      <c r="Z770" s="1073"/>
      <c r="AA770" s="1073"/>
      <c r="AB770" s="1074"/>
      <c r="AC770" s="1116" t="s">
        <v>687</v>
      </c>
      <c r="AD770" s="1073"/>
      <c r="AE770" s="1073"/>
      <c r="AF770" s="1073"/>
      <c r="AG770" s="10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J771" s="1091"/>
      <c r="K771" s="976"/>
      <c r="L771" s="976"/>
      <c r="M771" s="976"/>
      <c r="N771" s="977"/>
      <c r="O771" s="1091"/>
      <c r="P771" s="976"/>
      <c r="Q771" s="976"/>
      <c r="R771" s="976"/>
      <c r="S771" s="977"/>
      <c r="T771" s="1091"/>
      <c r="U771" s="976"/>
      <c r="V771" s="976"/>
      <c r="W771" s="977"/>
      <c r="X771" s="1091"/>
      <c r="Y771" s="976"/>
      <c r="Z771" s="976"/>
      <c r="AA771" s="976"/>
      <c r="AB771" s="977"/>
      <c r="AC771" s="1091"/>
      <c r="AD771" s="976"/>
      <c r="AE771" s="976"/>
      <c r="AF771" s="976"/>
      <c r="AG771" s="9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J772" s="1091"/>
      <c r="K772" s="976"/>
      <c r="L772" s="976"/>
      <c r="M772" s="976"/>
      <c r="N772" s="977"/>
      <c r="O772" s="1091"/>
      <c r="P772" s="976"/>
      <c r="Q772" s="976"/>
      <c r="R772" s="976"/>
      <c r="S772" s="977"/>
      <c r="T772" s="1091"/>
      <c r="U772" s="976"/>
      <c r="V772" s="976"/>
      <c r="W772" s="977"/>
      <c r="X772" s="1091"/>
      <c r="Y772" s="976"/>
      <c r="Z772" s="976"/>
      <c r="AA772" s="976"/>
      <c r="AB772" s="977"/>
      <c r="AC772" s="1091"/>
      <c r="AD772" s="976"/>
      <c r="AE772" s="976"/>
      <c r="AF772" s="976"/>
      <c r="AG772" s="9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J773" s="1092"/>
      <c r="K773" s="1093"/>
      <c r="L773" s="1093"/>
      <c r="M773" s="1093"/>
      <c r="N773" s="1094"/>
      <c r="O773" s="1092"/>
      <c r="P773" s="1093"/>
      <c r="Q773" s="1093"/>
      <c r="R773" s="1093"/>
      <c r="S773" s="1094"/>
      <c r="T773" s="1092"/>
      <c r="U773" s="1093"/>
      <c r="V773" s="1093"/>
      <c r="W773" s="1094"/>
      <c r="X773" s="1092"/>
      <c r="Y773" s="1093"/>
      <c r="Z773" s="1093"/>
      <c r="AA773" s="1093"/>
      <c r="AB773" s="1094"/>
      <c r="AC773" s="1092"/>
      <c r="AD773" s="1093"/>
      <c r="AE773" s="1093"/>
      <c r="AF773" s="1093"/>
      <c r="AG773" s="109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J774" s="1085"/>
      <c r="K774" s="1063"/>
      <c r="L774" s="1063"/>
      <c r="M774" s="1063"/>
      <c r="N774" s="1064"/>
      <c r="O774" s="1078"/>
      <c r="P774" s="1063"/>
      <c r="Q774" s="1063"/>
      <c r="R774" s="1063"/>
      <c r="S774" s="1064"/>
      <c r="T774" s="1102"/>
      <c r="U774" s="1063"/>
      <c r="V774" s="1063"/>
      <c r="W774" s="1064"/>
      <c r="X774" s="1071"/>
      <c r="Y774" s="1063"/>
      <c r="Z774" s="1063"/>
      <c r="AA774" s="1063"/>
      <c r="AB774" s="1064"/>
      <c r="AC774" s="1108">
        <f t="shared" ref="AC774:AC783" si="34">X774*O774</f>
        <v>0</v>
      </c>
      <c r="AD774" s="973"/>
      <c r="AE774" s="973"/>
      <c r="AF774" s="973"/>
      <c r="AG774" s="97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J775" s="1085"/>
      <c r="K775" s="1063"/>
      <c r="L775" s="1063"/>
      <c r="M775" s="1063"/>
      <c r="N775" s="1064"/>
      <c r="O775" s="1078"/>
      <c r="P775" s="1063"/>
      <c r="Q775" s="1063"/>
      <c r="R775" s="1063"/>
      <c r="S775" s="1064"/>
      <c r="T775" s="1102"/>
      <c r="U775" s="1063"/>
      <c r="V775" s="1063"/>
      <c r="W775" s="1064"/>
      <c r="X775" s="1071"/>
      <c r="Y775" s="1063"/>
      <c r="Z775" s="1063"/>
      <c r="AA775" s="1063"/>
      <c r="AB775" s="1064"/>
      <c r="AC775" s="1108">
        <f t="shared" si="34"/>
        <v>0</v>
      </c>
      <c r="AD775" s="973"/>
      <c r="AE775" s="973"/>
      <c r="AF775" s="973"/>
      <c r="AG775" s="97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J776" s="1085"/>
      <c r="K776" s="1063"/>
      <c r="L776" s="1063"/>
      <c r="M776" s="1063"/>
      <c r="N776" s="1064"/>
      <c r="O776" s="1078"/>
      <c r="P776" s="1063"/>
      <c r="Q776" s="1063"/>
      <c r="R776" s="1063"/>
      <c r="S776" s="1064"/>
      <c r="T776" s="1102"/>
      <c r="U776" s="1063"/>
      <c r="V776" s="1063"/>
      <c r="W776" s="1064"/>
      <c r="X776" s="1071"/>
      <c r="Y776" s="1063"/>
      <c r="Z776" s="1063"/>
      <c r="AA776" s="1063"/>
      <c r="AB776" s="1064"/>
      <c r="AC776" s="1108">
        <f t="shared" si="34"/>
        <v>0</v>
      </c>
      <c r="AD776" s="973"/>
      <c r="AE776" s="973"/>
      <c r="AF776" s="973"/>
      <c r="AG776" s="97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J777" s="1085"/>
      <c r="K777" s="1063"/>
      <c r="L777" s="1063"/>
      <c r="M777" s="1063"/>
      <c r="N777" s="1064"/>
      <c r="O777" s="1078"/>
      <c r="P777" s="1063"/>
      <c r="Q777" s="1063"/>
      <c r="R777" s="1063"/>
      <c r="S777" s="1064"/>
      <c r="T777" s="1102"/>
      <c r="U777" s="1063"/>
      <c r="V777" s="1063"/>
      <c r="W777" s="1064"/>
      <c r="X777" s="1071"/>
      <c r="Y777" s="1063"/>
      <c r="Z777" s="1063"/>
      <c r="AA777" s="1063"/>
      <c r="AB777" s="1064"/>
      <c r="AC777" s="1108">
        <f t="shared" si="34"/>
        <v>0</v>
      </c>
      <c r="AD777" s="973"/>
      <c r="AE777" s="973"/>
      <c r="AF777" s="973"/>
      <c r="AG777" s="97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J778" s="1085"/>
      <c r="K778" s="1063"/>
      <c r="L778" s="1063"/>
      <c r="M778" s="1063"/>
      <c r="N778" s="1064"/>
      <c r="O778" s="1078"/>
      <c r="P778" s="1063"/>
      <c r="Q778" s="1063"/>
      <c r="R778" s="1063"/>
      <c r="S778" s="1064"/>
      <c r="T778" s="1102"/>
      <c r="U778" s="1063"/>
      <c r="V778" s="1063"/>
      <c r="W778" s="1064"/>
      <c r="X778" s="1071"/>
      <c r="Y778" s="1063"/>
      <c r="Z778" s="1063"/>
      <c r="AA778" s="1063"/>
      <c r="AB778" s="1064"/>
      <c r="AC778" s="1108">
        <f t="shared" si="34"/>
        <v>0</v>
      </c>
      <c r="AD778" s="973"/>
      <c r="AE778" s="973"/>
      <c r="AF778" s="973"/>
      <c r="AG778" s="97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J779" s="1085"/>
      <c r="K779" s="1063"/>
      <c r="L779" s="1063"/>
      <c r="M779" s="1063"/>
      <c r="N779" s="1064"/>
      <c r="O779" s="1078"/>
      <c r="P779" s="1063"/>
      <c r="Q779" s="1063"/>
      <c r="R779" s="1063"/>
      <c r="S779" s="1064"/>
      <c r="T779" s="1102"/>
      <c r="U779" s="1063"/>
      <c r="V779" s="1063"/>
      <c r="W779" s="1064"/>
      <c r="X779" s="1071"/>
      <c r="Y779" s="1063"/>
      <c r="Z779" s="1063"/>
      <c r="AA779" s="1063"/>
      <c r="AB779" s="1064"/>
      <c r="AC779" s="1108">
        <f t="shared" si="34"/>
        <v>0</v>
      </c>
      <c r="AD779" s="973"/>
      <c r="AE779" s="973"/>
      <c r="AF779" s="973"/>
      <c r="AG779" s="97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J780" s="1085"/>
      <c r="K780" s="1063"/>
      <c r="L780" s="1063"/>
      <c r="M780" s="1063"/>
      <c r="N780" s="1064"/>
      <c r="O780" s="1078"/>
      <c r="P780" s="1063"/>
      <c r="Q780" s="1063"/>
      <c r="R780" s="1063"/>
      <c r="S780" s="1064"/>
      <c r="T780" s="1102"/>
      <c r="U780" s="1063"/>
      <c r="V780" s="1063"/>
      <c r="W780" s="1064"/>
      <c r="X780" s="1071"/>
      <c r="Y780" s="1063"/>
      <c r="Z780" s="1063"/>
      <c r="AA780" s="1063"/>
      <c r="AB780" s="1064"/>
      <c r="AC780" s="1108">
        <f t="shared" si="34"/>
        <v>0</v>
      </c>
      <c r="AD780" s="973"/>
      <c r="AE780" s="973"/>
      <c r="AF780" s="973"/>
      <c r="AG780" s="97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J781" s="1085"/>
      <c r="K781" s="1063"/>
      <c r="L781" s="1063"/>
      <c r="M781" s="1063"/>
      <c r="N781" s="1064"/>
      <c r="O781" s="1078"/>
      <c r="P781" s="1063"/>
      <c r="Q781" s="1063"/>
      <c r="R781" s="1063"/>
      <c r="S781" s="1064"/>
      <c r="T781" s="1102"/>
      <c r="U781" s="1063"/>
      <c r="V781" s="1063"/>
      <c r="W781" s="1064"/>
      <c r="X781" s="1071"/>
      <c r="Y781" s="1063"/>
      <c r="Z781" s="1063"/>
      <c r="AA781" s="1063"/>
      <c r="AB781" s="1064"/>
      <c r="AC781" s="1108">
        <f t="shared" si="34"/>
        <v>0</v>
      </c>
      <c r="AD781" s="973"/>
      <c r="AE781" s="973"/>
      <c r="AF781" s="973"/>
      <c r="AG781" s="97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J782" s="1085"/>
      <c r="K782" s="1063"/>
      <c r="L782" s="1063"/>
      <c r="M782" s="1063"/>
      <c r="N782" s="1064"/>
      <c r="O782" s="1078"/>
      <c r="P782" s="1063"/>
      <c r="Q782" s="1063"/>
      <c r="R782" s="1063"/>
      <c r="S782" s="1064"/>
      <c r="T782" s="1102"/>
      <c r="U782" s="1063"/>
      <c r="V782" s="1063"/>
      <c r="W782" s="1064"/>
      <c r="X782" s="1071"/>
      <c r="Y782" s="1063"/>
      <c r="Z782" s="1063"/>
      <c r="AA782" s="1063"/>
      <c r="AB782" s="1064"/>
      <c r="AC782" s="1108">
        <f t="shared" si="34"/>
        <v>0</v>
      </c>
      <c r="AD782" s="973"/>
      <c r="AE782" s="973"/>
      <c r="AF782" s="973"/>
      <c r="AG782" s="97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J783" s="1085"/>
      <c r="K783" s="1063"/>
      <c r="L783" s="1063"/>
      <c r="M783" s="1063"/>
      <c r="N783" s="1064"/>
      <c r="O783" s="1078"/>
      <c r="P783" s="1063"/>
      <c r="Q783" s="1063"/>
      <c r="R783" s="1063"/>
      <c r="S783" s="1064"/>
      <c r="T783" s="1102"/>
      <c r="U783" s="1063"/>
      <c r="V783" s="1063"/>
      <c r="W783" s="1064"/>
      <c r="X783" s="1071"/>
      <c r="Y783" s="1063"/>
      <c r="Z783" s="1063"/>
      <c r="AA783" s="1063"/>
      <c r="AB783" s="1064"/>
      <c r="AC783" s="1108">
        <f t="shared" si="34"/>
        <v>0</v>
      </c>
      <c r="AD783" s="973"/>
      <c r="AE783" s="973"/>
      <c r="AF783" s="973"/>
      <c r="AG783" s="97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J784" s="1160" t="s">
        <v>698</v>
      </c>
      <c r="K784" s="973"/>
      <c r="L784" s="973"/>
      <c r="M784" s="973"/>
      <c r="N784" s="974"/>
      <c r="O784" s="1076">
        <f>SUM(O774:S783)</f>
        <v>0</v>
      </c>
      <c r="P784" s="973"/>
      <c r="Q784" s="973"/>
      <c r="R784" s="973"/>
      <c r="S784" s="974"/>
      <c r="X784" s="427" t="s">
        <v>699</v>
      </c>
      <c r="Y784" s="166"/>
      <c r="Z784" s="166"/>
      <c r="AA784" s="166"/>
      <c r="AB784" s="836"/>
      <c r="AC784" s="1108">
        <f>SUM(AC774:AG783)</f>
        <v>0</v>
      </c>
      <c r="AD784" s="973"/>
      <c r="AE784" s="973"/>
      <c r="AF784" s="973"/>
      <c r="AG784" s="97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240" t="str">
        <f>IF(O784&lt;&gt;AG439,"! Total market rate units in the Unit Mix Table above does not match the number of market rate units on row #"&amp;TEXT(ROW(AG439),"#"),"")</f>
        <v/>
      </c>
      <c r="D785" s="976"/>
      <c r="E785" s="976"/>
      <c r="F785" s="976"/>
      <c r="G785" s="976"/>
      <c r="H785" s="976"/>
      <c r="I785" s="976"/>
      <c r="J785" s="976"/>
      <c r="K785" s="976"/>
      <c r="L785" s="976"/>
      <c r="M785" s="976"/>
      <c r="N785" s="976"/>
      <c r="O785" s="976"/>
      <c r="P785" s="976"/>
      <c r="Q785" s="976"/>
      <c r="R785" s="976"/>
      <c r="S785" s="976"/>
      <c r="T785" s="976"/>
      <c r="U785" s="976"/>
      <c r="V785" s="976"/>
      <c r="W785" s="976"/>
      <c r="X785" s="976"/>
      <c r="Y785" s="976"/>
      <c r="Z785" s="976"/>
      <c r="AA785" s="976"/>
      <c r="AB785" s="976"/>
      <c r="AC785" s="976"/>
      <c r="AD785" s="976"/>
      <c r="AE785" s="976"/>
      <c r="AF785" s="976"/>
      <c r="AG785" s="976"/>
      <c r="AH785" s="976"/>
      <c r="AI785" s="976"/>
      <c r="AJ785" s="976"/>
      <c r="AK785" s="976"/>
      <c r="AL785" s="976"/>
      <c r="AM785" s="976"/>
      <c r="AN785" s="97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13"/>
      <c r="D786" s="976"/>
      <c r="E786" s="976"/>
      <c r="F786" s="976"/>
      <c r="G786" s="976"/>
      <c r="H786" s="976"/>
      <c r="I786" s="976"/>
      <c r="J786" s="976"/>
      <c r="K786" s="976"/>
      <c r="L786" s="976"/>
      <c r="M786" s="976"/>
      <c r="N786" s="976"/>
      <c r="O786" s="976"/>
      <c r="P786" s="976"/>
      <c r="Q786" s="976"/>
      <c r="R786" s="976"/>
      <c r="S786" s="976"/>
      <c r="T786" s="976"/>
      <c r="U786" s="976"/>
      <c r="V786" s="976"/>
      <c r="W786" s="976"/>
      <c r="X786" s="976"/>
      <c r="Y786" s="976"/>
      <c r="Z786" s="976"/>
      <c r="AA786" s="976"/>
      <c r="AB786" s="976"/>
      <c r="AC786" s="976"/>
      <c r="AD786" s="976"/>
      <c r="AE786" s="976"/>
      <c r="AF786" s="976"/>
      <c r="AG786" s="976"/>
      <c r="AH786" s="976"/>
      <c r="AI786" s="976"/>
      <c r="AJ786" s="976"/>
      <c r="AK786" s="976"/>
      <c r="AL786" s="976"/>
      <c r="AM786" s="976"/>
      <c r="AN786" s="97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J787" s="8"/>
      <c r="K787" s="9"/>
      <c r="L787" s="9"/>
      <c r="M787" s="9"/>
      <c r="N787" s="9"/>
      <c r="O787" s="9"/>
      <c r="P787" s="9"/>
      <c r="Q787" s="9"/>
      <c r="R787" s="9"/>
      <c r="S787" s="9"/>
      <c r="T787" s="9"/>
      <c r="U787" s="9"/>
      <c r="V787" s="9"/>
      <c r="W787" s="9"/>
      <c r="X787" s="60" t="s">
        <v>712</v>
      </c>
      <c r="Y787" s="1088">
        <f>T738+AC764+AC784</f>
        <v>58073</v>
      </c>
      <c r="Z787" s="973"/>
      <c r="AA787" s="973"/>
      <c r="AB787" s="973"/>
      <c r="AC787" s="97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J788" s="53"/>
      <c r="K788" s="54"/>
      <c r="L788" s="54"/>
      <c r="M788" s="54"/>
      <c r="N788" s="54"/>
      <c r="O788" s="54"/>
      <c r="P788" s="54"/>
      <c r="Q788" s="54"/>
      <c r="R788" s="54"/>
      <c r="S788" s="54"/>
      <c r="T788" s="54"/>
      <c r="U788" s="54"/>
      <c r="V788" s="54"/>
      <c r="W788" s="54"/>
      <c r="X788" s="169" t="s">
        <v>713</v>
      </c>
      <c r="Y788" s="1088">
        <f>(T738+AC764+AC784)*12</f>
        <v>696876</v>
      </c>
      <c r="Z788" s="973"/>
      <c r="AA788" s="973"/>
      <c r="AB788" s="973"/>
      <c r="AC788" s="97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235</v>
      </c>
      <c r="B790" s="3"/>
      <c r="C790" s="3" t="s">
        <v>714</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715</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716</v>
      </c>
      <c r="I793" s="9"/>
      <c r="J793" s="9"/>
      <c r="K793" s="9"/>
      <c r="L793" s="9"/>
      <c r="M793" s="9"/>
      <c r="N793" s="9"/>
      <c r="O793" s="9"/>
      <c r="P793" s="9"/>
      <c r="Q793" s="9"/>
      <c r="R793" s="9"/>
      <c r="S793" s="9"/>
      <c r="T793" s="9"/>
      <c r="U793" s="9"/>
      <c r="V793" s="9"/>
      <c r="W793" s="9"/>
      <c r="X793" s="9"/>
      <c r="Y793" s="9"/>
      <c r="Z793" s="1244">
        <v>0</v>
      </c>
      <c r="AA793" s="1063"/>
      <c r="AB793" s="1063"/>
      <c r="AC793" s="1063"/>
      <c r="AD793" s="1063"/>
      <c r="AE793" s="106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717</v>
      </c>
      <c r="I794" s="9"/>
      <c r="J794" s="9"/>
      <c r="K794" s="9"/>
      <c r="L794" s="9"/>
      <c r="M794" s="9"/>
      <c r="N794" s="9"/>
      <c r="O794" s="9"/>
      <c r="P794" s="9"/>
      <c r="Q794" s="9"/>
      <c r="R794" s="9"/>
      <c r="S794" s="9"/>
      <c r="T794" s="9"/>
      <c r="U794" s="9"/>
      <c r="V794" s="9"/>
      <c r="W794" s="9"/>
      <c r="X794" s="9"/>
      <c r="Y794" s="9"/>
      <c r="Z794" s="1275">
        <v>0</v>
      </c>
      <c r="AA794" s="1063"/>
      <c r="AB794" s="1063"/>
      <c r="AC794" s="1063"/>
      <c r="AD794" s="1063"/>
      <c r="AE794" s="106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718</v>
      </c>
      <c r="I795" s="9"/>
      <c r="J795" s="9"/>
      <c r="K795" s="9"/>
      <c r="L795" s="9"/>
      <c r="M795" s="9"/>
      <c r="N795" s="9"/>
      <c r="O795" s="9"/>
      <c r="P795" s="9"/>
      <c r="Q795" s="9"/>
      <c r="R795" s="9"/>
      <c r="S795" s="9"/>
      <c r="T795" s="9"/>
      <c r="U795" s="9"/>
      <c r="V795" s="9"/>
      <c r="W795" s="9"/>
      <c r="X795" s="9"/>
      <c r="Y795" s="9"/>
      <c r="Z795" s="1325">
        <v>0</v>
      </c>
      <c r="AA795" s="1063"/>
      <c r="AB795" s="1063"/>
      <c r="AC795" s="1063"/>
      <c r="AD795" s="1063"/>
      <c r="AE795" s="106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719</v>
      </c>
      <c r="Z796" s="1161">
        <f>'Subsidy Contract Calculation'!I40</f>
        <v>0</v>
      </c>
      <c r="AA796" s="973"/>
      <c r="AB796" s="973"/>
      <c r="AC796" s="973"/>
      <c r="AD796" s="973"/>
      <c r="AE796" s="97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247</v>
      </c>
      <c r="B798" s="3"/>
      <c r="C798" s="3" t="s">
        <v>720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H800" s="8" t="s">
        <v>721</v>
      </c>
      <c r="I800" s="9"/>
      <c r="J800" s="9"/>
      <c r="K800" s="9"/>
      <c r="L800" s="9"/>
      <c r="M800" s="9"/>
      <c r="N800" s="9"/>
      <c r="O800" s="9"/>
      <c r="P800" s="9"/>
      <c r="Q800" s="9"/>
      <c r="R800" s="9"/>
      <c r="S800" s="9"/>
      <c r="T800" s="9"/>
      <c r="U800" s="9"/>
      <c r="V800" s="9"/>
      <c r="W800" s="9"/>
      <c r="X800" s="9"/>
      <c r="Y800" s="9"/>
      <c r="Z800" s="1069">
        <v>5928</v>
      </c>
      <c r="AA800" s="1063"/>
      <c r="AB800" s="1063"/>
      <c r="AC800" s="1063"/>
      <c r="AD800" s="1063"/>
      <c r="AE800" s="106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H801" s="8" t="s">
        <v>722</v>
      </c>
      <c r="I801" s="9"/>
      <c r="J801" s="9"/>
      <c r="K801" s="9"/>
      <c r="L801" s="9"/>
      <c r="M801" s="9"/>
      <c r="N801" s="9"/>
      <c r="O801" s="9"/>
      <c r="P801" s="9"/>
      <c r="Q801" s="9"/>
      <c r="R801" s="9"/>
      <c r="S801" s="9"/>
      <c r="T801" s="9"/>
      <c r="U801" s="9"/>
      <c r="V801" s="9"/>
      <c r="W801" s="9"/>
      <c r="X801" s="9"/>
      <c r="Y801" s="9"/>
      <c r="Z801" s="1069"/>
      <c r="AA801" s="1063"/>
      <c r="AB801" s="1063"/>
      <c r="AC801" s="1063"/>
      <c r="AD801" s="1063"/>
      <c r="AE801" s="106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H802" s="8" t="s">
        <v>723</v>
      </c>
      <c r="I802" s="9"/>
      <c r="J802" s="9"/>
      <c r="K802" s="9"/>
      <c r="L802" s="9"/>
      <c r="M802" s="9"/>
      <c r="N802" s="9"/>
      <c r="O802" s="9"/>
      <c r="P802" s="9"/>
      <c r="Q802" s="9"/>
      <c r="R802" s="9"/>
      <c r="S802" s="9"/>
      <c r="T802" s="9"/>
      <c r="U802" s="9"/>
      <c r="V802" s="9"/>
      <c r="W802" s="9"/>
      <c r="X802" s="9"/>
      <c r="Y802" s="9"/>
      <c r="Z802" s="1069"/>
      <c r="AA802" s="1063"/>
      <c r="AB802" s="1063"/>
      <c r="AC802" s="1063"/>
      <c r="AD802" s="1063"/>
      <c r="AE802" s="106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H803" s="8" t="s">
        <v>724</v>
      </c>
      <c r="I803" s="9"/>
      <c r="J803" s="9"/>
      <c r="K803" s="9"/>
      <c r="L803" s="9"/>
      <c r="M803" s="9"/>
      <c r="N803" s="9"/>
      <c r="O803" s="9"/>
      <c r="P803" s="1087" t="s">
        <v>484</v>
      </c>
      <c r="Q803" s="1063"/>
      <c r="R803" s="1063"/>
      <c r="S803" s="1063"/>
      <c r="T803" s="1063"/>
      <c r="U803" s="1063"/>
      <c r="V803" s="1063"/>
      <c r="W803" s="1063"/>
      <c r="X803" s="1063"/>
      <c r="Y803" s="1064"/>
      <c r="Z803" s="1069"/>
      <c r="AA803" s="1063"/>
      <c r="AB803" s="1063"/>
      <c r="AC803" s="1063"/>
      <c r="AD803" s="1063"/>
      <c r="AE803" s="106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H804" s="8"/>
      <c r="I804" s="9"/>
      <c r="J804" s="9"/>
      <c r="K804" s="9"/>
      <c r="L804" s="9"/>
      <c r="M804" s="9"/>
      <c r="N804" s="9"/>
      <c r="O804" s="9"/>
      <c r="P804" s="9"/>
      <c r="Q804" s="9"/>
      <c r="R804" s="9"/>
      <c r="S804" s="9"/>
      <c r="T804" s="9"/>
      <c r="U804" s="9"/>
      <c r="V804" s="9"/>
      <c r="W804" s="9"/>
      <c r="X804" s="9"/>
      <c r="Y804" s="59" t="s">
        <v>725</v>
      </c>
      <c r="Z804" s="1088">
        <f>SUM(Z800:AE803)</f>
        <v>5928</v>
      </c>
      <c r="AA804" s="973"/>
      <c r="AB804" s="973"/>
      <c r="AC804" s="973"/>
      <c r="AD804" s="973"/>
      <c r="AE804" s="97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H805" s="8"/>
      <c r="I805" s="9"/>
      <c r="J805" s="9"/>
      <c r="K805" s="9"/>
      <c r="L805" s="9"/>
      <c r="M805" s="9"/>
      <c r="N805" s="9"/>
      <c r="O805" s="9"/>
      <c r="P805" s="9"/>
      <c r="Q805" s="9"/>
      <c r="R805" s="9"/>
      <c r="S805" s="9"/>
      <c r="T805" s="9"/>
      <c r="U805" s="9"/>
      <c r="V805" s="9"/>
      <c r="W805" s="9"/>
      <c r="X805" s="9"/>
      <c r="Y805" s="59" t="s">
        <v>726</v>
      </c>
      <c r="Z805" s="1088">
        <f>Z804+Y788+Z796</f>
        <v>702804</v>
      </c>
      <c r="AA805" s="973"/>
      <c r="AB805" s="973"/>
      <c r="AC805" s="973"/>
      <c r="AD805" s="973"/>
      <c r="AE805" s="97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256</v>
      </c>
      <c r="B807" s="3"/>
      <c r="C807" s="3" t="s">
        <v>727</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728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79" t="s">
        <v>729</v>
      </c>
      <c r="N810" s="1073"/>
      <c r="O810" s="1073"/>
      <c r="P810" s="1074"/>
      <c r="Q810" s="1198" t="s">
        <v>730</v>
      </c>
      <c r="R810" s="1073"/>
      <c r="S810" s="1073"/>
      <c r="T810" s="1074"/>
      <c r="U810" s="1198" t="s">
        <v>731</v>
      </c>
      <c r="V810" s="1073"/>
      <c r="W810" s="1073"/>
      <c r="X810" s="1074"/>
      <c r="Y810" s="1198" t="s">
        <v>732</v>
      </c>
      <c r="Z810" s="1073"/>
      <c r="AA810" s="1073"/>
      <c r="AB810" s="1074"/>
      <c r="AC810" s="1198" t="s">
        <v>733</v>
      </c>
      <c r="AD810" s="1073"/>
      <c r="AE810" s="1073"/>
      <c r="AF810" s="1074"/>
      <c r="AG810" s="1098" t="s">
        <v>734</v>
      </c>
      <c r="AH810" s="1099"/>
      <c r="AI810" s="1099"/>
      <c r="AJ810" s="110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93"/>
      <c r="N811" s="1093"/>
      <c r="O811" s="1093"/>
      <c r="P811" s="1094"/>
      <c r="Q811" s="1092"/>
      <c r="R811" s="1093"/>
      <c r="S811" s="1093"/>
      <c r="T811" s="1094"/>
      <c r="U811" s="1092"/>
      <c r="V811" s="1093"/>
      <c r="W811" s="1093"/>
      <c r="X811" s="1094"/>
      <c r="Y811" s="1092"/>
      <c r="Z811" s="1093"/>
      <c r="AA811" s="1093"/>
      <c r="AB811" s="1094"/>
      <c r="AC811" s="1092"/>
      <c r="AD811" s="1093"/>
      <c r="AE811" s="1093"/>
      <c r="AF811" s="1094"/>
      <c r="AG811" s="1101"/>
      <c r="AH811" s="1060"/>
      <c r="AI811" s="1060"/>
      <c r="AJ811" s="109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63" t="s">
        <v>735</v>
      </c>
      <c r="D812" s="1093"/>
      <c r="E812" s="1093"/>
      <c r="F812" s="1093"/>
      <c r="G812" s="1093"/>
      <c r="H812" s="1093"/>
      <c r="I812" s="54"/>
      <c r="J812" s="54"/>
      <c r="K812" s="54"/>
      <c r="L812" s="55"/>
      <c r="M812" s="1070"/>
      <c r="N812" s="1063"/>
      <c r="O812" s="1063"/>
      <c r="P812" s="1064"/>
      <c r="Q812" s="1070"/>
      <c r="R812" s="1063"/>
      <c r="S812" s="1063"/>
      <c r="T812" s="1064"/>
      <c r="U812" s="1070"/>
      <c r="V812" s="1063"/>
      <c r="W812" s="1063"/>
      <c r="X812" s="1064"/>
      <c r="Y812" s="1070"/>
      <c r="Z812" s="1063"/>
      <c r="AA812" s="1063"/>
      <c r="AB812" s="1064"/>
      <c r="AC812" s="1070"/>
      <c r="AD812" s="1063"/>
      <c r="AE812" s="1063"/>
      <c r="AF812" s="1064"/>
      <c r="AG812" s="1070"/>
      <c r="AH812" s="1063"/>
      <c r="AI812" s="1063"/>
      <c r="AJ812" s="1064"/>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20" t="s">
        <v>736</v>
      </c>
      <c r="D813" s="973"/>
      <c r="E813" s="973"/>
      <c r="F813" s="973"/>
      <c r="G813" s="973"/>
      <c r="H813" s="973"/>
      <c r="I813" s="9"/>
      <c r="J813" s="9"/>
      <c r="K813" s="9"/>
      <c r="L813" s="52"/>
      <c r="M813" s="1070"/>
      <c r="N813" s="1063"/>
      <c r="O813" s="1063"/>
      <c r="P813" s="1064"/>
      <c r="Q813" s="1070"/>
      <c r="R813" s="1063"/>
      <c r="S813" s="1063"/>
      <c r="T813" s="1064"/>
      <c r="U813" s="1070"/>
      <c r="V813" s="1063"/>
      <c r="W813" s="1063"/>
      <c r="X813" s="1064"/>
      <c r="Y813" s="1070"/>
      <c r="Z813" s="1063"/>
      <c r="AA813" s="1063"/>
      <c r="AB813" s="1064"/>
      <c r="AC813" s="1070"/>
      <c r="AD813" s="1063"/>
      <c r="AE813" s="1063"/>
      <c r="AF813" s="1064"/>
      <c r="AG813" s="1070"/>
      <c r="AH813" s="1063"/>
      <c r="AI813" s="1063"/>
      <c r="AJ813" s="1064"/>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20" t="s">
        <v>737</v>
      </c>
      <c r="D814" s="973"/>
      <c r="E814" s="973"/>
      <c r="F814" s="973"/>
      <c r="G814" s="973"/>
      <c r="H814" s="973"/>
      <c r="I814" s="66"/>
      <c r="J814" s="66"/>
      <c r="K814" s="66"/>
      <c r="L814" s="67"/>
      <c r="M814" s="1070"/>
      <c r="N814" s="1063"/>
      <c r="O814" s="1063"/>
      <c r="P814" s="1064"/>
      <c r="Q814" s="1070"/>
      <c r="R814" s="1063"/>
      <c r="S814" s="1063"/>
      <c r="T814" s="1064"/>
      <c r="U814" s="1070"/>
      <c r="V814" s="1063"/>
      <c r="W814" s="1063"/>
      <c r="X814" s="1064"/>
      <c r="Y814" s="1070"/>
      <c r="Z814" s="1063"/>
      <c r="AA814" s="1063"/>
      <c r="AB814" s="1064"/>
      <c r="AC814" s="1070"/>
      <c r="AD814" s="1063"/>
      <c r="AE814" s="1063"/>
      <c r="AF814" s="1064"/>
      <c r="AG814" s="1070"/>
      <c r="AH814" s="1063"/>
      <c r="AI814" s="1063"/>
      <c r="AJ814" s="1064"/>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20" t="s">
        <v>738</v>
      </c>
      <c r="D815" s="973"/>
      <c r="E815" s="973"/>
      <c r="F815" s="973"/>
      <c r="G815" s="973"/>
      <c r="H815" s="973"/>
      <c r="I815" s="66"/>
      <c r="J815" s="66"/>
      <c r="K815" s="66"/>
      <c r="L815" s="67"/>
      <c r="M815" s="1070"/>
      <c r="N815" s="1063"/>
      <c r="O815" s="1063"/>
      <c r="P815" s="1064"/>
      <c r="Q815" s="1070"/>
      <c r="R815" s="1063"/>
      <c r="S815" s="1063"/>
      <c r="T815" s="1064"/>
      <c r="U815" s="1070"/>
      <c r="V815" s="1063"/>
      <c r="W815" s="1063"/>
      <c r="X815" s="1064"/>
      <c r="Y815" s="1070"/>
      <c r="Z815" s="1063"/>
      <c r="AA815" s="1063"/>
      <c r="AB815" s="1064"/>
      <c r="AC815" s="1070"/>
      <c r="AD815" s="1063"/>
      <c r="AE815" s="1063"/>
      <c r="AF815" s="1064"/>
      <c r="AG815" s="1070"/>
      <c r="AH815" s="1063"/>
      <c r="AI815" s="1063"/>
      <c r="AJ815" s="1064"/>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20" t="s">
        <v>739</v>
      </c>
      <c r="D816" s="973"/>
      <c r="E816" s="973"/>
      <c r="F816" s="973"/>
      <c r="G816" s="973"/>
      <c r="H816" s="973"/>
      <c r="I816" s="66"/>
      <c r="J816" s="66"/>
      <c r="K816" s="66"/>
      <c r="L816" s="67"/>
      <c r="M816" s="1070"/>
      <c r="N816" s="1063"/>
      <c r="O816" s="1063"/>
      <c r="P816" s="1064"/>
      <c r="Q816" s="1070"/>
      <c r="R816" s="1063"/>
      <c r="S816" s="1063"/>
      <c r="T816" s="1064"/>
      <c r="U816" s="1070"/>
      <c r="V816" s="1063"/>
      <c r="W816" s="1063"/>
      <c r="X816" s="1064"/>
      <c r="Y816" s="1070"/>
      <c r="Z816" s="1063"/>
      <c r="AA816" s="1063"/>
      <c r="AB816" s="1064"/>
      <c r="AC816" s="1070"/>
      <c r="AD816" s="1063"/>
      <c r="AE816" s="1063"/>
      <c r="AF816" s="1064"/>
      <c r="AG816" s="1070"/>
      <c r="AH816" s="1063"/>
      <c r="AI816" s="1063"/>
      <c r="AJ816" s="1064"/>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74" t="s">
        <v>740</v>
      </c>
      <c r="D817" s="973"/>
      <c r="E817" s="973"/>
      <c r="F817" s="973"/>
      <c r="G817" s="973"/>
      <c r="H817" s="973"/>
      <c r="I817" s="66"/>
      <c r="J817" s="66"/>
      <c r="K817" s="66"/>
      <c r="L817" s="67"/>
      <c r="M817" s="1070"/>
      <c r="N817" s="1063"/>
      <c r="O817" s="1063"/>
      <c r="P817" s="1064"/>
      <c r="Q817" s="1070"/>
      <c r="R817" s="1063"/>
      <c r="S817" s="1063"/>
      <c r="T817" s="1064"/>
      <c r="U817" s="1070"/>
      <c r="V817" s="1063"/>
      <c r="W817" s="1063"/>
      <c r="X817" s="1064"/>
      <c r="Y817" s="1070"/>
      <c r="Z817" s="1063"/>
      <c r="AA817" s="1063"/>
      <c r="AB817" s="1064"/>
      <c r="AC817" s="1070"/>
      <c r="AD817" s="1063"/>
      <c r="AE817" s="1063"/>
      <c r="AF817" s="1064"/>
      <c r="AG817" s="1070"/>
      <c r="AH817" s="1063"/>
      <c r="AI817" s="1063"/>
      <c r="AJ817" s="1064"/>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483</v>
      </c>
      <c r="D818" s="66"/>
      <c r="E818" s="66"/>
      <c r="F818" s="1318" t="s">
        <v>2459</v>
      </c>
      <c r="G818" s="1063"/>
      <c r="H818" s="1063"/>
      <c r="I818" s="1063"/>
      <c r="J818" s="1063"/>
      <c r="K818" s="1063"/>
      <c r="L818" s="1063"/>
      <c r="M818" s="1070">
        <v>148</v>
      </c>
      <c r="N818" s="1063"/>
      <c r="O818" s="1063"/>
      <c r="P818" s="1064"/>
      <c r="Q818" s="1070"/>
      <c r="R818" s="1063"/>
      <c r="S818" s="1063"/>
      <c r="T818" s="1064"/>
      <c r="U818" s="1070"/>
      <c r="V818" s="1063"/>
      <c r="W818" s="1063"/>
      <c r="X818" s="1064"/>
      <c r="Y818" s="1070"/>
      <c r="Z818" s="1063"/>
      <c r="AA818" s="1063"/>
      <c r="AB818" s="1064"/>
      <c r="AC818" s="1070"/>
      <c r="AD818" s="1063"/>
      <c r="AE818" s="1063"/>
      <c r="AF818" s="1064"/>
      <c r="AG818" s="1070"/>
      <c r="AH818" s="1063"/>
      <c r="AI818" s="1063"/>
      <c r="AJ818" s="1064"/>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60" t="s">
        <v>699</v>
      </c>
      <c r="D819" s="973"/>
      <c r="E819" s="973"/>
      <c r="F819" s="973"/>
      <c r="G819" s="973"/>
      <c r="H819" s="973"/>
      <c r="I819" s="973"/>
      <c r="J819" s="973"/>
      <c r="K819" s="973"/>
      <c r="L819" s="974"/>
      <c r="M819" s="1175">
        <f>SUM(M812:P818)</f>
        <v>148</v>
      </c>
      <c r="N819" s="973"/>
      <c r="O819" s="973"/>
      <c r="P819" s="974"/>
      <c r="Q819" s="1175">
        <f>SUM(Q812:T818)</f>
        <v>0</v>
      </c>
      <c r="R819" s="973"/>
      <c r="S819" s="973"/>
      <c r="T819" s="974"/>
      <c r="U819" s="1175">
        <f>SUM(U812:X818)</f>
        <v>0</v>
      </c>
      <c r="V819" s="973"/>
      <c r="W819" s="973"/>
      <c r="X819" s="974"/>
      <c r="Y819" s="1175">
        <f>SUM(Y812:AB818)</f>
        <v>0</v>
      </c>
      <c r="Z819" s="973"/>
      <c r="AA819" s="973"/>
      <c r="AB819" s="974"/>
      <c r="AC819" s="1175">
        <f>SUM(AC812:AF818)</f>
        <v>0</v>
      </c>
      <c r="AD819" s="973"/>
      <c r="AE819" s="973"/>
      <c r="AF819" s="974"/>
      <c r="AG819" s="1175">
        <f>SUM(AG812:AJ818)</f>
        <v>0</v>
      </c>
      <c r="AH819" s="973"/>
      <c r="AI819" s="973"/>
      <c r="AJ819" s="97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C820" s="63" t="s">
        <v>741</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row>
    <row r="821" spans="1:126" s="21" customFormat="1" ht="12.95" customHeight="1">
      <c r="C821" s="63" t="s">
        <v>742</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row>
    <row r="822" spans="1:126" s="21" customFormat="1" ht="12.95" customHeight="1">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row>
    <row r="823" spans="1:126" s="21" customFormat="1" ht="12.95" customHeight="1">
      <c r="C823" s="3" t="s">
        <v>743</v>
      </c>
      <c r="R823" s="12"/>
      <c r="S823" s="12"/>
      <c r="T823" s="12"/>
      <c r="U823" s="12"/>
      <c r="V823" s="12"/>
      <c r="W823" s="12"/>
      <c r="X823" s="12"/>
      <c r="Y823" s="12"/>
      <c r="Z823" s="12"/>
      <c r="AA823" s="12"/>
      <c r="AB823" s="12"/>
      <c r="AC823" s="12"/>
      <c r="AD823" s="12"/>
      <c r="AE823" s="12"/>
      <c r="AF823" s="12"/>
      <c r="AG823" s="12"/>
      <c r="AH823" s="12"/>
      <c r="AI823" s="12"/>
      <c r="AJ823" s="12"/>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row>
    <row r="824" spans="1:126" s="21" customFormat="1" ht="12.95" customHeight="1">
      <c r="C824" s="1134" t="s">
        <v>2443</v>
      </c>
      <c r="D824" s="1063"/>
      <c r="E824" s="1063"/>
      <c r="F824" s="1063"/>
      <c r="G824" s="1063"/>
      <c r="H824" s="1063"/>
      <c r="I824" s="1063"/>
      <c r="J824" s="1063"/>
      <c r="K824" s="1063"/>
      <c r="L824" s="1063"/>
      <c r="M824" s="1063"/>
      <c r="N824" s="1063"/>
      <c r="O824" s="1063"/>
      <c r="P824" s="1063"/>
      <c r="Q824" s="1063"/>
      <c r="R824" s="1063"/>
      <c r="S824" s="1063"/>
      <c r="T824" s="1063"/>
      <c r="U824" s="1063"/>
      <c r="V824" s="1063"/>
      <c r="W824" s="1063"/>
      <c r="X824" s="1063"/>
      <c r="Y824" s="1063"/>
      <c r="Z824" s="1063"/>
      <c r="AA824" s="1063"/>
      <c r="AB824" s="1063"/>
      <c r="AC824" s="1063"/>
      <c r="AD824" s="1063"/>
      <c r="AE824" s="1063"/>
      <c r="AF824" s="1063"/>
      <c r="AG824" s="1063"/>
      <c r="AH824" s="1063"/>
      <c r="AI824" s="1063"/>
      <c r="AJ824" s="106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row>
    <row r="825" spans="1:126" s="21" customFormat="1" ht="12.95" customHeight="1">
      <c r="C825" s="41" t="s">
        <v>744</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row>
    <row r="826" spans="1:126" s="21" customFormat="1" ht="12.95" customHeight="1">
      <c r="C826" s="3"/>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row>
    <row r="827" spans="1:126" s="21" customFormat="1" ht="12.95" customHeight="1">
      <c r="A827" s="3" t="s">
        <v>279</v>
      </c>
      <c r="C827" s="3" t="s">
        <v>745</v>
      </c>
      <c r="AM827" s="41"/>
      <c r="AN827" s="41"/>
      <c r="AO827" s="41"/>
      <c r="AP827" s="41"/>
      <c r="AQ827" s="41"/>
      <c r="AR827" s="41"/>
      <c r="AS827" s="41"/>
      <c r="AW827" s="21" t="s">
        <v>746</v>
      </c>
      <c r="BA827" s="1271" t="s">
        <v>747</v>
      </c>
      <c r="BB827" s="97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row>
    <row r="828" spans="1:126" s="21" customFormat="1" ht="12.95" customHeight="1">
      <c r="AM828" s="41"/>
      <c r="BC828" s="40"/>
      <c r="BD828" s="40"/>
      <c r="BE828" s="41"/>
      <c r="BF828" s="21" t="s">
        <v>748</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row>
    <row r="829" spans="1:126" s="21" customFormat="1" ht="12.95" customHeight="1">
      <c r="C829" s="3" t="s">
        <v>749</v>
      </c>
      <c r="J829" s="8" t="s">
        <v>750</v>
      </c>
      <c r="K829" s="9"/>
      <c r="L829" s="9"/>
      <c r="M829" s="9"/>
      <c r="N829" s="9"/>
      <c r="O829" s="9"/>
      <c r="P829" s="9"/>
      <c r="Q829" s="9"/>
      <c r="R829" s="9"/>
      <c r="S829" s="9"/>
      <c r="T829" s="9"/>
      <c r="U829" s="9"/>
      <c r="V829" s="52"/>
      <c r="W829" s="1069">
        <v>500</v>
      </c>
      <c r="X829" s="1063"/>
      <c r="Y829" s="1063"/>
      <c r="Z829" s="1063"/>
      <c r="AA829" s="1063"/>
      <c r="AB829" s="1063"/>
      <c r="AC829" s="1064"/>
      <c r="AM829" s="41"/>
      <c r="BA829" s="75" t="s">
        <v>751</v>
      </c>
      <c r="BC829" s="40"/>
      <c r="BD829" s="40"/>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row>
    <row r="830" spans="1:126" s="21" customFormat="1" ht="12.95" customHeight="1">
      <c r="J830" s="8" t="s">
        <v>752</v>
      </c>
      <c r="K830" s="9"/>
      <c r="L830" s="9"/>
      <c r="M830" s="9"/>
      <c r="N830" s="9"/>
      <c r="O830" s="9"/>
      <c r="P830" s="9"/>
      <c r="Q830" s="9"/>
      <c r="R830" s="9"/>
      <c r="S830" s="9"/>
      <c r="T830" s="9"/>
      <c r="U830" s="9"/>
      <c r="V830" s="52"/>
      <c r="W830" s="1069">
        <v>2000</v>
      </c>
      <c r="X830" s="1063"/>
      <c r="Y830" s="1063"/>
      <c r="Z830" s="1063"/>
      <c r="AA830" s="1063"/>
      <c r="AB830" s="1063"/>
      <c r="AC830" s="1064"/>
      <c r="AM830" s="38"/>
      <c r="AN830" s="38"/>
      <c r="BA830" s="75"/>
      <c r="BE830" s="40"/>
      <c r="BF830" s="40"/>
      <c r="BG830" s="40"/>
    </row>
    <row r="831" spans="1:126" s="21" customFormat="1" ht="12.95" customHeight="1">
      <c r="J831" s="8" t="s">
        <v>753</v>
      </c>
      <c r="K831" s="9"/>
      <c r="L831" s="9"/>
      <c r="M831" s="9"/>
      <c r="N831" s="9"/>
      <c r="O831" s="9"/>
      <c r="P831" s="9"/>
      <c r="Q831" s="9"/>
      <c r="R831" s="9"/>
      <c r="S831" s="9"/>
      <c r="T831" s="9"/>
      <c r="U831" s="9"/>
      <c r="V831" s="52"/>
      <c r="W831" s="1069">
        <v>7000</v>
      </c>
      <c r="X831" s="1063"/>
      <c r="Y831" s="1063"/>
      <c r="Z831" s="1063"/>
      <c r="AA831" s="1063"/>
      <c r="AB831" s="1063"/>
      <c r="AC831" s="1064"/>
      <c r="AM831" s="38"/>
      <c r="AN831" s="38"/>
      <c r="BA831" s="75" t="s">
        <v>747</v>
      </c>
      <c r="BC831" s="315"/>
      <c r="BD831" s="316"/>
      <c r="BE831" s="40"/>
      <c r="BF831" s="40"/>
      <c r="BG831" s="40"/>
    </row>
    <row r="832" spans="1:126" s="5" customFormat="1" ht="12.95" customHeight="1">
      <c r="J832" s="8" t="s">
        <v>754</v>
      </c>
      <c r="K832" s="9"/>
      <c r="L832" s="9"/>
      <c r="M832" s="9"/>
      <c r="N832" s="9"/>
      <c r="O832" s="9"/>
      <c r="P832" s="9"/>
      <c r="Q832" s="9"/>
      <c r="R832" s="9"/>
      <c r="S832" s="9"/>
      <c r="T832" s="9"/>
      <c r="U832" s="9"/>
      <c r="V832" s="52"/>
      <c r="W832" s="1069">
        <v>10500</v>
      </c>
      <c r="X832" s="1063"/>
      <c r="Y832" s="1063"/>
      <c r="Z832" s="1063"/>
      <c r="AA832" s="1063"/>
      <c r="AB832" s="1063"/>
      <c r="AC832" s="1064"/>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3:126" s="5" customFormat="1" ht="12.95" customHeight="1">
      <c r="J833" s="8" t="s">
        <v>483</v>
      </c>
      <c r="K833" s="9"/>
      <c r="L833" s="9"/>
      <c r="M833" s="1087" t="s">
        <v>484</v>
      </c>
      <c r="N833" s="1063"/>
      <c r="O833" s="1063"/>
      <c r="P833" s="1063"/>
      <c r="Q833" s="1063"/>
      <c r="R833" s="1063"/>
      <c r="S833" s="1063"/>
      <c r="T833" s="1063"/>
      <c r="U833" s="1063"/>
      <c r="V833" s="1064"/>
      <c r="W833" s="1069"/>
      <c r="X833" s="1063"/>
      <c r="Y833" s="1063"/>
      <c r="Z833" s="1063"/>
      <c r="AA833" s="1063"/>
      <c r="AB833" s="1063"/>
      <c r="AC833" s="1064"/>
      <c r="AM833" s="38"/>
      <c r="AN833" s="38"/>
      <c r="AO833" s="21"/>
      <c r="AP833" s="21"/>
      <c r="AQ833" s="21"/>
      <c r="AR833" s="21"/>
      <c r="AS833" s="21"/>
      <c r="AT833" s="21"/>
      <c r="AU833" s="21"/>
      <c r="AV833" s="21"/>
      <c r="AW833" s="21"/>
      <c r="AX833" s="21"/>
      <c r="AY833" s="21"/>
      <c r="AZ833" s="21"/>
      <c r="BA833" s="75" t="s">
        <v>751</v>
      </c>
      <c r="BB833" s="39"/>
      <c r="BE833" s="40"/>
      <c r="BF833" s="40"/>
      <c r="BG833" s="40"/>
      <c r="BH833" s="21"/>
      <c r="BI833" s="21"/>
      <c r="BJ833" s="21"/>
      <c r="BK833" s="21"/>
      <c r="BL833" s="21"/>
      <c r="BM833" s="21"/>
      <c r="BN833" s="21"/>
      <c r="BO833" s="1295" t="str">
        <f>T189</f>
        <v>Santa Cruz</v>
      </c>
      <c r="BP833" s="973"/>
      <c r="BQ833" s="973"/>
      <c r="BR833" s="973"/>
      <c r="BS833" s="973"/>
      <c r="BT833" s="973"/>
      <c r="BU833" s="97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3:126" s="5" customFormat="1" ht="12.95" customHeight="1">
      <c r="J834" s="8"/>
      <c r="K834" s="9"/>
      <c r="L834" s="9"/>
      <c r="M834" s="9"/>
      <c r="N834" s="9"/>
      <c r="O834" s="9"/>
      <c r="P834" s="9"/>
      <c r="Q834" s="9"/>
      <c r="R834" s="9"/>
      <c r="S834" s="9"/>
      <c r="T834" s="9"/>
      <c r="U834" s="9"/>
      <c r="V834" s="60" t="s">
        <v>755</v>
      </c>
      <c r="W834" s="1088">
        <f>SUM(W829:W833)</f>
        <v>20000</v>
      </c>
      <c r="X834" s="973"/>
      <c r="Y834" s="973"/>
      <c r="Z834" s="973"/>
      <c r="AA834" s="973"/>
      <c r="AB834" s="973"/>
      <c r="AC834" s="97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3:126" s="5" customFormat="1" ht="12.95" customHeight="1">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3:126" s="5" customFormat="1" ht="12.95" customHeight="1">
      <c r="C836" s="3" t="s">
        <v>756</v>
      </c>
      <c r="J836" s="1160" t="s">
        <v>757</v>
      </c>
      <c r="K836" s="973"/>
      <c r="L836" s="973"/>
      <c r="M836" s="973"/>
      <c r="N836" s="973"/>
      <c r="O836" s="973"/>
      <c r="P836" s="973"/>
      <c r="Q836" s="973"/>
      <c r="R836" s="973"/>
      <c r="S836" s="973"/>
      <c r="T836" s="973"/>
      <c r="U836" s="973"/>
      <c r="V836" s="974"/>
      <c r="W836" s="1069">
        <v>40060</v>
      </c>
      <c r="X836" s="1063"/>
      <c r="Y836" s="1063"/>
      <c r="Z836" s="1063"/>
      <c r="AA836" s="1063"/>
      <c r="AB836" s="1063"/>
      <c r="AC836" s="1064"/>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3:126" s="5" customFormat="1" ht="12.95" customHeight="1">
      <c r="AM837" s="21"/>
      <c r="AN837" s="21"/>
      <c r="AO837" s="21"/>
      <c r="AP837" s="21"/>
      <c r="AQ837" s="21"/>
      <c r="AR837" s="21"/>
      <c r="AS837" s="21"/>
      <c r="AT837" s="21"/>
      <c r="AU837" s="21"/>
      <c r="AV837" s="21"/>
      <c r="AW837" s="21"/>
      <c r="AX837" s="21"/>
      <c r="AY837" s="21"/>
      <c r="AZ837" s="21"/>
      <c r="BA837" s="21"/>
      <c r="BB837" s="39" t="s">
        <v>758</v>
      </c>
      <c r="BE837" s="40"/>
      <c r="BF837" s="40"/>
      <c r="BG837" s="40"/>
      <c r="BH837" s="21"/>
      <c r="BI837" s="39" t="s">
        <v>759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3:126" s="5" customFormat="1" ht="12.95" customHeight="1">
      <c r="C838" s="3" t="s">
        <v>760</v>
      </c>
      <c r="J838" s="8" t="s">
        <v>761</v>
      </c>
      <c r="K838" s="9"/>
      <c r="L838" s="9"/>
      <c r="M838" s="9"/>
      <c r="N838" s="9"/>
      <c r="O838" s="9"/>
      <c r="P838" s="9"/>
      <c r="Q838" s="9"/>
      <c r="R838" s="9"/>
      <c r="S838" s="9"/>
      <c r="T838" s="9"/>
      <c r="U838" s="9"/>
      <c r="V838" s="52"/>
      <c r="W838" s="1181"/>
      <c r="X838" s="1063"/>
      <c r="Y838" s="1063"/>
      <c r="Z838" s="1063"/>
      <c r="AA838" s="1063"/>
      <c r="AB838" s="1063"/>
      <c r="AC838" s="1064"/>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3:126" s="5" customFormat="1" ht="12.95" customHeight="1">
      <c r="J839" s="8" t="s">
        <v>762</v>
      </c>
      <c r="K839" s="9"/>
      <c r="L839" s="9"/>
      <c r="M839" s="9"/>
      <c r="N839" s="9"/>
      <c r="O839" s="9"/>
      <c r="P839" s="9"/>
      <c r="Q839" s="9"/>
      <c r="R839" s="9"/>
      <c r="S839" s="9"/>
      <c r="T839" s="9"/>
      <c r="U839" s="9"/>
      <c r="V839" s="52"/>
      <c r="W839" s="1181"/>
      <c r="X839" s="1063"/>
      <c r="Y839" s="1063"/>
      <c r="Z839" s="1063"/>
      <c r="AA839" s="1063"/>
      <c r="AB839" s="1063"/>
      <c r="AC839" s="1064"/>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3:126" s="5" customFormat="1" ht="12.95" customHeight="1">
      <c r="J840" s="8" t="s">
        <v>739</v>
      </c>
      <c r="K840" s="9"/>
      <c r="L840" s="9"/>
      <c r="M840" s="9"/>
      <c r="N840" s="9"/>
      <c r="O840" s="9"/>
      <c r="P840" s="9"/>
      <c r="Q840" s="9"/>
      <c r="R840" s="9"/>
      <c r="S840" s="9"/>
      <c r="T840" s="9"/>
      <c r="U840" s="9"/>
      <c r="V840" s="52"/>
      <c r="W840" s="1181">
        <v>20000</v>
      </c>
      <c r="X840" s="1063"/>
      <c r="Y840" s="1063"/>
      <c r="Z840" s="1063"/>
      <c r="AA840" s="1063"/>
      <c r="AB840" s="1063"/>
      <c r="AC840" s="1064"/>
      <c r="AM840" s="21"/>
      <c r="AN840" s="21"/>
      <c r="AO840" s="21"/>
      <c r="AP840" s="21"/>
      <c r="AQ840" s="21"/>
      <c r="AR840" s="21"/>
      <c r="AS840" s="21"/>
      <c r="AT840" s="21"/>
      <c r="AU840" s="21"/>
      <c r="AV840" s="21"/>
      <c r="AW840" s="21"/>
      <c r="AX840" s="21"/>
      <c r="AY840" s="21"/>
      <c r="AZ840" s="21"/>
      <c r="BA840" s="21"/>
      <c r="BC840" s="77" t="s">
        <v>644</v>
      </c>
      <c r="BD840" s="78" t="s">
        <v>645</v>
      </c>
      <c r="BE840" s="78" t="s">
        <v>646</v>
      </c>
      <c r="BF840" s="78" t="s">
        <v>647</v>
      </c>
      <c r="BG840" s="78" t="s">
        <v>654</v>
      </c>
      <c r="BH840" s="21"/>
      <c r="BI840" s="21"/>
      <c r="BJ840" s="77" t="s">
        <v>644</v>
      </c>
      <c r="BK840" s="78" t="s">
        <v>645</v>
      </c>
      <c r="BL840" s="78" t="s">
        <v>646</v>
      </c>
      <c r="BM840" s="78" t="s">
        <v>647</v>
      </c>
      <c r="BN840" s="78" t="s">
        <v>654</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3:126" s="5" customFormat="1" ht="12.95" customHeight="1">
      <c r="J841" s="68" t="s">
        <v>763</v>
      </c>
      <c r="K841" s="9"/>
      <c r="L841" s="9"/>
      <c r="M841" s="9"/>
      <c r="N841" s="9"/>
      <c r="O841" s="9"/>
      <c r="P841" s="9"/>
      <c r="Q841" s="9"/>
      <c r="R841" s="9"/>
      <c r="S841" s="9"/>
      <c r="T841" s="9"/>
      <c r="U841" s="9"/>
      <c r="V841" s="52"/>
      <c r="W841" s="1181">
        <v>30000</v>
      </c>
      <c r="X841" s="1063"/>
      <c r="Y841" s="1063"/>
      <c r="Z841" s="1063"/>
      <c r="AA841" s="1063"/>
      <c r="AB841" s="1063"/>
      <c r="AC841" s="1064"/>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3:126" s="5" customFormat="1" ht="12.95" customHeight="1">
      <c r="J842" s="69"/>
      <c r="K842" s="54"/>
      <c r="L842" s="54"/>
      <c r="M842" s="54"/>
      <c r="N842" s="54"/>
      <c r="O842" s="54"/>
      <c r="P842" s="54"/>
      <c r="Q842" s="54"/>
      <c r="R842" s="54"/>
      <c r="S842" s="54"/>
      <c r="T842" s="54"/>
      <c r="U842" s="54"/>
      <c r="V842" s="60" t="s">
        <v>764</v>
      </c>
      <c r="W842" s="1162">
        <f>SUM(W838:W841)</f>
        <v>50000</v>
      </c>
      <c r="X842" s="973"/>
      <c r="Y842" s="973"/>
      <c r="Z842" s="973"/>
      <c r="AA842" s="973"/>
      <c r="AB842" s="973"/>
      <c r="AC842" s="974"/>
      <c r="AR842" s="21"/>
      <c r="AS842" s="21"/>
      <c r="AT842" s="21"/>
      <c r="AU842" s="21"/>
      <c r="AV842" s="21"/>
      <c r="AW842" s="21"/>
      <c r="AX842" s="21"/>
      <c r="AY842" s="21"/>
      <c r="AZ842" s="21"/>
      <c r="BA842" s="21"/>
      <c r="BB842" s="30" t="s">
        <v>52</v>
      </c>
      <c r="BC842" s="539">
        <v>491221</v>
      </c>
      <c r="BD842" s="539">
        <v>566373</v>
      </c>
      <c r="BE842" s="539">
        <v>683200</v>
      </c>
      <c r="BF842" s="539">
        <v>874496</v>
      </c>
      <c r="BG842" s="539">
        <v>974243</v>
      </c>
      <c r="BH842" s="21"/>
      <c r="BI842" s="30" t="s">
        <v>52</v>
      </c>
      <c r="BJ842" s="539">
        <v>491221</v>
      </c>
      <c r="BK842" s="539">
        <v>566373</v>
      </c>
      <c r="BL842" s="539">
        <v>683200</v>
      </c>
      <c r="BM842" s="539">
        <v>874496</v>
      </c>
      <c r="BN842" s="539">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3:126" s="5" customFormat="1" ht="12.95" customHeight="1">
      <c r="AR843" s="21"/>
      <c r="AS843" s="21"/>
      <c r="AT843" s="21"/>
      <c r="AU843" s="21"/>
      <c r="AV843" s="21"/>
      <c r="AW843" s="21"/>
      <c r="AX843" s="21"/>
      <c r="AY843" s="21"/>
      <c r="AZ843" s="21"/>
      <c r="BA843" s="21"/>
      <c r="BB843" s="30" t="s">
        <v>55</v>
      </c>
      <c r="BC843" s="538">
        <v>402640</v>
      </c>
      <c r="BD843" s="538">
        <v>464240</v>
      </c>
      <c r="BE843" s="538">
        <v>560000</v>
      </c>
      <c r="BF843" s="538">
        <v>716800</v>
      </c>
      <c r="BG843" s="538">
        <v>798560</v>
      </c>
      <c r="BH843" s="21"/>
      <c r="BI843" s="30" t="s">
        <v>55</v>
      </c>
      <c r="BJ843" s="538">
        <v>402640</v>
      </c>
      <c r="BK843" s="538">
        <v>464240</v>
      </c>
      <c r="BL843" s="538">
        <v>560000</v>
      </c>
      <c r="BM843" s="538">
        <v>716800</v>
      </c>
      <c r="BN843" s="538">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3:126" s="5" customFormat="1" ht="12.95" customHeight="1">
      <c r="C844" s="3" t="s">
        <v>765</v>
      </c>
      <c r="J844" s="8" t="s">
        <v>766</v>
      </c>
      <c r="K844" s="9"/>
      <c r="L844" s="9"/>
      <c r="M844" s="9"/>
      <c r="N844" s="9"/>
      <c r="O844" s="9"/>
      <c r="P844" s="9"/>
      <c r="Q844" s="9"/>
      <c r="R844" s="9"/>
      <c r="S844" s="9"/>
      <c r="T844" s="9"/>
      <c r="U844" s="9"/>
      <c r="V844" s="52"/>
      <c r="W844" s="1181">
        <v>45000</v>
      </c>
      <c r="X844" s="1063"/>
      <c r="Y844" s="1063"/>
      <c r="Z844" s="1063"/>
      <c r="AA844" s="1063"/>
      <c r="AB844" s="1063"/>
      <c r="AC844" s="1064"/>
      <c r="AR844" s="21"/>
      <c r="AS844" s="21"/>
      <c r="AT844" s="21"/>
      <c r="AU844" s="21"/>
      <c r="AV844" s="21"/>
      <c r="AW844" s="21"/>
      <c r="AX844" s="21"/>
      <c r="AY844" s="21"/>
      <c r="AZ844" s="21"/>
      <c r="BA844" s="21"/>
      <c r="BB844" s="30" t="s">
        <v>59</v>
      </c>
      <c r="BC844" s="539">
        <v>402640</v>
      </c>
      <c r="BD844" s="539">
        <v>464240</v>
      </c>
      <c r="BE844" s="539">
        <v>560000</v>
      </c>
      <c r="BF844" s="539">
        <v>716800</v>
      </c>
      <c r="BG844" s="539">
        <v>798560</v>
      </c>
      <c r="BH844" s="21"/>
      <c r="BI844" s="30" t="s">
        <v>59</v>
      </c>
      <c r="BJ844" s="539">
        <v>402640</v>
      </c>
      <c r="BK844" s="539">
        <v>464240</v>
      </c>
      <c r="BL844" s="539">
        <v>560000</v>
      </c>
      <c r="BM844" s="539">
        <v>716800</v>
      </c>
      <c r="BN844" s="539">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3:126" s="5" customFormat="1" ht="12.95" customHeight="1">
      <c r="C845" s="3" t="s">
        <v>767</v>
      </c>
      <c r="J845" s="212" t="s">
        <v>768</v>
      </c>
      <c r="K845" s="9"/>
      <c r="L845" s="9"/>
      <c r="M845" s="9"/>
      <c r="N845" s="9"/>
      <c r="O845" s="9"/>
      <c r="P845" s="9"/>
      <c r="Q845" s="9"/>
      <c r="R845" s="9"/>
      <c r="S845" s="9"/>
      <c r="T845" s="1196"/>
      <c r="U845" s="1063"/>
      <c r="V845" s="1064"/>
      <c r="W845" s="803"/>
      <c r="X845" s="804"/>
      <c r="Y845" s="804"/>
      <c r="Z845" s="804"/>
      <c r="AA845" s="804"/>
      <c r="AB845" s="804"/>
      <c r="AC845" s="805"/>
      <c r="AR845" s="21"/>
      <c r="AS845" s="21"/>
      <c r="AT845" s="21"/>
      <c r="AU845" s="21"/>
      <c r="AV845" s="21"/>
      <c r="AW845" s="21"/>
      <c r="AX845" s="21"/>
      <c r="AY845" s="21"/>
      <c r="AZ845" s="21"/>
      <c r="BA845" s="21"/>
      <c r="BB845" s="30" t="s">
        <v>62</v>
      </c>
      <c r="BC845" s="538">
        <v>369278</v>
      </c>
      <c r="BD845" s="538">
        <v>425774</v>
      </c>
      <c r="BE845" s="538">
        <v>513600</v>
      </c>
      <c r="BF845" s="538">
        <v>657408</v>
      </c>
      <c r="BG845" s="538">
        <v>732394</v>
      </c>
      <c r="BH845" s="21"/>
      <c r="BI845" s="30" t="s">
        <v>62</v>
      </c>
      <c r="BJ845" s="538">
        <v>369278</v>
      </c>
      <c r="BK845" s="538">
        <v>425774</v>
      </c>
      <c r="BL845" s="538">
        <v>513600</v>
      </c>
      <c r="BM845" s="538">
        <v>657408</v>
      </c>
      <c r="BN845" s="538">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3:126" s="5" customFormat="1" ht="12.95" customHeight="1">
      <c r="J846" s="8" t="s">
        <v>769</v>
      </c>
      <c r="K846" s="9"/>
      <c r="L846" s="9"/>
      <c r="M846" s="9"/>
      <c r="N846" s="9"/>
      <c r="O846" s="9"/>
      <c r="P846" s="9"/>
      <c r="Q846" s="9"/>
      <c r="R846" s="9"/>
      <c r="S846" s="9"/>
      <c r="T846" s="9"/>
      <c r="U846" s="9"/>
      <c r="V846" s="52"/>
      <c r="W846" s="1181"/>
      <c r="X846" s="1063"/>
      <c r="Y846" s="1063"/>
      <c r="Z846" s="1063"/>
      <c r="AA846" s="1063"/>
      <c r="AB846" s="1063"/>
      <c r="AC846" s="1064"/>
      <c r="AL846" s="23"/>
      <c r="AR846" s="21"/>
      <c r="AS846" s="21"/>
      <c r="AT846" s="21"/>
      <c r="AU846" s="21"/>
      <c r="AV846" s="21"/>
      <c r="AW846" s="21"/>
      <c r="AX846" s="21"/>
      <c r="AY846" s="21"/>
      <c r="AZ846" s="21"/>
      <c r="BA846" s="21"/>
      <c r="BB846" s="30" t="s">
        <v>66</v>
      </c>
      <c r="BC846" s="539">
        <v>402640</v>
      </c>
      <c r="BD846" s="539">
        <v>464240</v>
      </c>
      <c r="BE846" s="539">
        <v>560000</v>
      </c>
      <c r="BF846" s="539">
        <v>716800</v>
      </c>
      <c r="BG846" s="539">
        <v>798560</v>
      </c>
      <c r="BH846" s="21"/>
      <c r="BI846" s="30" t="s">
        <v>66</v>
      </c>
      <c r="BJ846" s="539">
        <v>402640</v>
      </c>
      <c r="BK846" s="539">
        <v>464240</v>
      </c>
      <c r="BL846" s="539">
        <v>560000</v>
      </c>
      <c r="BM846" s="539">
        <v>716800</v>
      </c>
      <c r="BN846" s="539">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3:126" ht="12.95" customHeight="1">
      <c r="C847" s="3"/>
      <c r="J847" s="212" t="s">
        <v>770</v>
      </c>
      <c r="K847" s="9"/>
      <c r="L847" s="9"/>
      <c r="M847" s="9"/>
      <c r="N847" s="9"/>
      <c r="O847" s="9"/>
      <c r="P847" s="9"/>
      <c r="Q847" s="9"/>
      <c r="R847" s="9"/>
      <c r="S847" s="9"/>
      <c r="T847" s="1196"/>
      <c r="U847" s="1063"/>
      <c r="V847" s="1064"/>
      <c r="W847" s="803"/>
      <c r="X847" s="804"/>
      <c r="Y847" s="804"/>
      <c r="Z847" s="804"/>
      <c r="AA847" s="804"/>
      <c r="AB847" s="804"/>
      <c r="AC847" s="805"/>
      <c r="AL847" s="23"/>
      <c r="AM847" s="5"/>
      <c r="AN847" s="5"/>
      <c r="AO847" s="5"/>
      <c r="AP847" s="5"/>
      <c r="AQ847" s="5"/>
      <c r="AR847" s="21"/>
      <c r="AS847" s="21"/>
      <c r="AT847" s="41"/>
      <c r="AU847" s="41"/>
      <c r="AV847" s="41"/>
      <c r="AW847" s="41"/>
      <c r="AX847" s="41"/>
      <c r="AY847" s="41"/>
      <c r="AZ847" s="41"/>
      <c r="BA847" s="41"/>
      <c r="BB847" s="30" t="s">
        <v>72</v>
      </c>
      <c r="BC847" s="538">
        <v>402640</v>
      </c>
      <c r="BD847" s="538">
        <v>464240</v>
      </c>
      <c r="BE847" s="538">
        <v>560000</v>
      </c>
      <c r="BF847" s="538">
        <v>716800</v>
      </c>
      <c r="BG847" s="538">
        <v>798560</v>
      </c>
      <c r="BH847" s="21"/>
      <c r="BI847" s="30" t="s">
        <v>72</v>
      </c>
      <c r="BJ847" s="538">
        <v>402640</v>
      </c>
      <c r="BK847" s="538">
        <v>464240</v>
      </c>
      <c r="BL847" s="538">
        <v>560000</v>
      </c>
      <c r="BM847" s="538">
        <v>716800</v>
      </c>
      <c r="BN847" s="538">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3:126" ht="12.95" customHeight="1">
      <c r="J848" s="8" t="s">
        <v>483</v>
      </c>
      <c r="K848" s="9"/>
      <c r="L848" s="9"/>
      <c r="M848" s="1087" t="s">
        <v>484</v>
      </c>
      <c r="N848" s="1063"/>
      <c r="O848" s="1063"/>
      <c r="P848" s="1063"/>
      <c r="Q848" s="1063"/>
      <c r="R848" s="1063"/>
      <c r="S848" s="1063"/>
      <c r="T848" s="1063"/>
      <c r="U848" s="1063"/>
      <c r="V848" s="1064"/>
      <c r="W848" s="1181"/>
      <c r="X848" s="1063"/>
      <c r="Y848" s="1063"/>
      <c r="Z848" s="1063"/>
      <c r="AA848" s="1063"/>
      <c r="AB848" s="1063"/>
      <c r="AC848" s="1064"/>
      <c r="AL848" s="23"/>
      <c r="AM848" s="5"/>
      <c r="AN848" s="5"/>
      <c r="AO848" s="5"/>
      <c r="AP848" s="5"/>
      <c r="AQ848" s="5"/>
      <c r="AR848" s="21"/>
      <c r="AS848" s="21"/>
      <c r="AT848" s="41"/>
      <c r="AU848" s="41"/>
      <c r="AV848" s="41"/>
      <c r="AW848" s="41"/>
      <c r="AX848" s="41"/>
      <c r="AY848" s="41"/>
      <c r="AZ848" s="41"/>
      <c r="BA848" s="41"/>
      <c r="BB848" s="30" t="s">
        <v>75</v>
      </c>
      <c r="BC848" s="539">
        <v>491221</v>
      </c>
      <c r="BD848" s="539">
        <v>566373</v>
      </c>
      <c r="BE848" s="539">
        <v>683200</v>
      </c>
      <c r="BF848" s="539">
        <v>874496</v>
      </c>
      <c r="BG848" s="539">
        <v>974243</v>
      </c>
      <c r="BH848" s="21"/>
      <c r="BI848" s="30" t="s">
        <v>75</v>
      </c>
      <c r="BJ848" s="539">
        <v>491221</v>
      </c>
      <c r="BK848" s="539">
        <v>566373</v>
      </c>
      <c r="BL848" s="539">
        <v>683200</v>
      </c>
      <c r="BM848" s="539">
        <v>874496</v>
      </c>
      <c r="BN848" s="539">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3:126" ht="12.95" customHeight="1">
      <c r="J849" s="8"/>
      <c r="K849" s="9"/>
      <c r="L849" s="9"/>
      <c r="M849" s="9"/>
      <c r="N849" s="9"/>
      <c r="O849" s="9"/>
      <c r="P849" s="9"/>
      <c r="Q849" s="9"/>
      <c r="R849" s="9"/>
      <c r="S849" s="9"/>
      <c r="T849" s="9"/>
      <c r="U849" s="9"/>
      <c r="V849" s="60" t="s">
        <v>771</v>
      </c>
      <c r="W849" s="1162">
        <f>SUM(W844:W848)</f>
        <v>45000</v>
      </c>
      <c r="X849" s="973"/>
      <c r="Y849" s="973"/>
      <c r="Z849" s="973"/>
      <c r="AA849" s="973"/>
      <c r="AB849" s="973"/>
      <c r="AC849" s="974"/>
      <c r="AL849" s="23"/>
      <c r="AM849" s="38"/>
      <c r="AN849" s="38"/>
      <c r="AO849" s="21"/>
      <c r="AP849" s="21"/>
      <c r="AQ849" s="21"/>
      <c r="AR849" s="21"/>
      <c r="AS849" s="21"/>
      <c r="AT849" s="41"/>
      <c r="AU849" s="41"/>
      <c r="AV849" s="41"/>
      <c r="AW849" s="41"/>
      <c r="AX849" s="41"/>
      <c r="AY849" s="41"/>
      <c r="AZ849" s="41"/>
      <c r="BA849" s="41"/>
      <c r="BB849" s="30" t="s">
        <v>78</v>
      </c>
      <c r="BC849" s="538">
        <v>402640</v>
      </c>
      <c r="BD849" s="538">
        <v>464240</v>
      </c>
      <c r="BE849" s="538">
        <v>560000</v>
      </c>
      <c r="BF849" s="538">
        <v>716800</v>
      </c>
      <c r="BG849" s="538">
        <v>798560</v>
      </c>
      <c r="BH849" s="21"/>
      <c r="BI849" s="30" t="s">
        <v>78</v>
      </c>
      <c r="BJ849" s="538">
        <v>402640</v>
      </c>
      <c r="BK849" s="538">
        <v>464240</v>
      </c>
      <c r="BL849" s="538">
        <v>560000</v>
      </c>
      <c r="BM849" s="538">
        <v>716800</v>
      </c>
      <c r="BN849" s="538">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3:126" ht="12.95" customHeight="1">
      <c r="AL850" s="23"/>
      <c r="AM850" s="38"/>
      <c r="AN850" s="38"/>
      <c r="AO850" s="21"/>
      <c r="AP850" s="21"/>
      <c r="AQ850" s="21"/>
      <c r="AR850" s="21"/>
      <c r="AS850" s="21"/>
      <c r="AT850" s="41"/>
      <c r="AU850" s="41"/>
      <c r="AV850" s="41"/>
      <c r="AW850" s="41"/>
      <c r="AX850" s="41"/>
      <c r="AY850" s="41"/>
      <c r="AZ850" s="41"/>
      <c r="BA850" s="41"/>
      <c r="BB850" s="30" t="s">
        <v>80</v>
      </c>
      <c r="BC850" s="539">
        <v>360075</v>
      </c>
      <c r="BD850" s="539">
        <v>415163</v>
      </c>
      <c r="BE850" s="539">
        <v>500800</v>
      </c>
      <c r="BF850" s="539">
        <v>641024</v>
      </c>
      <c r="BG850" s="539">
        <v>714141</v>
      </c>
      <c r="BH850" s="21"/>
      <c r="BI850" s="30" t="s">
        <v>80</v>
      </c>
      <c r="BJ850" s="539">
        <v>360075</v>
      </c>
      <c r="BK850" s="539">
        <v>415163</v>
      </c>
      <c r="BL850" s="539">
        <v>500800</v>
      </c>
      <c r="BM850" s="539">
        <v>641024</v>
      </c>
      <c r="BN850" s="539">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3:126" ht="12.95" customHeight="1">
      <c r="C851" s="3" t="s">
        <v>772</v>
      </c>
      <c r="J851" s="8"/>
      <c r="K851" s="9"/>
      <c r="L851" s="9"/>
      <c r="M851" s="9"/>
      <c r="N851" s="9"/>
      <c r="O851" s="9"/>
      <c r="P851" s="9"/>
      <c r="Q851" s="9"/>
      <c r="R851" s="9"/>
      <c r="S851" s="9"/>
      <c r="T851" s="9"/>
      <c r="U851" s="9"/>
      <c r="V851" s="60" t="s">
        <v>773</v>
      </c>
      <c r="W851" s="1181">
        <v>35000</v>
      </c>
      <c r="X851" s="1063"/>
      <c r="Y851" s="1063"/>
      <c r="Z851" s="1063"/>
      <c r="AA851" s="1063"/>
      <c r="AB851" s="1063"/>
      <c r="AC851" s="1064"/>
      <c r="AL851" s="23"/>
      <c r="AM851" s="38"/>
      <c r="AN851" s="38"/>
      <c r="AO851" s="21"/>
      <c r="AP851" s="21"/>
      <c r="AQ851" s="21"/>
      <c r="AR851" s="21"/>
      <c r="AS851" s="21"/>
      <c r="AT851" s="41"/>
      <c r="AU851" s="41"/>
      <c r="AV851" s="41"/>
      <c r="AW851" s="41"/>
      <c r="AX851" s="41"/>
      <c r="AY851" s="41"/>
      <c r="AZ851" s="41"/>
      <c r="BA851" s="41"/>
      <c r="BB851" s="30" t="s">
        <v>83</v>
      </c>
      <c r="BC851" s="538">
        <v>323262</v>
      </c>
      <c r="BD851" s="538">
        <v>372718</v>
      </c>
      <c r="BE851" s="538">
        <v>449600</v>
      </c>
      <c r="BF851" s="538">
        <v>575488</v>
      </c>
      <c r="BG851" s="538">
        <v>641130</v>
      </c>
      <c r="BH851" s="21"/>
      <c r="BI851" s="30" t="s">
        <v>83</v>
      </c>
      <c r="BJ851" s="538">
        <v>323262</v>
      </c>
      <c r="BK851" s="538">
        <v>372718</v>
      </c>
      <c r="BL851" s="538">
        <v>449600</v>
      </c>
      <c r="BM851" s="538">
        <v>575488</v>
      </c>
      <c r="BN851" s="538">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3:126" ht="12.95" customHeight="1">
      <c r="AM852" s="38"/>
      <c r="AN852" s="38"/>
      <c r="AO852" s="21"/>
      <c r="AP852" s="21"/>
      <c r="AQ852" s="21"/>
      <c r="AR852" s="21"/>
      <c r="AS852" s="21"/>
      <c r="AT852" s="41"/>
      <c r="AU852" s="41"/>
      <c r="AV852" s="41"/>
      <c r="AW852" s="41"/>
      <c r="AX852" s="41"/>
      <c r="AY852" s="41"/>
      <c r="AZ852" s="41"/>
      <c r="BA852" s="41"/>
      <c r="BB852" s="30" t="s">
        <v>86</v>
      </c>
      <c r="BC852" s="539">
        <v>402640</v>
      </c>
      <c r="BD852" s="539">
        <v>464240</v>
      </c>
      <c r="BE852" s="539">
        <v>560000</v>
      </c>
      <c r="BF852" s="539">
        <v>716800</v>
      </c>
      <c r="BG852" s="539">
        <v>798560</v>
      </c>
      <c r="BH852" s="21"/>
      <c r="BI852" s="30" t="s">
        <v>86</v>
      </c>
      <c r="BJ852" s="539">
        <v>402640</v>
      </c>
      <c r="BK852" s="539">
        <v>464240</v>
      </c>
      <c r="BL852" s="539">
        <v>560000</v>
      </c>
      <c r="BM852" s="539">
        <v>716800</v>
      </c>
      <c r="BN852" s="539">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3:126" ht="12.95" customHeight="1">
      <c r="C853" s="3" t="s">
        <v>774</v>
      </c>
      <c r="J853" s="8" t="s">
        <v>775</v>
      </c>
      <c r="K853" s="9"/>
      <c r="L853" s="9"/>
      <c r="M853" s="9"/>
      <c r="N853" s="9"/>
      <c r="O853" s="9"/>
      <c r="P853" s="9"/>
      <c r="Q853" s="9"/>
      <c r="R853" s="9"/>
      <c r="S853" s="9"/>
      <c r="T853" s="9"/>
      <c r="U853" s="9"/>
      <c r="V853" s="52"/>
      <c r="W853" s="1069">
        <v>10000</v>
      </c>
      <c r="X853" s="1063"/>
      <c r="Y853" s="1063"/>
      <c r="Z853" s="1063"/>
      <c r="AA853" s="1063"/>
      <c r="AB853" s="1063"/>
      <c r="AC853" s="1064"/>
      <c r="AM853" s="38"/>
      <c r="AN853" s="38"/>
      <c r="AO853" s="21"/>
      <c r="AP853" s="21"/>
      <c r="AQ853" s="21"/>
      <c r="AR853" s="21"/>
      <c r="AS853" s="21"/>
      <c r="AT853" s="41"/>
      <c r="AU853" s="41"/>
      <c r="AV853" s="41"/>
      <c r="AW853" s="41"/>
      <c r="AX853" s="41"/>
      <c r="AY853" s="41"/>
      <c r="AZ853" s="41"/>
      <c r="BA853" s="41"/>
      <c r="BB853" s="30" t="s">
        <v>88</v>
      </c>
      <c r="BC853" s="538">
        <v>402640</v>
      </c>
      <c r="BD853" s="538">
        <v>464240</v>
      </c>
      <c r="BE853" s="538">
        <v>560000</v>
      </c>
      <c r="BF853" s="538">
        <v>716800</v>
      </c>
      <c r="BG853" s="538">
        <v>798560</v>
      </c>
      <c r="BH853" s="21"/>
      <c r="BI853" s="30" t="s">
        <v>88</v>
      </c>
      <c r="BJ853" s="538">
        <v>402640</v>
      </c>
      <c r="BK853" s="538">
        <v>464240</v>
      </c>
      <c r="BL853" s="538">
        <v>560000</v>
      </c>
      <c r="BM853" s="538">
        <v>716800</v>
      </c>
      <c r="BN853" s="538">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3:126" s="5" customFormat="1" ht="12.95" customHeight="1">
      <c r="J854" s="8" t="s">
        <v>776</v>
      </c>
      <c r="K854" s="9"/>
      <c r="L854" s="9"/>
      <c r="M854" s="9"/>
      <c r="N854" s="9"/>
      <c r="O854" s="9"/>
      <c r="P854" s="9"/>
      <c r="Q854" s="9"/>
      <c r="R854" s="9"/>
      <c r="S854" s="9"/>
      <c r="T854" s="9"/>
      <c r="U854" s="9"/>
      <c r="V854" s="52"/>
      <c r="W854" s="1069">
        <v>20000</v>
      </c>
      <c r="X854" s="1063"/>
      <c r="Y854" s="1063"/>
      <c r="Z854" s="1063"/>
      <c r="AA854" s="1063"/>
      <c r="AB854" s="1063"/>
      <c r="AC854" s="1064"/>
      <c r="AM854" s="38"/>
      <c r="AN854" s="38"/>
      <c r="AO854" s="21"/>
      <c r="AP854" s="21"/>
      <c r="AQ854" s="21"/>
      <c r="AR854" s="21"/>
      <c r="AS854" s="21"/>
      <c r="AT854" s="21"/>
      <c r="AU854" s="21"/>
      <c r="AV854" s="21"/>
      <c r="AW854" s="21"/>
      <c r="AX854" s="21"/>
      <c r="AY854" s="21"/>
      <c r="AZ854" s="21"/>
      <c r="BA854" s="21"/>
      <c r="BB854" s="30" t="s">
        <v>91</v>
      </c>
      <c r="BC854" s="539">
        <v>381933</v>
      </c>
      <c r="BD854" s="539">
        <v>440365</v>
      </c>
      <c r="BE854" s="539">
        <v>531200</v>
      </c>
      <c r="BF854" s="539">
        <v>679936</v>
      </c>
      <c r="BG854" s="539">
        <v>757491</v>
      </c>
      <c r="BH854" s="21"/>
      <c r="BI854" s="30" t="s">
        <v>91</v>
      </c>
      <c r="BJ854" s="539">
        <v>381933</v>
      </c>
      <c r="BK854" s="539">
        <v>440365</v>
      </c>
      <c r="BL854" s="539">
        <v>531200</v>
      </c>
      <c r="BM854" s="539">
        <v>679936</v>
      </c>
      <c r="BN854" s="539">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3:126" s="5" customFormat="1" ht="12.95" customHeight="1">
      <c r="J855" s="8" t="s">
        <v>777</v>
      </c>
      <c r="K855" s="9"/>
      <c r="L855" s="9"/>
      <c r="M855" s="9"/>
      <c r="N855" s="9"/>
      <c r="O855" s="9"/>
      <c r="P855" s="9"/>
      <c r="Q855" s="9"/>
      <c r="R855" s="9"/>
      <c r="S855" s="9"/>
      <c r="T855" s="9"/>
      <c r="U855" s="9"/>
      <c r="V855" s="52"/>
      <c r="W855" s="1069">
        <v>30000</v>
      </c>
      <c r="X855" s="1063"/>
      <c r="Y855" s="1063"/>
      <c r="Z855" s="1063"/>
      <c r="AA855" s="1063"/>
      <c r="AB855" s="1063"/>
      <c r="AC855" s="1064"/>
      <c r="AM855" s="38"/>
      <c r="AN855" s="38"/>
      <c r="AO855" s="21"/>
      <c r="AP855" s="21"/>
      <c r="AQ855" s="21"/>
      <c r="AR855" s="21"/>
      <c r="AS855" s="21"/>
      <c r="AT855" s="21"/>
      <c r="AU855" s="21"/>
      <c r="AV855" s="21"/>
      <c r="AW855" s="21"/>
      <c r="AX855" s="21"/>
      <c r="AY855" s="21"/>
      <c r="AZ855" s="21"/>
      <c r="BA855" s="21"/>
      <c r="BB855" s="30" t="s">
        <v>93</v>
      </c>
      <c r="BC855" s="538">
        <v>402640</v>
      </c>
      <c r="BD855" s="538">
        <v>464240</v>
      </c>
      <c r="BE855" s="538">
        <v>560000</v>
      </c>
      <c r="BF855" s="538">
        <v>716800</v>
      </c>
      <c r="BG855" s="538">
        <v>798560</v>
      </c>
      <c r="BH855" s="21"/>
      <c r="BI855" s="30" t="s">
        <v>93</v>
      </c>
      <c r="BJ855" s="538">
        <v>402640</v>
      </c>
      <c r="BK855" s="538">
        <v>464240</v>
      </c>
      <c r="BL855" s="538">
        <v>560000</v>
      </c>
      <c r="BM855" s="538">
        <v>716800</v>
      </c>
      <c r="BN855" s="538">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3:126" s="5" customFormat="1" ht="12.95" customHeight="1">
      <c r="J856" s="8" t="s">
        <v>778</v>
      </c>
      <c r="K856" s="9"/>
      <c r="L856" s="9"/>
      <c r="M856" s="9"/>
      <c r="N856" s="9"/>
      <c r="O856" s="9"/>
      <c r="P856" s="9"/>
      <c r="Q856" s="9"/>
      <c r="R856" s="9"/>
      <c r="S856" s="9"/>
      <c r="T856" s="9"/>
      <c r="U856" s="9"/>
      <c r="V856" s="52"/>
      <c r="W856" s="1069"/>
      <c r="X856" s="1063"/>
      <c r="Y856" s="1063"/>
      <c r="Z856" s="1063"/>
      <c r="AA856" s="1063"/>
      <c r="AB856" s="1063"/>
      <c r="AC856" s="1064"/>
      <c r="AM856" s="38"/>
      <c r="AN856" s="38"/>
      <c r="AO856" s="21"/>
      <c r="AP856" s="21"/>
      <c r="AQ856" s="21"/>
      <c r="AR856" s="21"/>
      <c r="AS856" s="21"/>
      <c r="AT856" s="21"/>
      <c r="AU856" s="21"/>
      <c r="AV856" s="21"/>
      <c r="AW856" s="21"/>
      <c r="AX856" s="21"/>
      <c r="AY856" s="21"/>
      <c r="AZ856" s="21"/>
      <c r="BA856" s="21"/>
      <c r="BB856" s="30" t="s">
        <v>95</v>
      </c>
      <c r="BC856" s="539">
        <v>323262</v>
      </c>
      <c r="BD856" s="539">
        <v>372718</v>
      </c>
      <c r="BE856" s="539">
        <v>449600</v>
      </c>
      <c r="BF856" s="539">
        <v>575488</v>
      </c>
      <c r="BG856" s="539">
        <v>641130</v>
      </c>
      <c r="BH856" s="21"/>
      <c r="BI856" s="30" t="s">
        <v>95</v>
      </c>
      <c r="BJ856" s="539">
        <v>323262</v>
      </c>
      <c r="BK856" s="539">
        <v>372718</v>
      </c>
      <c r="BL856" s="539">
        <v>449600</v>
      </c>
      <c r="BM856" s="539">
        <v>575488</v>
      </c>
      <c r="BN856" s="539">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3:126" s="5" customFormat="1" ht="12.95" customHeight="1">
      <c r="J857" s="8" t="s">
        <v>779</v>
      </c>
      <c r="K857" s="9"/>
      <c r="L857" s="9"/>
      <c r="M857" s="9"/>
      <c r="N857" s="9"/>
      <c r="O857" s="9"/>
      <c r="P857" s="9"/>
      <c r="Q857" s="9"/>
      <c r="R857" s="9"/>
      <c r="S857" s="9"/>
      <c r="T857" s="9"/>
      <c r="U857" s="9"/>
      <c r="V857" s="52"/>
      <c r="W857" s="1069">
        <v>20000</v>
      </c>
      <c r="X857" s="1063"/>
      <c r="Y857" s="1063"/>
      <c r="Z857" s="1063"/>
      <c r="AA857" s="1063"/>
      <c r="AB857" s="1063"/>
      <c r="AC857" s="1064"/>
      <c r="AM857" s="38"/>
      <c r="AN857" s="38"/>
      <c r="AO857" s="21"/>
      <c r="AP857" s="21"/>
      <c r="AQ857" s="21"/>
      <c r="AR857" s="21"/>
      <c r="AS857" s="21"/>
      <c r="AT857" s="21"/>
      <c r="AU857" s="21"/>
      <c r="AV857" s="21"/>
      <c r="AW857" s="21"/>
      <c r="AX857" s="21"/>
      <c r="AY857" s="21"/>
      <c r="AZ857" s="21"/>
      <c r="BA857" s="21"/>
      <c r="BB857" s="30" t="s">
        <v>99</v>
      </c>
      <c r="BC857" s="538">
        <v>323262</v>
      </c>
      <c r="BD857" s="538">
        <v>372718</v>
      </c>
      <c r="BE857" s="538">
        <v>449600</v>
      </c>
      <c r="BF857" s="538">
        <v>575488</v>
      </c>
      <c r="BG857" s="538">
        <v>641130</v>
      </c>
      <c r="BH857" s="21"/>
      <c r="BI857" s="30" t="s">
        <v>99</v>
      </c>
      <c r="BJ857" s="538">
        <v>323262</v>
      </c>
      <c r="BK857" s="538">
        <v>372718</v>
      </c>
      <c r="BL857" s="538">
        <v>449600</v>
      </c>
      <c r="BM857" s="538">
        <v>575488</v>
      </c>
      <c r="BN857" s="538">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3:126" s="5" customFormat="1" ht="12.95" customHeight="1">
      <c r="J858" s="8" t="s">
        <v>780</v>
      </c>
      <c r="K858" s="9"/>
      <c r="L858" s="9"/>
      <c r="M858" s="9"/>
      <c r="N858" s="9"/>
      <c r="O858" s="9"/>
      <c r="P858" s="9"/>
      <c r="Q858" s="9"/>
      <c r="R858" s="9"/>
      <c r="S858" s="9"/>
      <c r="T858" s="9"/>
      <c r="U858" s="9"/>
      <c r="V858" s="52"/>
      <c r="W858" s="1069"/>
      <c r="X858" s="1063"/>
      <c r="Y858" s="1063"/>
      <c r="Z858" s="1063"/>
      <c r="AA858" s="1063"/>
      <c r="AB858" s="1063"/>
      <c r="AC858" s="1064"/>
      <c r="AM858" s="41"/>
      <c r="AN858" s="41"/>
      <c r="AO858" s="41"/>
      <c r="AP858" s="41"/>
      <c r="AQ858" s="41"/>
      <c r="AR858" s="41"/>
      <c r="AS858" s="41"/>
      <c r="AT858" s="21"/>
      <c r="AU858" s="21"/>
      <c r="AV858" s="21"/>
      <c r="AW858" s="21"/>
      <c r="AX858" s="21"/>
      <c r="AY858" s="21"/>
      <c r="AZ858" s="21"/>
      <c r="BA858" s="21"/>
      <c r="BB858" s="30" t="s">
        <v>103</v>
      </c>
      <c r="BC858" s="539">
        <v>402640</v>
      </c>
      <c r="BD858" s="539">
        <v>464240</v>
      </c>
      <c r="BE858" s="539">
        <v>560000</v>
      </c>
      <c r="BF858" s="539">
        <v>716800</v>
      </c>
      <c r="BG858" s="539">
        <v>798560</v>
      </c>
      <c r="BH858" s="21"/>
      <c r="BI858" s="30" t="s">
        <v>103</v>
      </c>
      <c r="BJ858" s="539">
        <v>402640</v>
      </c>
      <c r="BK858" s="539">
        <v>464240</v>
      </c>
      <c r="BL858" s="539">
        <v>560000</v>
      </c>
      <c r="BM858" s="539">
        <v>716800</v>
      </c>
      <c r="BN858" s="539">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row>
    <row r="859" spans="3:126" s="5" customFormat="1" ht="12.95" customHeight="1">
      <c r="J859" s="8" t="s">
        <v>483</v>
      </c>
      <c r="K859" s="9"/>
      <c r="L859" s="9"/>
      <c r="M859" s="1087" t="s">
        <v>484</v>
      </c>
      <c r="N859" s="1063"/>
      <c r="O859" s="1063"/>
      <c r="P859" s="1063"/>
      <c r="Q859" s="1063"/>
      <c r="R859" s="1063"/>
      <c r="S859" s="1063"/>
      <c r="T859" s="1063"/>
      <c r="U859" s="1063"/>
      <c r="V859" s="1064"/>
      <c r="W859" s="1069"/>
      <c r="X859" s="1063"/>
      <c r="Y859" s="1063"/>
      <c r="Z859" s="1063"/>
      <c r="AA859" s="1063"/>
      <c r="AB859" s="1063"/>
      <c r="AC859" s="1064"/>
      <c r="AM859" s="41"/>
      <c r="AN859" s="41"/>
      <c r="AO859" s="41"/>
      <c r="AP859" s="41"/>
      <c r="AQ859" s="41"/>
      <c r="AR859" s="41"/>
      <c r="AS859" s="41"/>
      <c r="AT859" s="21"/>
      <c r="AU859" s="21"/>
      <c r="AV859" s="21"/>
      <c r="AW859" s="21"/>
      <c r="AX859" s="21"/>
      <c r="AY859" s="21"/>
      <c r="AZ859" s="21"/>
      <c r="BA859" s="21"/>
      <c r="BB859" s="30" t="s">
        <v>106</v>
      </c>
      <c r="BC859" s="538">
        <v>402640</v>
      </c>
      <c r="BD859" s="538">
        <v>464240</v>
      </c>
      <c r="BE859" s="538">
        <v>560000</v>
      </c>
      <c r="BF859" s="538">
        <v>716800</v>
      </c>
      <c r="BG859" s="538">
        <v>798560</v>
      </c>
      <c r="BH859" s="21"/>
      <c r="BI859" s="30" t="s">
        <v>106</v>
      </c>
      <c r="BJ859" s="538">
        <v>402640</v>
      </c>
      <c r="BK859" s="538">
        <v>464240</v>
      </c>
      <c r="BL859" s="538">
        <v>560000</v>
      </c>
      <c r="BM859" s="538">
        <v>716800</v>
      </c>
      <c r="BN859" s="538">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row>
    <row r="860" spans="3:126" s="5" customFormat="1" ht="12.95" customHeight="1">
      <c r="J860" s="8"/>
      <c r="K860" s="9"/>
      <c r="L860" s="9"/>
      <c r="M860" s="9"/>
      <c r="N860" s="9"/>
      <c r="O860" s="9"/>
      <c r="P860" s="9"/>
      <c r="Q860" s="9"/>
      <c r="R860" s="9"/>
      <c r="S860" s="9"/>
      <c r="T860" s="9"/>
      <c r="U860" s="9"/>
      <c r="V860" s="60" t="s">
        <v>781</v>
      </c>
      <c r="W860" s="1088">
        <f>SUM(W853:W859)</f>
        <v>80000</v>
      </c>
      <c r="X860" s="973"/>
      <c r="Y860" s="973"/>
      <c r="Z860" s="973"/>
      <c r="AA860" s="973"/>
      <c r="AB860" s="973"/>
      <c r="AC860" s="974"/>
      <c r="AM860" s="41"/>
      <c r="AN860" s="41"/>
      <c r="AO860" s="41"/>
      <c r="AP860" s="41"/>
      <c r="AQ860" s="41"/>
      <c r="AR860" s="41"/>
      <c r="AS860" s="41"/>
      <c r="AT860" s="21"/>
      <c r="AU860" s="21"/>
      <c r="AV860" s="21"/>
      <c r="AW860" s="21"/>
      <c r="AX860" s="21"/>
      <c r="AY860" s="21"/>
      <c r="AZ860" s="21"/>
      <c r="BA860" s="21"/>
      <c r="BB860" s="30" t="s">
        <v>112</v>
      </c>
      <c r="BC860" s="539">
        <v>437727</v>
      </c>
      <c r="BD860" s="539">
        <v>504695</v>
      </c>
      <c r="BE860" s="539">
        <v>608800</v>
      </c>
      <c r="BF860" s="539">
        <v>779264</v>
      </c>
      <c r="BG860" s="539">
        <v>868149</v>
      </c>
      <c r="BH860" s="21"/>
      <c r="BI860" s="30" t="s">
        <v>112</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row>
    <row r="861" spans="3:126" s="5" customFormat="1" ht="12.95" customHeight="1">
      <c r="AM861" s="41"/>
      <c r="AN861" s="41"/>
      <c r="AO861" s="41"/>
      <c r="AP861" s="41"/>
      <c r="AQ861" s="41"/>
      <c r="AR861" s="41"/>
      <c r="AS861" s="41"/>
      <c r="AT861" s="21"/>
      <c r="AU861" s="21"/>
      <c r="AV861" s="21"/>
      <c r="AW861" s="21"/>
      <c r="AX861" s="21"/>
      <c r="AY861" s="21"/>
      <c r="AZ861" s="21"/>
      <c r="BA861" s="21"/>
      <c r="BB861" s="30" t="s">
        <v>115</v>
      </c>
      <c r="BC861" s="538">
        <v>323262</v>
      </c>
      <c r="BD861" s="538">
        <v>372718</v>
      </c>
      <c r="BE861" s="538">
        <v>449600</v>
      </c>
      <c r="BF861" s="538">
        <v>575488</v>
      </c>
      <c r="BG861" s="538">
        <v>641130</v>
      </c>
      <c r="BH861" s="21"/>
      <c r="BI861" s="30" t="s">
        <v>115</v>
      </c>
      <c r="BJ861" s="538">
        <v>323262</v>
      </c>
      <c r="BK861" s="538">
        <v>372718</v>
      </c>
      <c r="BL861" s="538">
        <v>449600</v>
      </c>
      <c r="BM861" s="538">
        <v>575488</v>
      </c>
      <c r="BN861" s="538">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row>
    <row r="862" spans="3:126" s="5" customFormat="1" ht="12.95" customHeight="1">
      <c r="C862" s="3" t="s">
        <v>782</v>
      </c>
      <c r="J862" s="8" t="s">
        <v>483</v>
      </c>
      <c r="K862" s="9"/>
      <c r="L862" s="9"/>
      <c r="M862" s="1087" t="s">
        <v>484</v>
      </c>
      <c r="N862" s="1063"/>
      <c r="O862" s="1063"/>
      <c r="P862" s="1063"/>
      <c r="Q862" s="1063"/>
      <c r="R862" s="1063"/>
      <c r="S862" s="1063"/>
      <c r="T862" s="1063"/>
      <c r="U862" s="1063"/>
      <c r="V862" s="1064"/>
      <c r="W862" s="1069"/>
      <c r="X862" s="1063"/>
      <c r="Y862" s="1063"/>
      <c r="Z862" s="1063"/>
      <c r="AA862" s="1063"/>
      <c r="AB862" s="1063"/>
      <c r="AC862" s="1064"/>
      <c r="AM862" s="41"/>
      <c r="AN862" s="41"/>
      <c r="AO862" s="41"/>
      <c r="AP862" s="41"/>
      <c r="AQ862" s="41"/>
      <c r="AR862" s="41"/>
      <c r="AS862" s="41"/>
      <c r="AT862" s="21"/>
      <c r="AU862" s="21"/>
      <c r="AV862" s="21"/>
      <c r="AW862" s="21"/>
      <c r="AX862" s="21"/>
      <c r="AY862" s="21"/>
      <c r="AZ862" s="21"/>
      <c r="BA862" s="21"/>
      <c r="BB862" s="30" t="s">
        <v>118</v>
      </c>
      <c r="BC862" s="539">
        <v>406666</v>
      </c>
      <c r="BD862" s="539">
        <v>468882</v>
      </c>
      <c r="BE862" s="539">
        <v>565600</v>
      </c>
      <c r="BF862" s="539">
        <v>723968</v>
      </c>
      <c r="BG862" s="539">
        <v>806546</v>
      </c>
      <c r="BH862" s="21"/>
      <c r="BI862" s="30" t="s">
        <v>118</v>
      </c>
      <c r="BJ862" s="539">
        <v>406666</v>
      </c>
      <c r="BK862" s="539">
        <v>468882</v>
      </c>
      <c r="BL862" s="539">
        <v>565600</v>
      </c>
      <c r="BM862" s="539">
        <v>723968</v>
      </c>
      <c r="BN862" s="539">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row>
    <row r="863" spans="3:126" s="5" customFormat="1" ht="12.95" customHeight="1">
      <c r="C863" s="3" t="s">
        <v>783</v>
      </c>
      <c r="J863" s="8" t="s">
        <v>483</v>
      </c>
      <c r="K863" s="9"/>
      <c r="L863" s="9"/>
      <c r="M863" s="1087" t="s">
        <v>484</v>
      </c>
      <c r="N863" s="1063"/>
      <c r="O863" s="1063"/>
      <c r="P863" s="1063"/>
      <c r="Q863" s="1063"/>
      <c r="R863" s="1063"/>
      <c r="S863" s="1063"/>
      <c r="T863" s="1063"/>
      <c r="U863" s="1063"/>
      <c r="V863" s="1064"/>
      <c r="W863" s="1069"/>
      <c r="X863" s="1063"/>
      <c r="Y863" s="1063"/>
      <c r="Z863" s="1063"/>
      <c r="AA863" s="1063"/>
      <c r="AB863" s="1063"/>
      <c r="AC863" s="1064"/>
      <c r="AM863" s="41"/>
      <c r="AN863" s="41"/>
      <c r="AO863" s="41"/>
      <c r="AP863" s="41"/>
      <c r="AQ863" s="41"/>
      <c r="AR863" s="41"/>
      <c r="AS863" s="41"/>
      <c r="AT863" s="21"/>
      <c r="AU863" s="21"/>
      <c r="AV863" s="21"/>
      <c r="AW863" s="21"/>
      <c r="AX863" s="21"/>
      <c r="AY863" s="21"/>
      <c r="AZ863" s="21"/>
      <c r="BA863" s="21"/>
      <c r="BB863" s="30" t="s">
        <v>121</v>
      </c>
      <c r="BC863" s="538">
        <v>402640</v>
      </c>
      <c r="BD863" s="538">
        <v>464240</v>
      </c>
      <c r="BE863" s="538">
        <v>560000</v>
      </c>
      <c r="BF863" s="538">
        <v>716800</v>
      </c>
      <c r="BG863" s="538">
        <v>798560</v>
      </c>
      <c r="BH863" s="21"/>
      <c r="BI863" s="30" t="s">
        <v>121</v>
      </c>
      <c r="BJ863" s="538">
        <v>402640</v>
      </c>
      <c r="BK863" s="538">
        <v>464240</v>
      </c>
      <c r="BL863" s="538">
        <v>560000</v>
      </c>
      <c r="BM863" s="538">
        <v>716800</v>
      </c>
      <c r="BN863" s="538">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row>
    <row r="864" spans="3:126" s="5" customFormat="1" ht="12.95" customHeight="1">
      <c r="J864" s="8" t="s">
        <v>483</v>
      </c>
      <c r="K864" s="9"/>
      <c r="L864" s="9"/>
      <c r="M864" s="1087" t="s">
        <v>484</v>
      </c>
      <c r="N864" s="1063"/>
      <c r="O864" s="1063"/>
      <c r="P864" s="1063"/>
      <c r="Q864" s="1063"/>
      <c r="R864" s="1063"/>
      <c r="S864" s="1063"/>
      <c r="T864" s="1063"/>
      <c r="U864" s="1063"/>
      <c r="V864" s="1064"/>
      <c r="W864" s="1069"/>
      <c r="X864" s="1063"/>
      <c r="Y864" s="1063"/>
      <c r="Z864" s="1063"/>
      <c r="AA864" s="1063"/>
      <c r="AB864" s="1063"/>
      <c r="AC864" s="1064"/>
      <c r="AM864" s="38"/>
      <c r="AN864" s="38"/>
      <c r="AO864" s="21"/>
      <c r="AP864" s="21"/>
      <c r="AQ864" s="21"/>
      <c r="AR864" s="21"/>
      <c r="AS864" s="21"/>
      <c r="AT864" s="21"/>
      <c r="AU864" s="21"/>
      <c r="AV864" s="21"/>
      <c r="AW864" s="21"/>
      <c r="AX864" s="21"/>
      <c r="AY864" s="21"/>
      <c r="AZ864" s="21"/>
      <c r="BA864" s="21"/>
      <c r="BB864" s="30" t="s">
        <v>123</v>
      </c>
      <c r="BC864" s="539">
        <v>402640</v>
      </c>
      <c r="BD864" s="539">
        <v>464240</v>
      </c>
      <c r="BE864" s="539">
        <v>560000</v>
      </c>
      <c r="BF864" s="539">
        <v>716800</v>
      </c>
      <c r="BG864" s="539">
        <v>798560</v>
      </c>
      <c r="BH864" s="21"/>
      <c r="BI864" s="30" t="s">
        <v>123</v>
      </c>
      <c r="BJ864" s="539">
        <v>402640</v>
      </c>
      <c r="BK864" s="539">
        <v>464240</v>
      </c>
      <c r="BL864" s="539">
        <v>560000</v>
      </c>
      <c r="BM864" s="539">
        <v>716800</v>
      </c>
      <c r="BN864" s="539">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3:126" s="5" customFormat="1" ht="12.95" customHeight="1">
      <c r="J865" s="8" t="s">
        <v>483</v>
      </c>
      <c r="K865" s="9"/>
      <c r="L865" s="9"/>
      <c r="M865" s="1087" t="s">
        <v>484</v>
      </c>
      <c r="N865" s="1063"/>
      <c r="O865" s="1063"/>
      <c r="P865" s="1063"/>
      <c r="Q865" s="1063"/>
      <c r="R865" s="1063"/>
      <c r="S865" s="1063"/>
      <c r="T865" s="1063"/>
      <c r="U865" s="1063"/>
      <c r="V865" s="1064"/>
      <c r="W865" s="1069"/>
      <c r="X865" s="1063"/>
      <c r="Y865" s="1063"/>
      <c r="Z865" s="1063"/>
      <c r="AA865" s="1063"/>
      <c r="AB865" s="1063"/>
      <c r="AC865" s="1064"/>
      <c r="AM865" s="38"/>
      <c r="AN865" s="38"/>
      <c r="AO865" s="21"/>
      <c r="AP865" s="21"/>
      <c r="AQ865" s="21"/>
      <c r="AR865" s="21"/>
      <c r="AS865" s="21"/>
      <c r="AT865" s="21"/>
      <c r="AU865" s="21"/>
      <c r="AV865" s="21"/>
      <c r="AW865" s="21"/>
      <c r="AX865" s="21"/>
      <c r="AY865" s="21"/>
      <c r="AZ865" s="21"/>
      <c r="BA865" s="21"/>
      <c r="BB865" s="30" t="s">
        <v>126</v>
      </c>
      <c r="BC865" s="538">
        <v>323262</v>
      </c>
      <c r="BD865" s="538">
        <v>372718</v>
      </c>
      <c r="BE865" s="538">
        <v>449600</v>
      </c>
      <c r="BF865" s="538">
        <v>575488</v>
      </c>
      <c r="BG865" s="538">
        <v>641130</v>
      </c>
      <c r="BH865" s="21"/>
      <c r="BI865" s="30" t="s">
        <v>126</v>
      </c>
      <c r="BJ865" s="538">
        <v>323262</v>
      </c>
      <c r="BK865" s="538">
        <v>372718</v>
      </c>
      <c r="BL865" s="538">
        <v>449600</v>
      </c>
      <c r="BM865" s="538">
        <v>575488</v>
      </c>
      <c r="BN865" s="538">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3:126" s="5" customFormat="1" ht="12.95" customHeight="1">
      <c r="J866" s="8" t="s">
        <v>483</v>
      </c>
      <c r="K866" s="9"/>
      <c r="L866" s="9"/>
      <c r="M866" s="1087" t="s">
        <v>484</v>
      </c>
      <c r="N866" s="1063"/>
      <c r="O866" s="1063"/>
      <c r="P866" s="1063"/>
      <c r="Q866" s="1063"/>
      <c r="R866" s="1063"/>
      <c r="S866" s="1063"/>
      <c r="T866" s="1063"/>
      <c r="U866" s="1063"/>
      <c r="V866" s="1064"/>
      <c r="W866" s="1069"/>
      <c r="X866" s="1063"/>
      <c r="Y866" s="1063"/>
      <c r="Z866" s="1063"/>
      <c r="AA866" s="1063"/>
      <c r="AB866" s="1063"/>
      <c r="AC866" s="1064"/>
      <c r="AM866" s="38"/>
      <c r="AN866" s="38"/>
      <c r="AO866" s="21"/>
      <c r="AP866" s="21"/>
      <c r="AQ866" s="21"/>
      <c r="AR866" s="21"/>
      <c r="AS866" s="21"/>
      <c r="AT866" s="21"/>
      <c r="AU866" s="21"/>
      <c r="AV866" s="21"/>
      <c r="AW866" s="21"/>
      <c r="AX866" s="21"/>
      <c r="AY866" s="21"/>
      <c r="AZ866" s="21"/>
      <c r="BA866" s="21"/>
      <c r="BB866" s="30" t="s">
        <v>129</v>
      </c>
      <c r="BC866" s="539">
        <v>402640</v>
      </c>
      <c r="BD866" s="539">
        <v>464240</v>
      </c>
      <c r="BE866" s="539">
        <v>560000</v>
      </c>
      <c r="BF866" s="539">
        <v>716800</v>
      </c>
      <c r="BG866" s="539">
        <v>798560</v>
      </c>
      <c r="BH866" s="21"/>
      <c r="BI866" s="30" t="s">
        <v>129</v>
      </c>
      <c r="BJ866" s="539">
        <v>402640</v>
      </c>
      <c r="BK866" s="539">
        <v>464240</v>
      </c>
      <c r="BL866" s="539">
        <v>560000</v>
      </c>
      <c r="BM866" s="539">
        <v>716800</v>
      </c>
      <c r="BN866" s="539">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3:126" s="5" customFormat="1" ht="12.95" customHeight="1">
      <c r="J867" s="8"/>
      <c r="K867" s="9"/>
      <c r="L867" s="9"/>
      <c r="M867" s="9"/>
      <c r="N867" s="9"/>
      <c r="O867" s="9"/>
      <c r="P867" s="9"/>
      <c r="Q867" s="9"/>
      <c r="R867" s="9"/>
      <c r="S867" s="9"/>
      <c r="T867" s="9"/>
      <c r="U867" s="9"/>
      <c r="V867" s="60" t="s">
        <v>784</v>
      </c>
      <c r="W867" s="1088">
        <f>SUM(W862:W866)</f>
        <v>0</v>
      </c>
      <c r="X867" s="973"/>
      <c r="Y867" s="973"/>
      <c r="Z867" s="973"/>
      <c r="AA867" s="973"/>
      <c r="AB867" s="973"/>
      <c r="AC867" s="974"/>
      <c r="AM867" s="38"/>
      <c r="AN867" s="38"/>
      <c r="AO867" s="21"/>
      <c r="AP867" s="21"/>
      <c r="AQ867" s="21"/>
      <c r="AR867" s="21"/>
      <c r="AS867" s="21"/>
      <c r="AT867" s="21"/>
      <c r="AU867" s="21"/>
      <c r="AV867" s="21"/>
      <c r="AW867" s="21"/>
      <c r="AX867" s="21"/>
      <c r="AY867" s="21"/>
      <c r="AZ867" s="21"/>
      <c r="BA867" s="21"/>
      <c r="BB867" s="30" t="s">
        <v>131</v>
      </c>
      <c r="BC867" s="538">
        <v>402640</v>
      </c>
      <c r="BD867" s="538">
        <v>464240</v>
      </c>
      <c r="BE867" s="538">
        <v>560000</v>
      </c>
      <c r="BF867" s="538">
        <v>716800</v>
      </c>
      <c r="BG867" s="538">
        <v>798560</v>
      </c>
      <c r="BH867" s="21"/>
      <c r="BI867" s="30" t="s">
        <v>131</v>
      </c>
      <c r="BJ867" s="538">
        <v>402640</v>
      </c>
      <c r="BK867" s="538">
        <v>464240</v>
      </c>
      <c r="BL867" s="538">
        <v>560000</v>
      </c>
      <c r="BM867" s="538">
        <v>716800</v>
      </c>
      <c r="BN867" s="538">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3:126" s="21" customFormat="1" ht="12.95" customHeight="1">
      <c r="V868" s="62"/>
      <c r="W868" s="70"/>
      <c r="X868" s="70"/>
      <c r="Y868" s="70"/>
      <c r="Z868" s="70"/>
      <c r="AA868" s="70"/>
      <c r="AB868" s="70"/>
      <c r="AM868" s="38"/>
      <c r="AN868" s="38"/>
      <c r="BB868" s="30" t="s">
        <v>135</v>
      </c>
      <c r="BC868" s="539">
        <v>442904</v>
      </c>
      <c r="BD868" s="539">
        <v>510664</v>
      </c>
      <c r="BE868" s="539">
        <v>616000</v>
      </c>
      <c r="BF868" s="539">
        <v>788480</v>
      </c>
      <c r="BG868" s="539">
        <v>878416</v>
      </c>
      <c r="BI868" s="30" t="s">
        <v>135</v>
      </c>
      <c r="BJ868" s="539">
        <v>442904</v>
      </c>
      <c r="BK868" s="539">
        <v>510664</v>
      </c>
      <c r="BL868" s="539">
        <v>616000</v>
      </c>
      <c r="BM868" s="539">
        <v>788480</v>
      </c>
      <c r="BN868" s="539">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3:126" s="21" customFormat="1" ht="12.95" customHeight="1">
      <c r="C869" s="3" t="s">
        <v>785</v>
      </c>
      <c r="V869" s="62"/>
      <c r="W869" s="70"/>
      <c r="X869" s="70"/>
      <c r="Y869" s="70"/>
      <c r="Z869" s="70"/>
      <c r="AA869" s="70"/>
      <c r="AB869" s="70"/>
      <c r="AM869" s="38"/>
      <c r="AN869" s="38"/>
      <c r="BB869" s="30" t="s">
        <v>139</v>
      </c>
      <c r="BC869" s="538">
        <v>406666</v>
      </c>
      <c r="BD869" s="538">
        <v>468882</v>
      </c>
      <c r="BE869" s="538">
        <v>565600</v>
      </c>
      <c r="BF869" s="538">
        <v>723968</v>
      </c>
      <c r="BG869" s="538">
        <v>806546</v>
      </c>
      <c r="BI869" s="30" t="s">
        <v>139</v>
      </c>
      <c r="BJ869" s="538">
        <v>406666</v>
      </c>
      <c r="BK869" s="538">
        <v>468882</v>
      </c>
      <c r="BL869" s="538">
        <v>565600</v>
      </c>
      <c r="BM869" s="538">
        <v>723968</v>
      </c>
      <c r="BN869" s="538">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3:126" s="21" customFormat="1" ht="12.95" customHeight="1">
      <c r="V870" s="62"/>
      <c r="W870" s="70"/>
      <c r="X870" s="70"/>
      <c r="Y870" s="70"/>
      <c r="Z870" s="70"/>
      <c r="AA870" s="70"/>
      <c r="AB870" s="70"/>
      <c r="AM870" s="38"/>
      <c r="AN870" s="38"/>
      <c r="BB870" s="30" t="s">
        <v>144</v>
      </c>
      <c r="BC870" s="539">
        <v>402640</v>
      </c>
      <c r="BD870" s="539">
        <v>464240</v>
      </c>
      <c r="BE870" s="539">
        <v>560000</v>
      </c>
      <c r="BF870" s="539">
        <v>716800</v>
      </c>
      <c r="BG870" s="539">
        <v>798560</v>
      </c>
      <c r="BI870" s="30" t="s">
        <v>144</v>
      </c>
      <c r="BJ870" s="539">
        <v>402640</v>
      </c>
      <c r="BK870" s="539">
        <v>464240</v>
      </c>
      <c r="BL870" s="539">
        <v>560000</v>
      </c>
      <c r="BM870" s="539">
        <v>716800</v>
      </c>
      <c r="BN870" s="539">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3:126" s="21" customFormat="1" ht="12.95" customHeight="1">
      <c r="E871" s="8"/>
      <c r="F871" s="9"/>
      <c r="G871" s="9"/>
      <c r="H871" s="9"/>
      <c r="I871" s="9"/>
      <c r="J871" s="9"/>
      <c r="K871" s="9"/>
      <c r="L871" s="9"/>
      <c r="M871" s="9"/>
      <c r="N871" s="9"/>
      <c r="O871" s="9"/>
      <c r="P871" s="9"/>
      <c r="Q871" s="9"/>
      <c r="R871" s="9"/>
      <c r="S871" s="9"/>
      <c r="T871" s="9"/>
      <c r="U871" s="9"/>
      <c r="V871" s="9"/>
      <c r="W871" s="9"/>
      <c r="X871" s="9"/>
      <c r="Y871" s="9"/>
      <c r="Z871" s="9"/>
      <c r="AA871" s="9"/>
      <c r="AB871" s="60" t="s">
        <v>786</v>
      </c>
      <c r="AC871" s="1088">
        <f>W834+W842+W849+W851+W860+W867+W836</f>
        <v>270060</v>
      </c>
      <c r="AD871" s="973"/>
      <c r="AE871" s="973"/>
      <c r="AF871" s="973"/>
      <c r="AG871" s="973"/>
      <c r="AH871" s="974"/>
      <c r="AM871" s="38"/>
      <c r="AN871" s="38"/>
      <c r="BB871" s="30" t="s">
        <v>147</v>
      </c>
      <c r="BC871" s="538">
        <v>402065</v>
      </c>
      <c r="BD871" s="538">
        <v>463577</v>
      </c>
      <c r="BE871" s="538">
        <v>559200</v>
      </c>
      <c r="BF871" s="538">
        <v>715776</v>
      </c>
      <c r="BG871" s="538">
        <v>797419</v>
      </c>
      <c r="BI871" s="30" t="s">
        <v>147</v>
      </c>
      <c r="BJ871" s="538">
        <v>402065</v>
      </c>
      <c r="BK871" s="538">
        <v>463577</v>
      </c>
      <c r="BL871" s="538">
        <v>559200</v>
      </c>
      <c r="BM871" s="538">
        <v>715776</v>
      </c>
      <c r="BN871" s="538">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3:126" s="21" customFormat="1" ht="12.95" customHeight="1">
      <c r="E872" s="8"/>
      <c r="F872" s="9"/>
      <c r="G872" s="9"/>
      <c r="H872" s="9"/>
      <c r="I872" s="9"/>
      <c r="J872" s="9"/>
      <c r="K872" s="9"/>
      <c r="L872" s="9"/>
      <c r="M872" s="9"/>
      <c r="N872" s="9"/>
      <c r="O872" s="9"/>
      <c r="P872" s="9"/>
      <c r="Q872" s="9"/>
      <c r="R872" s="9"/>
      <c r="S872" s="9"/>
      <c r="T872" s="9"/>
      <c r="U872" s="9"/>
      <c r="V872" s="9"/>
      <c r="W872" s="9"/>
      <c r="X872" s="9"/>
      <c r="Y872" s="9"/>
      <c r="Z872" s="9"/>
      <c r="AA872" s="9"/>
      <c r="AB872" s="60" t="s">
        <v>787</v>
      </c>
      <c r="AC872" s="1251">
        <f>O784+O764+G738</f>
        <v>39</v>
      </c>
      <c r="AD872" s="973"/>
      <c r="AE872" s="973"/>
      <c r="AF872" s="973"/>
      <c r="AG872" s="973"/>
      <c r="AH872" s="974"/>
      <c r="AM872" s="38"/>
      <c r="AN872" s="38"/>
      <c r="BB872" s="30" t="s">
        <v>149</v>
      </c>
      <c r="BC872" s="539">
        <v>360075</v>
      </c>
      <c r="BD872" s="539">
        <v>415163</v>
      </c>
      <c r="BE872" s="539">
        <v>500800</v>
      </c>
      <c r="BF872" s="539">
        <v>641024</v>
      </c>
      <c r="BG872" s="539">
        <v>714141</v>
      </c>
      <c r="BI872" s="30" t="s">
        <v>149</v>
      </c>
      <c r="BJ872" s="539">
        <v>360075</v>
      </c>
      <c r="BK872" s="539">
        <v>415163</v>
      </c>
      <c r="BL872" s="539">
        <v>500800</v>
      </c>
      <c r="BM872" s="539">
        <v>641024</v>
      </c>
      <c r="BN872" s="539">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3:126" s="21" customFormat="1" ht="12.95" customHeight="1" thickBot="1">
      <c r="E873" s="1232" t="s">
        <v>788</v>
      </c>
      <c r="F873" s="1230"/>
      <c r="G873" s="1230"/>
      <c r="H873" s="1230"/>
      <c r="I873" s="1230"/>
      <c r="J873" s="1230"/>
      <c r="K873" s="1230"/>
      <c r="L873" s="1230"/>
      <c r="M873" s="1230"/>
      <c r="N873" s="1230"/>
      <c r="O873" s="1230"/>
      <c r="P873" s="1230"/>
      <c r="Q873" s="1230"/>
      <c r="R873" s="1230"/>
      <c r="S873" s="1230"/>
      <c r="T873" s="1230"/>
      <c r="U873" s="1230"/>
      <c r="V873" s="1230"/>
      <c r="W873" s="1230"/>
      <c r="X873" s="1230"/>
      <c r="Y873" s="1230"/>
      <c r="Z873" s="1230"/>
      <c r="AA873" s="1230"/>
      <c r="AB873" s="1231"/>
      <c r="AC873" s="1229">
        <f>IF(ISERROR((ROUNDDOWN(AC871/AC872,0))),0,(ROUNDDOWN(AC871/AC872,0)))</f>
        <v>6924</v>
      </c>
      <c r="AD873" s="1230"/>
      <c r="AE873" s="1230"/>
      <c r="AF873" s="1230"/>
      <c r="AG873" s="1230"/>
      <c r="AH873" s="1231"/>
      <c r="AL873" s="3"/>
      <c r="AM873" s="38"/>
      <c r="AN873" s="38"/>
      <c r="BB873" s="30" t="s">
        <v>151</v>
      </c>
      <c r="BC873" s="538">
        <v>402640</v>
      </c>
      <c r="BD873" s="538">
        <v>464240</v>
      </c>
      <c r="BE873" s="538">
        <v>560000</v>
      </c>
      <c r="BF873" s="538">
        <v>716800</v>
      </c>
      <c r="BG873" s="538">
        <v>798560</v>
      </c>
      <c r="BI873" s="30" t="s">
        <v>151</v>
      </c>
      <c r="BJ873" s="538">
        <v>402640</v>
      </c>
      <c r="BK873" s="538">
        <v>464240</v>
      </c>
      <c r="BL873" s="538">
        <v>560000</v>
      </c>
      <c r="BM873" s="538">
        <v>716800</v>
      </c>
      <c r="BN873" s="538">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3:126" s="21" customFormat="1" ht="12.95" customHeight="1" thickTop="1">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88" t="s">
        <v>789</v>
      </c>
      <c r="AC874" s="1248">
        <v>155012</v>
      </c>
      <c r="AD874" s="1060"/>
      <c r="AE874" s="1060"/>
      <c r="AF874" s="1060"/>
      <c r="AG874" s="1060"/>
      <c r="AH874" s="1096"/>
      <c r="AM874" s="38"/>
      <c r="AN874" s="38"/>
      <c r="BB874" s="30" t="s">
        <v>156</v>
      </c>
      <c r="BC874" s="539">
        <v>381933</v>
      </c>
      <c r="BD874" s="539">
        <v>440365</v>
      </c>
      <c r="BE874" s="539">
        <v>531200</v>
      </c>
      <c r="BF874" s="539">
        <v>679936</v>
      </c>
      <c r="BG874" s="539">
        <v>757491</v>
      </c>
      <c r="BI874" s="30" t="s">
        <v>156</v>
      </c>
      <c r="BJ874" s="539">
        <v>381933</v>
      </c>
      <c r="BK874" s="539">
        <v>440365</v>
      </c>
      <c r="BL874" s="539">
        <v>531200</v>
      </c>
      <c r="BM874" s="539">
        <v>679936</v>
      </c>
      <c r="BN874" s="539">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3:126" s="21" customFormat="1" ht="12.95" customHeight="1">
      <c r="E875" s="8"/>
      <c r="F875" s="9"/>
      <c r="G875" s="9"/>
      <c r="H875" s="9"/>
      <c r="I875" s="9"/>
      <c r="J875" s="9"/>
      <c r="K875" s="9"/>
      <c r="L875" s="9"/>
      <c r="M875" s="9"/>
      <c r="N875" s="9"/>
      <c r="O875" s="9"/>
      <c r="P875" s="9"/>
      <c r="Q875" s="9"/>
      <c r="R875" s="9"/>
      <c r="S875" s="9"/>
      <c r="T875" s="9"/>
      <c r="U875" s="9"/>
      <c r="V875" s="9"/>
      <c r="W875" s="9"/>
      <c r="X875" s="9"/>
      <c r="Y875" s="9"/>
      <c r="Z875" s="9"/>
      <c r="AA875" s="9"/>
      <c r="AB875" s="60" t="s">
        <v>790</v>
      </c>
      <c r="AC875" s="1280"/>
      <c r="AD875" s="1063"/>
      <c r="AE875" s="1063"/>
      <c r="AF875" s="1063"/>
      <c r="AG875" s="1063"/>
      <c r="AH875" s="1064"/>
      <c r="AM875" s="38"/>
      <c r="AN875" s="38"/>
      <c r="AV875" s="1183"/>
      <c r="AW875" s="1184"/>
      <c r="AX875" s="1184"/>
      <c r="AY875" s="1184"/>
      <c r="BB875" s="30" t="s">
        <v>161</v>
      </c>
      <c r="BC875" s="538">
        <v>360075</v>
      </c>
      <c r="BD875" s="538">
        <v>415163</v>
      </c>
      <c r="BE875" s="538">
        <v>500800</v>
      </c>
      <c r="BF875" s="538">
        <v>641024</v>
      </c>
      <c r="BG875" s="538">
        <v>714141</v>
      </c>
      <c r="BI875" s="30" t="s">
        <v>161</v>
      </c>
      <c r="BJ875" s="538">
        <v>360075</v>
      </c>
      <c r="BK875" s="538">
        <v>415163</v>
      </c>
      <c r="BL875" s="538">
        <v>500800</v>
      </c>
      <c r="BM875" s="538">
        <v>641024</v>
      </c>
      <c r="BN875" s="538">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3:126" s="21" customFormat="1" ht="12.95" customHeight="1">
      <c r="E876" s="8"/>
      <c r="F876" s="9"/>
      <c r="G876" s="9"/>
      <c r="H876" s="9"/>
      <c r="I876" s="9"/>
      <c r="J876" s="9"/>
      <c r="K876" s="9"/>
      <c r="L876" s="9"/>
      <c r="M876" s="9"/>
      <c r="N876" s="9"/>
      <c r="O876" s="9"/>
      <c r="P876" s="9"/>
      <c r="Q876" s="9"/>
      <c r="R876" s="9"/>
      <c r="S876" s="9"/>
      <c r="T876" s="9"/>
      <c r="U876" s="9"/>
      <c r="V876" s="9"/>
      <c r="W876" s="9"/>
      <c r="X876" s="9"/>
      <c r="Y876" s="9"/>
      <c r="Z876" s="9"/>
      <c r="AA876" s="9"/>
      <c r="AB876" s="60" t="s">
        <v>791</v>
      </c>
      <c r="AC876" s="1069">
        <v>22800</v>
      </c>
      <c r="AD876" s="1063"/>
      <c r="AE876" s="1063"/>
      <c r="AF876" s="1063"/>
      <c r="AG876" s="1063"/>
      <c r="AH876" s="1064"/>
      <c r="AM876" s="38"/>
      <c r="AN876" s="38"/>
      <c r="BB876" s="30" t="s">
        <v>165</v>
      </c>
      <c r="BC876" s="539">
        <v>402640</v>
      </c>
      <c r="BD876" s="539">
        <v>464240</v>
      </c>
      <c r="BE876" s="539">
        <v>560000</v>
      </c>
      <c r="BF876" s="539">
        <v>716800</v>
      </c>
      <c r="BG876" s="539">
        <v>798560</v>
      </c>
      <c r="BI876" s="30" t="s">
        <v>165</v>
      </c>
      <c r="BJ876" s="539">
        <v>402640</v>
      </c>
      <c r="BK876" s="539">
        <v>464240</v>
      </c>
      <c r="BL876" s="539">
        <v>560000</v>
      </c>
      <c r="BM876" s="539">
        <v>716800</v>
      </c>
      <c r="BN876" s="539">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3:126" s="21" customFormat="1" ht="12.95" customHeight="1">
      <c r="E877" s="8"/>
      <c r="F877" s="9"/>
      <c r="G877" s="9"/>
      <c r="H877" s="9"/>
      <c r="I877" s="9"/>
      <c r="J877" s="9"/>
      <c r="K877" s="9"/>
      <c r="L877" s="9"/>
      <c r="M877" s="9"/>
      <c r="N877" s="9"/>
      <c r="O877" s="9"/>
      <c r="P877" s="9"/>
      <c r="Q877" s="9"/>
      <c r="R877" s="9"/>
      <c r="S877" s="9"/>
      <c r="T877" s="9"/>
      <c r="U877" s="9"/>
      <c r="V877" s="9"/>
      <c r="W877" s="9"/>
      <c r="X877" s="9"/>
      <c r="Y877" s="9"/>
      <c r="Z877" s="9"/>
      <c r="AA877" s="9"/>
      <c r="AB877" s="60" t="s">
        <v>792</v>
      </c>
      <c r="AC877" s="1069">
        <v>9750</v>
      </c>
      <c r="AD877" s="1063"/>
      <c r="AE877" s="1063"/>
      <c r="AF877" s="1063"/>
      <c r="AG877" s="1063"/>
      <c r="AH877" s="1064"/>
      <c r="AM877" s="38"/>
      <c r="AN877" s="38"/>
      <c r="BB877" s="30" t="s">
        <v>169</v>
      </c>
      <c r="BC877" s="538">
        <v>381933</v>
      </c>
      <c r="BD877" s="538">
        <v>440365</v>
      </c>
      <c r="BE877" s="538">
        <v>531200</v>
      </c>
      <c r="BF877" s="538">
        <v>679936</v>
      </c>
      <c r="BG877" s="538">
        <v>757491</v>
      </c>
      <c r="BI877" s="30" t="s">
        <v>169</v>
      </c>
      <c r="BJ877" s="538">
        <v>381933</v>
      </c>
      <c r="BK877" s="538">
        <v>440365</v>
      </c>
      <c r="BL877" s="538">
        <v>531200</v>
      </c>
      <c r="BM877" s="538">
        <v>679936</v>
      </c>
      <c r="BN877" s="538">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3:126" s="21" customFormat="1" ht="12.95" customHeight="1">
      <c r="E878" s="8"/>
      <c r="F878" s="9"/>
      <c r="G878" s="9"/>
      <c r="H878" s="9"/>
      <c r="I878" s="9"/>
      <c r="J878" s="9"/>
      <c r="K878" s="9"/>
      <c r="L878" s="9"/>
      <c r="M878" s="9"/>
      <c r="N878" s="9"/>
      <c r="O878" s="9"/>
      <c r="P878" s="9"/>
      <c r="Q878" s="9"/>
      <c r="R878" s="9"/>
      <c r="S878" s="9"/>
      <c r="T878" s="9"/>
      <c r="U878" s="9"/>
      <c r="V878" s="9"/>
      <c r="W878" s="9"/>
      <c r="X878" s="9"/>
      <c r="Y878" s="9"/>
      <c r="Z878" s="9"/>
      <c r="AA878" s="9"/>
      <c r="AB878" s="60" t="s">
        <v>793</v>
      </c>
      <c r="AC878" s="1069"/>
      <c r="AD878" s="1063"/>
      <c r="AE878" s="1063"/>
      <c r="AF878" s="1063"/>
      <c r="AG878" s="1063"/>
      <c r="AH878" s="1064"/>
      <c r="AM878" s="38"/>
      <c r="AN878" s="38"/>
      <c r="BB878" s="30" t="s">
        <v>175</v>
      </c>
      <c r="BC878" s="539">
        <v>392286</v>
      </c>
      <c r="BD878" s="539">
        <v>452302</v>
      </c>
      <c r="BE878" s="539">
        <v>545600</v>
      </c>
      <c r="BF878" s="539">
        <v>698368</v>
      </c>
      <c r="BG878" s="539">
        <v>778026</v>
      </c>
      <c r="BI878" s="30" t="s">
        <v>175</v>
      </c>
      <c r="BJ878" s="539">
        <v>392286</v>
      </c>
      <c r="BK878" s="539">
        <v>452302</v>
      </c>
      <c r="BL878" s="539">
        <v>545600</v>
      </c>
      <c r="BM878" s="539">
        <v>698368</v>
      </c>
      <c r="BN878" s="539">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3:126" s="21" customFormat="1" ht="12.95" customHeight="1">
      <c r="E879" s="8"/>
      <c r="F879" s="9"/>
      <c r="G879" s="9"/>
      <c r="H879" s="9"/>
      <c r="I879" s="9"/>
      <c r="J879" s="9"/>
      <c r="K879" s="9"/>
      <c r="L879" s="9"/>
      <c r="M879" s="9"/>
      <c r="N879" s="9"/>
      <c r="O879" s="9"/>
      <c r="P879" s="9"/>
      <c r="Q879" s="9"/>
      <c r="R879" s="9"/>
      <c r="S879" s="9"/>
      <c r="T879" s="9"/>
      <c r="U879" s="9"/>
      <c r="V879" s="9"/>
      <c r="W879" s="9"/>
      <c r="X879" s="9"/>
      <c r="Y879" s="9"/>
      <c r="Z879" s="9"/>
      <c r="AA879" s="9"/>
      <c r="AB879" s="60" t="s">
        <v>794</v>
      </c>
      <c r="AC879" s="1069"/>
      <c r="AD879" s="1063"/>
      <c r="AE879" s="1063"/>
      <c r="AF879" s="1063"/>
      <c r="AG879" s="1063"/>
      <c r="AH879" s="1064"/>
      <c r="AM879" s="38"/>
      <c r="AN879" s="38"/>
      <c r="BB879" s="30" t="s">
        <v>179</v>
      </c>
      <c r="BC879" s="538">
        <v>694266</v>
      </c>
      <c r="BD879" s="538">
        <v>800482</v>
      </c>
      <c r="BE879" s="538">
        <v>965600</v>
      </c>
      <c r="BF879" s="538">
        <v>1235968</v>
      </c>
      <c r="BG879" s="538">
        <v>1376946</v>
      </c>
      <c r="BI879" s="30" t="s">
        <v>179</v>
      </c>
      <c r="BJ879" s="538">
        <v>694266</v>
      </c>
      <c r="BK879" s="538">
        <v>800482</v>
      </c>
      <c r="BL879" s="538">
        <v>965600</v>
      </c>
      <c r="BM879" s="538">
        <v>1235968</v>
      </c>
      <c r="BN879" s="538">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3:126" s="21" customFormat="1" ht="12.95" customHeight="1">
      <c r="E880" s="8"/>
      <c r="F880" s="9"/>
      <c r="G880" s="9"/>
      <c r="H880" s="9"/>
      <c r="I880" s="9"/>
      <c r="J880" s="9"/>
      <c r="K880" s="9"/>
      <c r="L880" s="9"/>
      <c r="M880" s="9"/>
      <c r="N880" s="9"/>
      <c r="O880" s="9"/>
      <c r="P880" s="9"/>
      <c r="Q880" s="9"/>
      <c r="R880" s="9"/>
      <c r="S880" s="9"/>
      <c r="T880" s="9"/>
      <c r="U880" s="9"/>
      <c r="V880" s="9"/>
      <c r="W880" s="9"/>
      <c r="X880" s="9"/>
      <c r="Y880" s="9"/>
      <c r="Z880" s="9"/>
      <c r="AA880" s="9"/>
      <c r="AB880" s="60" t="s">
        <v>795</v>
      </c>
      <c r="AC880" s="1301"/>
      <c r="AD880" s="1063"/>
      <c r="AE880" s="1063"/>
      <c r="AF880" s="1063"/>
      <c r="AG880" s="1063"/>
      <c r="AH880" s="1064"/>
      <c r="AM880" s="38"/>
      <c r="AN880" s="38"/>
      <c r="BB880" s="30" t="s">
        <v>184</v>
      </c>
      <c r="BC880" s="539">
        <v>323262</v>
      </c>
      <c r="BD880" s="539">
        <v>372718</v>
      </c>
      <c r="BE880" s="539">
        <v>449600</v>
      </c>
      <c r="BF880" s="539">
        <v>575488</v>
      </c>
      <c r="BG880" s="539">
        <v>641130</v>
      </c>
      <c r="BI880" s="30" t="s">
        <v>184</v>
      </c>
      <c r="BJ880" s="539">
        <v>323262</v>
      </c>
      <c r="BK880" s="539">
        <v>372718</v>
      </c>
      <c r="BL880" s="539">
        <v>449600</v>
      </c>
      <c r="BM880" s="539">
        <v>575488</v>
      </c>
      <c r="BN880" s="539">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E881" s="1303" t="s">
        <v>796</v>
      </c>
      <c r="F881" s="1063"/>
      <c r="G881" s="1063"/>
      <c r="H881" s="1063"/>
      <c r="I881" s="1063"/>
      <c r="J881" s="1063"/>
      <c r="K881" s="1063"/>
      <c r="L881" s="1063"/>
      <c r="M881" s="1063"/>
      <c r="N881" s="1063"/>
      <c r="O881" s="1063"/>
      <c r="P881" s="1063"/>
      <c r="Q881" s="1063"/>
      <c r="R881" s="1063"/>
      <c r="S881" s="1063"/>
      <c r="T881" s="1063"/>
      <c r="U881" s="1063"/>
      <c r="V881" s="1063"/>
      <c r="W881" s="1063"/>
      <c r="X881" s="1063"/>
      <c r="Y881" s="1063"/>
      <c r="Z881" s="1063"/>
      <c r="AA881" s="1063"/>
      <c r="AB881" s="1064"/>
      <c r="AC881" s="1069"/>
      <c r="AD881" s="1063"/>
      <c r="AE881" s="1063"/>
      <c r="AF881" s="1063"/>
      <c r="AG881" s="1063"/>
      <c r="AH881" s="1064"/>
      <c r="AM881" s="38"/>
      <c r="AN881" s="38"/>
      <c r="BB881" s="30" t="s">
        <v>188</v>
      </c>
      <c r="BC881" s="538">
        <v>442904</v>
      </c>
      <c r="BD881" s="538">
        <v>510664</v>
      </c>
      <c r="BE881" s="538">
        <v>616000</v>
      </c>
      <c r="BF881" s="538">
        <v>788480</v>
      </c>
      <c r="BG881" s="538">
        <v>878416</v>
      </c>
      <c r="BI881" s="30" t="s">
        <v>188</v>
      </c>
      <c r="BJ881" s="538">
        <v>442904</v>
      </c>
      <c r="BK881" s="538">
        <v>510664</v>
      </c>
      <c r="BL881" s="538">
        <v>616000</v>
      </c>
      <c r="BM881" s="538">
        <v>788480</v>
      </c>
      <c r="BN881" s="538">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E882" s="1303" t="s">
        <v>796</v>
      </c>
      <c r="F882" s="1063"/>
      <c r="G882" s="1063"/>
      <c r="H882" s="1063"/>
      <c r="I882" s="1063"/>
      <c r="J882" s="1063"/>
      <c r="K882" s="1063"/>
      <c r="L882" s="1063"/>
      <c r="M882" s="1063"/>
      <c r="N882" s="1063"/>
      <c r="O882" s="1063"/>
      <c r="P882" s="1063"/>
      <c r="Q882" s="1063"/>
      <c r="R882" s="1063"/>
      <c r="S882" s="1063"/>
      <c r="T882" s="1063"/>
      <c r="U882" s="1063"/>
      <c r="V882" s="1063"/>
      <c r="W882" s="1063"/>
      <c r="X882" s="1063"/>
      <c r="Y882" s="1063"/>
      <c r="Z882" s="1063"/>
      <c r="AA882" s="1063"/>
      <c r="AB882" s="1064"/>
      <c r="AC882" s="1069"/>
      <c r="AD882" s="1063"/>
      <c r="AE882" s="1063"/>
      <c r="AF882" s="1063"/>
      <c r="AG882" s="1063"/>
      <c r="AH882" s="1064"/>
      <c r="AM882" s="38"/>
      <c r="AN882" s="38"/>
      <c r="BB882" s="30" t="s">
        <v>192</v>
      </c>
      <c r="BC882" s="537">
        <v>532060</v>
      </c>
      <c r="BD882" s="537">
        <v>613460</v>
      </c>
      <c r="BE882" s="539">
        <v>740000</v>
      </c>
      <c r="BF882" s="537">
        <v>947200</v>
      </c>
      <c r="BG882" s="537">
        <v>1055240</v>
      </c>
      <c r="BI882" s="30" t="s">
        <v>192</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B883" s="62"/>
      <c r="AC883" s="1233"/>
      <c r="AD883" s="1184"/>
      <c r="AE883" s="1184"/>
      <c r="AF883" s="1184"/>
      <c r="AG883" s="1184"/>
      <c r="AH883" s="1184"/>
      <c r="AM883" s="38"/>
      <c r="AN883" s="38"/>
      <c r="AT883" s="87"/>
      <c r="AU883" s="87"/>
      <c r="AV883" s="87"/>
      <c r="AW883" s="87"/>
      <c r="AX883" s="87"/>
      <c r="AY883" s="87"/>
      <c r="BB883" s="30" t="s">
        <v>196</v>
      </c>
      <c r="BC883" s="538">
        <v>442904</v>
      </c>
      <c r="BD883" s="538">
        <v>510664</v>
      </c>
      <c r="BE883" s="538">
        <v>616000</v>
      </c>
      <c r="BF883" s="538">
        <v>788480</v>
      </c>
      <c r="BG883" s="538">
        <v>878416</v>
      </c>
      <c r="BI883" s="30" t="s">
        <v>196</v>
      </c>
      <c r="BJ883" s="538">
        <v>442904</v>
      </c>
      <c r="BK883" s="538">
        <v>510664</v>
      </c>
      <c r="BL883" s="538">
        <v>616000</v>
      </c>
      <c r="BM883" s="538">
        <v>788480</v>
      </c>
      <c r="BN883" s="538">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525</v>
      </c>
      <c r="C884" s="3" t="s">
        <v>797</v>
      </c>
      <c r="X884" s="2"/>
      <c r="Y884" s="2"/>
      <c r="Z884" s="2"/>
      <c r="AA884" s="2"/>
      <c r="AB884" s="2"/>
      <c r="AC884" s="2"/>
      <c r="AD884" s="2"/>
      <c r="AM884" s="38"/>
      <c r="AN884" s="1191"/>
      <c r="AO884" s="1184"/>
      <c r="AP884" s="1183"/>
      <c r="AQ884" s="1184"/>
      <c r="AR884" s="1184"/>
      <c r="AS884" s="1184"/>
      <c r="AT884" s="87"/>
      <c r="AU884" s="87"/>
      <c r="AV884" s="87"/>
      <c r="AW884" s="87"/>
      <c r="AX884" s="87"/>
      <c r="AY884" s="87"/>
      <c r="BB884" s="30" t="s">
        <v>202</v>
      </c>
      <c r="BC884" s="537">
        <v>532060</v>
      </c>
      <c r="BD884" s="537">
        <v>613460</v>
      </c>
      <c r="BE884" s="537">
        <v>740000</v>
      </c>
      <c r="BF884" s="537">
        <v>947200</v>
      </c>
      <c r="BG884" s="537">
        <v>1055240</v>
      </c>
      <c r="BI884" s="30" t="s">
        <v>202</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X885" s="2"/>
      <c r="Y885" s="2"/>
      <c r="Z885" s="2"/>
      <c r="AA885" s="2"/>
      <c r="AB885" s="2"/>
      <c r="AC885" s="2"/>
      <c r="AD885" s="2"/>
      <c r="AG885" s="302"/>
      <c r="AH885" s="302"/>
      <c r="AI885" s="302"/>
      <c r="AM885" s="38"/>
      <c r="AN885" s="38"/>
      <c r="AP885" s="1183"/>
      <c r="AQ885" s="1184"/>
      <c r="AR885" s="1184"/>
      <c r="AS885" s="1184"/>
      <c r="BB885" s="30" t="s">
        <v>208</v>
      </c>
      <c r="BC885" s="538">
        <v>442904</v>
      </c>
      <c r="BD885" s="538">
        <v>510664</v>
      </c>
      <c r="BE885" s="538">
        <v>616000</v>
      </c>
      <c r="BF885" s="538">
        <v>788480</v>
      </c>
      <c r="BG885" s="538">
        <v>878416</v>
      </c>
      <c r="BI885" s="30" t="s">
        <v>208</v>
      </c>
      <c r="BJ885" s="538">
        <v>442904</v>
      </c>
      <c r="BK885" s="538">
        <v>510664</v>
      </c>
      <c r="BL885" s="538">
        <v>616000</v>
      </c>
      <c r="BM885" s="538">
        <v>788480</v>
      </c>
      <c r="BN885" s="538">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B886" s="3"/>
      <c r="H886" s="212" t="s">
        <v>798</v>
      </c>
      <c r="I886" s="9"/>
      <c r="J886" s="9"/>
      <c r="K886" s="9"/>
      <c r="L886" s="9"/>
      <c r="M886" s="9"/>
      <c r="N886" s="9"/>
      <c r="O886" s="9"/>
      <c r="P886" s="9"/>
      <c r="Q886" s="9"/>
      <c r="R886" s="9"/>
      <c r="S886" s="9"/>
      <c r="T886" s="9"/>
      <c r="U886" s="9"/>
      <c r="V886" s="9"/>
      <c r="W886" s="9"/>
      <c r="X886" s="9"/>
      <c r="Y886" s="52"/>
      <c r="Z886" s="1069"/>
      <c r="AA886" s="1063"/>
      <c r="AB886" s="1063"/>
      <c r="AC886" s="1063"/>
      <c r="AD886" s="1063"/>
      <c r="AE886" s="1064"/>
      <c r="AM886" s="38"/>
      <c r="AN886" s="38"/>
      <c r="BB886" s="30" t="s">
        <v>211</v>
      </c>
      <c r="BC886" s="539">
        <v>369278</v>
      </c>
      <c r="BD886" s="539">
        <v>425774</v>
      </c>
      <c r="BE886" s="539">
        <v>513600</v>
      </c>
      <c r="BF886" s="539">
        <v>657408</v>
      </c>
      <c r="BG886" s="539">
        <v>732394</v>
      </c>
      <c r="BI886" s="30" t="s">
        <v>211</v>
      </c>
      <c r="BJ886" s="539">
        <v>369278</v>
      </c>
      <c r="BK886" s="539">
        <v>425774</v>
      </c>
      <c r="BL886" s="539">
        <v>513600</v>
      </c>
      <c r="BM886" s="539">
        <v>657408</v>
      </c>
      <c r="BN886" s="539">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H887" s="212" t="s">
        <v>799</v>
      </c>
      <c r="I887" s="9"/>
      <c r="J887" s="9"/>
      <c r="K887" s="9"/>
      <c r="L887" s="9"/>
      <c r="M887" s="9"/>
      <c r="N887" s="9"/>
      <c r="O887" s="9"/>
      <c r="P887" s="9"/>
      <c r="Q887" s="9"/>
      <c r="R887" s="9"/>
      <c r="S887" s="9"/>
      <c r="T887" s="9"/>
      <c r="U887" s="9"/>
      <c r="V887" s="9"/>
      <c r="W887" s="9"/>
      <c r="X887" s="9"/>
      <c r="Y887" s="9"/>
      <c r="Z887" s="1069"/>
      <c r="AA887" s="1063"/>
      <c r="AB887" s="1063"/>
      <c r="AC887" s="1063"/>
      <c r="AD887" s="1063"/>
      <c r="AE887" s="1064"/>
      <c r="AM887" s="38"/>
      <c r="AN887" s="38"/>
      <c r="BB887" s="30" t="s">
        <v>217</v>
      </c>
      <c r="BC887" s="538">
        <v>402640</v>
      </c>
      <c r="BD887" s="538">
        <v>464240</v>
      </c>
      <c r="BE887" s="538">
        <v>560000</v>
      </c>
      <c r="BF887" s="538">
        <v>716800</v>
      </c>
      <c r="BG887" s="538">
        <v>798560</v>
      </c>
      <c r="BI887" s="30" t="s">
        <v>217</v>
      </c>
      <c r="BJ887" s="538">
        <v>402640</v>
      </c>
      <c r="BK887" s="538">
        <v>464240</v>
      </c>
      <c r="BL887" s="538">
        <v>560000</v>
      </c>
      <c r="BM887" s="538">
        <v>716800</v>
      </c>
      <c r="BN887" s="538">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H888" s="212" t="s">
        <v>800</v>
      </c>
      <c r="I888" s="9"/>
      <c r="J888" s="9"/>
      <c r="K888" s="9"/>
      <c r="L888" s="9"/>
      <c r="M888" s="9"/>
      <c r="N888" s="9"/>
      <c r="O888" s="9"/>
      <c r="P888" s="9"/>
      <c r="Q888" s="9"/>
      <c r="R888" s="9"/>
      <c r="S888" s="9"/>
      <c r="T888" s="9"/>
      <c r="U888" s="9"/>
      <c r="V888" s="9"/>
      <c r="W888" s="9"/>
      <c r="X888" s="9"/>
      <c r="Y888" s="9"/>
      <c r="Z888" s="1069"/>
      <c r="AA888" s="1063"/>
      <c r="AB888" s="1063"/>
      <c r="AC888" s="1063"/>
      <c r="AD888" s="1063"/>
      <c r="AE888" s="1064"/>
      <c r="AM888" s="38"/>
      <c r="AN888" s="38"/>
      <c r="AO888" s="21"/>
      <c r="AP888" s="21"/>
      <c r="AQ888" s="21"/>
      <c r="AR888" s="21"/>
      <c r="AS888" s="21"/>
      <c r="AT888" s="43"/>
      <c r="AU888" s="43"/>
      <c r="AV888" s="43"/>
      <c r="AW888" s="43"/>
      <c r="AX888" s="43"/>
      <c r="AY888" s="43"/>
      <c r="AZ888" s="43"/>
      <c r="BA888" s="43"/>
      <c r="BB888" s="30" t="s">
        <v>220</v>
      </c>
      <c r="BC888" s="539">
        <v>402640</v>
      </c>
      <c r="BD888" s="539">
        <v>464240</v>
      </c>
      <c r="BE888" s="539">
        <v>560000</v>
      </c>
      <c r="BF888" s="539">
        <v>716800</v>
      </c>
      <c r="BG888" s="539">
        <v>798560</v>
      </c>
      <c r="BH888" s="21"/>
      <c r="BI888" s="30" t="s">
        <v>220</v>
      </c>
      <c r="BJ888" s="539">
        <v>402640</v>
      </c>
      <c r="BK888" s="539">
        <v>464240</v>
      </c>
      <c r="BL888" s="539">
        <v>560000</v>
      </c>
      <c r="BM888" s="539">
        <v>716800</v>
      </c>
      <c r="BN888" s="539">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H889" s="8"/>
      <c r="I889" s="9"/>
      <c r="J889" s="9"/>
      <c r="K889" s="9"/>
      <c r="L889" s="9"/>
      <c r="M889" s="9"/>
      <c r="N889" s="9"/>
      <c r="O889" s="9"/>
      <c r="P889" s="9"/>
      <c r="Q889" s="9"/>
      <c r="R889" s="9"/>
      <c r="S889" s="9"/>
      <c r="T889" s="9"/>
      <c r="U889" s="9"/>
      <c r="V889" s="9"/>
      <c r="W889" s="9"/>
      <c r="X889" s="9"/>
      <c r="Y889" s="304" t="s">
        <v>801</v>
      </c>
      <c r="Z889" s="1088">
        <f>Z886-(Z887+Z888)</f>
        <v>0</v>
      </c>
      <c r="AA889" s="973"/>
      <c r="AB889" s="973"/>
      <c r="AC889" s="973"/>
      <c r="AD889" s="973"/>
      <c r="AE889" s="974"/>
      <c r="AM889" s="38"/>
      <c r="AN889" s="38"/>
      <c r="AO889" s="21"/>
      <c r="AP889" s="21"/>
      <c r="AQ889" s="21"/>
      <c r="AR889" s="21"/>
      <c r="AS889" s="21"/>
      <c r="AT889" s="43"/>
      <c r="AU889" s="43"/>
      <c r="AV889" s="43"/>
      <c r="AW889" s="43"/>
      <c r="AX889" s="43"/>
      <c r="AY889" s="43"/>
      <c r="AZ889" s="43"/>
      <c r="BA889" s="43"/>
      <c r="BB889" s="30" t="s">
        <v>225</v>
      </c>
      <c r="BC889" s="538">
        <v>406666</v>
      </c>
      <c r="BD889" s="538">
        <v>468882</v>
      </c>
      <c r="BE889" s="538">
        <v>565600</v>
      </c>
      <c r="BF889" s="538">
        <v>723968</v>
      </c>
      <c r="BG889" s="538">
        <v>806546</v>
      </c>
      <c r="BH889" s="21"/>
      <c r="BI889" s="30" t="s">
        <v>225</v>
      </c>
      <c r="BJ889" s="538">
        <v>406666</v>
      </c>
      <c r="BK889" s="538">
        <v>468882</v>
      </c>
      <c r="BL889" s="538">
        <v>565600</v>
      </c>
      <c r="BM889" s="538">
        <v>723968</v>
      </c>
      <c r="BN889" s="538">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230</v>
      </c>
      <c r="BC890" s="539">
        <v>406666</v>
      </c>
      <c r="BD890" s="539">
        <v>468882</v>
      </c>
      <c r="BE890" s="539">
        <v>565600</v>
      </c>
      <c r="BF890" s="539">
        <v>723968</v>
      </c>
      <c r="BG890" s="539">
        <v>806546</v>
      </c>
      <c r="BH890" s="21"/>
      <c r="BI890" s="30" t="s">
        <v>230</v>
      </c>
      <c r="BJ890" s="539">
        <v>406666</v>
      </c>
      <c r="BK890" s="539">
        <v>468882</v>
      </c>
      <c r="BL890" s="539">
        <v>565600</v>
      </c>
      <c r="BM890" s="539">
        <v>723968</v>
      </c>
      <c r="BN890" s="539">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802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233</v>
      </c>
      <c r="BC891" s="538">
        <v>323262</v>
      </c>
      <c r="BD891" s="538">
        <v>372718</v>
      </c>
      <c r="BE891" s="538">
        <v>449600</v>
      </c>
      <c r="BF891" s="538">
        <v>575488</v>
      </c>
      <c r="BG891" s="538">
        <v>641130</v>
      </c>
      <c r="BH891" s="21"/>
      <c r="BI891" s="30" t="s">
        <v>233</v>
      </c>
      <c r="BJ891" s="538">
        <v>323262</v>
      </c>
      <c r="BK891" s="538">
        <v>372718</v>
      </c>
      <c r="BL891" s="538">
        <v>449600</v>
      </c>
      <c r="BM891" s="538">
        <v>575488</v>
      </c>
      <c r="BN891" s="538">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803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238</v>
      </c>
      <c r="BC892" s="539">
        <v>360075</v>
      </c>
      <c r="BD892" s="539">
        <v>415163</v>
      </c>
      <c r="BE892" s="539">
        <v>500800</v>
      </c>
      <c r="BF892" s="539">
        <v>641024</v>
      </c>
      <c r="BG892" s="539">
        <v>714141</v>
      </c>
      <c r="BH892" s="21"/>
      <c r="BI892" s="30" t="s">
        <v>238</v>
      </c>
      <c r="BJ892" s="539">
        <v>360075</v>
      </c>
      <c r="BK892" s="539">
        <v>415163</v>
      </c>
      <c r="BL892" s="539">
        <v>500800</v>
      </c>
      <c r="BM892" s="539">
        <v>641024</v>
      </c>
      <c r="BN892" s="539">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804</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242</v>
      </c>
      <c r="BC893" s="538">
        <v>402640</v>
      </c>
      <c r="BD893" s="538">
        <v>464240</v>
      </c>
      <c r="BE893" s="538">
        <v>560000</v>
      </c>
      <c r="BF893" s="538">
        <v>716800</v>
      </c>
      <c r="BG893" s="538">
        <v>798560</v>
      </c>
      <c r="BH893" s="21"/>
      <c r="BI893" s="30" t="s">
        <v>242</v>
      </c>
      <c r="BJ893" s="538">
        <v>402640</v>
      </c>
      <c r="BK893" s="538">
        <v>464240</v>
      </c>
      <c r="BL893" s="538">
        <v>560000</v>
      </c>
      <c r="BM893" s="538">
        <v>716800</v>
      </c>
      <c r="BN893" s="538">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805</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245</v>
      </c>
      <c r="BC894" s="539">
        <v>402640</v>
      </c>
      <c r="BD894" s="539">
        <v>464240</v>
      </c>
      <c r="BE894" s="539">
        <v>560000</v>
      </c>
      <c r="BF894" s="539">
        <v>716800</v>
      </c>
      <c r="BG894" s="539">
        <v>798560</v>
      </c>
      <c r="BH894" s="21"/>
      <c r="BI894" s="30" t="s">
        <v>245</v>
      </c>
      <c r="BJ894" s="539">
        <v>402640</v>
      </c>
      <c r="BK894" s="539">
        <v>464240</v>
      </c>
      <c r="BL894" s="539">
        <v>560000</v>
      </c>
      <c r="BM894" s="539">
        <v>716800</v>
      </c>
      <c r="BN894" s="539">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250</v>
      </c>
      <c r="BC895" s="538">
        <v>323262</v>
      </c>
      <c r="BD895" s="538">
        <v>372718</v>
      </c>
      <c r="BE895" s="538">
        <v>449600</v>
      </c>
      <c r="BF895" s="538">
        <v>575488</v>
      </c>
      <c r="BG895" s="538">
        <v>641130</v>
      </c>
      <c r="BH895" s="21"/>
      <c r="BI895" s="30" t="s">
        <v>250</v>
      </c>
      <c r="BJ895" s="538">
        <v>323262</v>
      </c>
      <c r="BK895" s="538">
        <v>372718</v>
      </c>
      <c r="BL895" s="538">
        <v>449600</v>
      </c>
      <c r="BM895" s="538">
        <v>575488</v>
      </c>
      <c r="BN895" s="538">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50" t="s">
        <v>806</v>
      </c>
      <c r="B896" s="976"/>
      <c r="C896" s="1113"/>
      <c r="D896" s="976"/>
      <c r="E896" s="976"/>
      <c r="F896" s="976"/>
      <c r="G896" s="976"/>
      <c r="H896" s="976"/>
      <c r="I896" s="976"/>
      <c r="J896" s="976"/>
      <c r="K896" s="976"/>
      <c r="L896" s="976"/>
      <c r="M896" s="976"/>
      <c r="N896" s="976"/>
      <c r="O896" s="976"/>
      <c r="P896" s="976"/>
      <c r="Q896" s="976"/>
      <c r="R896" s="976"/>
      <c r="S896" s="976"/>
      <c r="T896" s="976"/>
      <c r="U896" s="976"/>
      <c r="V896" s="976"/>
      <c r="W896" s="976"/>
      <c r="X896" s="976"/>
      <c r="Y896" s="976"/>
      <c r="Z896" s="976"/>
      <c r="AA896" s="976"/>
      <c r="AB896" s="976"/>
      <c r="AC896" s="976"/>
      <c r="AD896" s="976"/>
      <c r="AE896" s="976"/>
      <c r="AF896" s="976"/>
      <c r="AG896" s="976"/>
      <c r="AH896" s="976"/>
      <c r="AI896" s="976"/>
      <c r="AJ896" s="976"/>
      <c r="AK896" s="976"/>
      <c r="AL896" s="976"/>
      <c r="AM896" s="976"/>
      <c r="AN896" s="976"/>
      <c r="AO896" s="976"/>
      <c r="AP896" s="976"/>
      <c r="AQ896" s="976"/>
      <c r="AR896" s="976"/>
      <c r="AS896" s="976"/>
      <c r="AT896" s="976"/>
      <c r="AU896" s="43"/>
      <c r="AV896" s="43"/>
      <c r="AW896" s="43"/>
      <c r="AX896" s="43"/>
      <c r="AY896" s="43"/>
      <c r="AZ896" s="43"/>
      <c r="BA896" s="43"/>
      <c r="BB896" s="30" t="s">
        <v>252</v>
      </c>
      <c r="BC896" s="539">
        <v>402640</v>
      </c>
      <c r="BD896" s="539">
        <v>464240</v>
      </c>
      <c r="BE896" s="539">
        <v>560000</v>
      </c>
      <c r="BF896" s="539">
        <v>716800</v>
      </c>
      <c r="BG896" s="539">
        <v>798560</v>
      </c>
      <c r="BH896" s="21"/>
      <c r="BI896" s="30" t="s">
        <v>252</v>
      </c>
      <c r="BJ896" s="539">
        <v>402640</v>
      </c>
      <c r="BK896" s="539">
        <v>464240</v>
      </c>
      <c r="BL896" s="539">
        <v>560000</v>
      </c>
      <c r="BM896" s="539">
        <v>716800</v>
      </c>
      <c r="BN896" s="539">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76"/>
      <c r="B897" s="976"/>
      <c r="C897" s="1113"/>
      <c r="D897" s="976"/>
      <c r="E897" s="976"/>
      <c r="F897" s="976"/>
      <c r="G897" s="976"/>
      <c r="H897" s="976"/>
      <c r="I897" s="976"/>
      <c r="J897" s="976"/>
      <c r="K897" s="976"/>
      <c r="L897" s="976"/>
      <c r="M897" s="976"/>
      <c r="N897" s="976"/>
      <c r="O897" s="976"/>
      <c r="P897" s="976"/>
      <c r="Q897" s="976"/>
      <c r="R897" s="976"/>
      <c r="S897" s="976"/>
      <c r="T897" s="976"/>
      <c r="U897" s="976"/>
      <c r="V897" s="976"/>
      <c r="W897" s="976"/>
      <c r="X897" s="976"/>
      <c r="Y897" s="976"/>
      <c r="Z897" s="976"/>
      <c r="AA897" s="976"/>
      <c r="AB897" s="976"/>
      <c r="AC897" s="976"/>
      <c r="AD897" s="976"/>
      <c r="AE897" s="976"/>
      <c r="AF897" s="976"/>
      <c r="AG897" s="976"/>
      <c r="AH897" s="976"/>
      <c r="AI897" s="976"/>
      <c r="AJ897" s="976"/>
      <c r="AK897" s="976"/>
      <c r="AL897" s="976"/>
      <c r="AM897" s="976"/>
      <c r="AN897" s="976"/>
      <c r="AO897" s="976"/>
      <c r="AP897" s="976"/>
      <c r="AQ897" s="976"/>
      <c r="AR897" s="976"/>
      <c r="AS897" s="976"/>
      <c r="AT897" s="976"/>
      <c r="AU897" s="43"/>
      <c r="AV897" s="43"/>
      <c r="AW897" s="43"/>
      <c r="AX897" s="43"/>
      <c r="AY897" s="43"/>
      <c r="AZ897" s="43"/>
      <c r="BA897" s="43"/>
      <c r="BB897" s="30" t="s">
        <v>254</v>
      </c>
      <c r="BC897" s="538">
        <v>442904</v>
      </c>
      <c r="BD897" s="538">
        <v>510664</v>
      </c>
      <c r="BE897" s="538">
        <v>616000</v>
      </c>
      <c r="BF897" s="538">
        <v>788480</v>
      </c>
      <c r="BG897" s="538">
        <v>878416</v>
      </c>
      <c r="BH897" s="21"/>
      <c r="BI897" s="30" t="s">
        <v>254</v>
      </c>
      <c r="BJ897" s="538">
        <v>442904</v>
      </c>
      <c r="BK897" s="538">
        <v>510664</v>
      </c>
      <c r="BL897" s="538">
        <v>616000</v>
      </c>
      <c r="BM897" s="538">
        <v>788480</v>
      </c>
      <c r="BN897" s="538">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260</v>
      </c>
      <c r="BC898" s="539">
        <v>360075</v>
      </c>
      <c r="BD898" s="539">
        <v>415163</v>
      </c>
      <c r="BE898" s="539">
        <v>500800</v>
      </c>
      <c r="BF898" s="539">
        <v>641024</v>
      </c>
      <c r="BG898" s="539">
        <v>714141</v>
      </c>
      <c r="BH898" s="21"/>
      <c r="BI898" s="30" t="s">
        <v>260</v>
      </c>
      <c r="BJ898" s="539">
        <v>360075</v>
      </c>
      <c r="BK898" s="539">
        <v>415163</v>
      </c>
      <c r="BL898" s="539">
        <v>500800</v>
      </c>
      <c r="BM898" s="539">
        <v>641024</v>
      </c>
      <c r="BN898" s="539">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97</v>
      </c>
      <c r="C899" s="3" t="s">
        <v>807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264</v>
      </c>
      <c r="BC899" s="538">
        <v>360075</v>
      </c>
      <c r="BD899" s="538">
        <v>415163</v>
      </c>
      <c r="BE899" s="538">
        <v>500800</v>
      </c>
      <c r="BF899" s="538">
        <v>641024</v>
      </c>
      <c r="BG899" s="538">
        <v>714141</v>
      </c>
      <c r="BH899" s="21"/>
      <c r="BI899" s="30" t="s">
        <v>264</v>
      </c>
      <c r="BJ899" s="538">
        <v>360075</v>
      </c>
      <c r="BK899" s="538">
        <v>415163</v>
      </c>
      <c r="BL899" s="538">
        <v>500800</v>
      </c>
      <c r="BM899" s="538">
        <v>641024</v>
      </c>
      <c r="BN899" s="538">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F901" s="1164" t="s">
        <v>808</v>
      </c>
      <c r="G901" s="1073"/>
      <c r="H901" s="1073"/>
      <c r="I901" s="1073"/>
      <c r="J901" s="1073"/>
      <c r="K901" s="1073"/>
      <c r="L901" s="1073"/>
      <c r="M901" s="1073"/>
      <c r="N901" s="1073"/>
      <c r="O901" s="1073"/>
      <c r="P901" s="1073"/>
      <c r="Q901" s="1073"/>
      <c r="R901" s="1073"/>
      <c r="S901" s="1073"/>
      <c r="T901" s="1074"/>
      <c r="U901" s="1254" t="s">
        <v>809</v>
      </c>
      <c r="V901" s="1073"/>
      <c r="W901" s="1073"/>
      <c r="X901" s="1073"/>
      <c r="Y901" s="1073"/>
      <c r="Z901" s="107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F902" s="1272" t="s">
        <v>810</v>
      </c>
      <c r="G902" s="976"/>
      <c r="H902" s="976"/>
      <c r="I902" s="976"/>
      <c r="J902" s="976"/>
      <c r="K902" s="976"/>
      <c r="L902" s="976"/>
      <c r="M902" s="976"/>
      <c r="N902" s="976"/>
      <c r="O902" s="976"/>
      <c r="P902" s="976"/>
      <c r="Q902" s="976"/>
      <c r="R902" s="976"/>
      <c r="S902" s="976"/>
      <c r="T902" s="977"/>
      <c r="U902" s="1091"/>
      <c r="V902" s="976"/>
      <c r="W902" s="976"/>
      <c r="X902" s="976"/>
      <c r="Y902" s="976"/>
      <c r="Z902" s="976"/>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F903" s="1092"/>
      <c r="G903" s="1093"/>
      <c r="H903" s="1093"/>
      <c r="I903" s="1093"/>
      <c r="J903" s="1093"/>
      <c r="K903" s="1093"/>
      <c r="L903" s="1093"/>
      <c r="M903" s="1093"/>
      <c r="N903" s="1093"/>
      <c r="O903" s="1093"/>
      <c r="P903" s="1093"/>
      <c r="Q903" s="1093"/>
      <c r="R903" s="1093"/>
      <c r="S903" s="1093"/>
      <c r="T903" s="1094"/>
      <c r="U903" s="1092"/>
      <c r="V903" s="1093"/>
      <c r="W903" s="1093"/>
      <c r="X903" s="1093"/>
      <c r="Y903" s="1093"/>
      <c r="Z903" s="1093"/>
      <c r="AA903" s="196"/>
      <c r="AB903" s="1328" t="s">
        <v>811</v>
      </c>
      <c r="AC903" s="1093"/>
      <c r="AD903" s="1093"/>
      <c r="AE903" s="1093"/>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F904" s="1089" t="s">
        <v>812</v>
      </c>
      <c r="G904" s="973"/>
      <c r="H904" s="973"/>
      <c r="I904" s="973"/>
      <c r="J904" s="973"/>
      <c r="K904" s="973"/>
      <c r="L904" s="973"/>
      <c r="M904" s="973"/>
      <c r="N904" s="973"/>
      <c r="O904" s="973"/>
      <c r="P904" s="973"/>
      <c r="Q904" s="973"/>
      <c r="R904" s="973"/>
      <c r="S904" s="973"/>
      <c r="T904" s="974"/>
      <c r="U904" s="1097" t="s">
        <v>155</v>
      </c>
      <c r="V904" s="1063"/>
      <c r="W904" s="1063"/>
      <c r="X904" s="1063"/>
      <c r="Y904" s="1063"/>
      <c r="Z904" s="1064"/>
      <c r="AA904" s="1095"/>
      <c r="AB904" s="1060"/>
      <c r="AC904" s="1060"/>
      <c r="AD904" s="1060"/>
      <c r="AE904" s="1060"/>
      <c r="AF904" s="109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F905" s="1089" t="s">
        <v>813</v>
      </c>
      <c r="G905" s="973"/>
      <c r="H905" s="973"/>
      <c r="I905" s="973"/>
      <c r="J905" s="973"/>
      <c r="K905" s="973"/>
      <c r="L905" s="973"/>
      <c r="M905" s="973"/>
      <c r="N905" s="973"/>
      <c r="O905" s="973"/>
      <c r="P905" s="973"/>
      <c r="Q905" s="973"/>
      <c r="R905" s="973"/>
      <c r="S905" s="973"/>
      <c r="T905" s="974"/>
      <c r="U905" s="1097" t="s">
        <v>155</v>
      </c>
      <c r="V905" s="1063"/>
      <c r="W905" s="1063"/>
      <c r="X905" s="1063"/>
      <c r="Y905" s="1063"/>
      <c r="Z905" s="1064"/>
      <c r="AA905" s="1095"/>
      <c r="AB905" s="1060"/>
      <c r="AC905" s="1060"/>
      <c r="AD905" s="1060"/>
      <c r="AE905" s="1060"/>
      <c r="AF905" s="109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F906" s="1277" t="s">
        <v>814</v>
      </c>
      <c r="G906" s="973"/>
      <c r="H906" s="973"/>
      <c r="I906" s="973"/>
      <c r="J906" s="973"/>
      <c r="K906" s="973"/>
      <c r="L906" s="973"/>
      <c r="M906" s="973"/>
      <c r="N906" s="973"/>
      <c r="O906" s="973"/>
      <c r="P906" s="973"/>
      <c r="Q906" s="973"/>
      <c r="R906" s="973"/>
      <c r="S906" s="973"/>
      <c r="T906" s="974"/>
      <c r="U906" s="1097" t="s">
        <v>155</v>
      </c>
      <c r="V906" s="1063"/>
      <c r="W906" s="1063"/>
      <c r="X906" s="1063"/>
      <c r="Y906" s="1063"/>
      <c r="Z906" s="1064"/>
      <c r="AA906" s="1095"/>
      <c r="AB906" s="1060"/>
      <c r="AC906" s="1060"/>
      <c r="AD906" s="1060"/>
      <c r="AE906" s="1060"/>
      <c r="AF906" s="109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F907" s="1277" t="s">
        <v>815</v>
      </c>
      <c r="G907" s="973"/>
      <c r="H907" s="973"/>
      <c r="I907" s="973"/>
      <c r="J907" s="973"/>
      <c r="K907" s="973"/>
      <c r="L907" s="973"/>
      <c r="M907" s="973"/>
      <c r="N907" s="973"/>
      <c r="O907" s="973"/>
      <c r="P907" s="973"/>
      <c r="Q907" s="973"/>
      <c r="R907" s="973"/>
      <c r="S907" s="973"/>
      <c r="T907" s="974"/>
      <c r="U907" s="1097" t="s">
        <v>155</v>
      </c>
      <c r="V907" s="1063"/>
      <c r="W907" s="1063"/>
      <c r="X907" s="1063"/>
      <c r="Y907" s="1063"/>
      <c r="Z907" s="1064"/>
      <c r="AA907" s="1095"/>
      <c r="AB907" s="1060"/>
      <c r="AC907" s="1060"/>
      <c r="AD907" s="1060"/>
      <c r="AE907" s="1060"/>
      <c r="AF907" s="109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F908" s="1277" t="s">
        <v>816</v>
      </c>
      <c r="G908" s="973"/>
      <c r="H908" s="973"/>
      <c r="I908" s="973"/>
      <c r="J908" s="973"/>
      <c r="K908" s="973"/>
      <c r="L908" s="973"/>
      <c r="M908" s="973"/>
      <c r="N908" s="973"/>
      <c r="O908" s="973"/>
      <c r="P908" s="973"/>
      <c r="Q908" s="973"/>
      <c r="R908" s="973"/>
      <c r="S908" s="973"/>
      <c r="T908" s="974"/>
      <c r="U908" s="1097" t="s">
        <v>155</v>
      </c>
      <c r="V908" s="1063"/>
      <c r="W908" s="1063"/>
      <c r="X908" s="1063"/>
      <c r="Y908" s="1063"/>
      <c r="Z908" s="1064"/>
      <c r="AA908" s="1095"/>
      <c r="AB908" s="1060"/>
      <c r="AC908" s="1060"/>
      <c r="AD908" s="1060"/>
      <c r="AE908" s="1060"/>
      <c r="AF908" s="1096"/>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F909" s="1089" t="s">
        <v>817</v>
      </c>
      <c r="G909" s="973"/>
      <c r="H909" s="973"/>
      <c r="I909" s="973"/>
      <c r="J909" s="973"/>
      <c r="K909" s="973"/>
      <c r="L909" s="973"/>
      <c r="M909" s="973"/>
      <c r="N909" s="973"/>
      <c r="O909" s="973"/>
      <c r="P909" s="973"/>
      <c r="Q909" s="973"/>
      <c r="R909" s="973"/>
      <c r="S909" s="973"/>
      <c r="T909" s="974"/>
      <c r="U909" s="1097" t="s">
        <v>155</v>
      </c>
      <c r="V909" s="1063"/>
      <c r="W909" s="1063"/>
      <c r="X909" s="1063"/>
      <c r="Y909" s="1063"/>
      <c r="Z909" s="1064"/>
      <c r="AA909" s="1095"/>
      <c r="AB909" s="1060"/>
      <c r="AC909" s="1060"/>
      <c r="AD909" s="1060"/>
      <c r="AE909" s="1060"/>
      <c r="AF909" s="109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F910" s="1089" t="s">
        <v>818</v>
      </c>
      <c r="G910" s="973"/>
      <c r="H910" s="973"/>
      <c r="I910" s="973"/>
      <c r="J910" s="973"/>
      <c r="K910" s="973"/>
      <c r="L910" s="973"/>
      <c r="M910" s="973"/>
      <c r="N910" s="973"/>
      <c r="O910" s="973"/>
      <c r="P910" s="973"/>
      <c r="Q910" s="973"/>
      <c r="R910" s="973"/>
      <c r="S910" s="973"/>
      <c r="T910" s="974"/>
      <c r="U910" s="1097" t="s">
        <v>155</v>
      </c>
      <c r="V910" s="1063"/>
      <c r="W910" s="1063"/>
      <c r="X910" s="1063"/>
      <c r="Y910" s="1063"/>
      <c r="Z910" s="1064"/>
      <c r="AA910" s="1095"/>
      <c r="AB910" s="1060"/>
      <c r="AC910" s="1060"/>
      <c r="AD910" s="1060"/>
      <c r="AE910" s="1060"/>
      <c r="AF910" s="109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F911" s="1089" t="s">
        <v>819</v>
      </c>
      <c r="G911" s="973"/>
      <c r="H911" s="973"/>
      <c r="I911" s="973"/>
      <c r="J911" s="973"/>
      <c r="K911" s="973"/>
      <c r="L911" s="973"/>
      <c r="M911" s="973"/>
      <c r="N911" s="973"/>
      <c r="O911" s="973"/>
      <c r="P911" s="973"/>
      <c r="Q911" s="973"/>
      <c r="R911" s="973"/>
      <c r="S911" s="973"/>
      <c r="T911" s="974"/>
      <c r="U911" s="1097" t="s">
        <v>155</v>
      </c>
      <c r="V911" s="1063"/>
      <c r="W911" s="1063"/>
      <c r="X911" s="1063"/>
      <c r="Y911" s="1063"/>
      <c r="Z911" s="1064"/>
      <c r="AA911" s="1095"/>
      <c r="AB911" s="1060"/>
      <c r="AC911" s="1060"/>
      <c r="AD911" s="1060"/>
      <c r="AE911" s="1060"/>
      <c r="AF911" s="109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F912" s="1089" t="s">
        <v>820</v>
      </c>
      <c r="G912" s="973"/>
      <c r="H912" s="973"/>
      <c r="I912" s="973"/>
      <c r="J912" s="973"/>
      <c r="K912" s="973"/>
      <c r="L912" s="973"/>
      <c r="M912" s="973"/>
      <c r="N912" s="973"/>
      <c r="O912" s="973"/>
      <c r="P912" s="973"/>
      <c r="Q912" s="973"/>
      <c r="R912" s="973"/>
      <c r="S912" s="973"/>
      <c r="T912" s="974"/>
      <c r="U912" s="1097" t="s">
        <v>155</v>
      </c>
      <c r="V912" s="1063"/>
      <c r="W912" s="1063"/>
      <c r="X912" s="1063"/>
      <c r="Y912" s="1063"/>
      <c r="Z912" s="1064"/>
      <c r="AA912" s="1095"/>
      <c r="AB912" s="1060"/>
      <c r="AC912" s="1060"/>
      <c r="AD912" s="1060"/>
      <c r="AE912" s="1060"/>
      <c r="AF912" s="109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ht="12.95" customHeight="1">
      <c r="F913" s="1089" t="s">
        <v>821</v>
      </c>
      <c r="G913" s="973"/>
      <c r="H913" s="973"/>
      <c r="I913" s="973"/>
      <c r="J913" s="973"/>
      <c r="K913" s="973"/>
      <c r="L913" s="973"/>
      <c r="M913" s="973"/>
      <c r="N913" s="973"/>
      <c r="O913" s="973"/>
      <c r="P913" s="973"/>
      <c r="Q913" s="973"/>
      <c r="R913" s="973"/>
      <c r="S913" s="973"/>
      <c r="T913" s="974"/>
      <c r="U913" s="1097" t="s">
        <v>155</v>
      </c>
      <c r="V913" s="1063"/>
      <c r="W913" s="1063"/>
      <c r="X913" s="1063"/>
      <c r="Y913" s="1063"/>
      <c r="Z913" s="1064"/>
      <c r="AA913" s="1095"/>
      <c r="AB913" s="1060"/>
      <c r="AC913" s="1060"/>
      <c r="AD913" s="1060"/>
      <c r="AE913" s="1060"/>
      <c r="AF913" s="109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ht="12.95" customHeight="1">
      <c r="F914" s="1089" t="s">
        <v>822</v>
      </c>
      <c r="G914" s="973"/>
      <c r="H914" s="973"/>
      <c r="I914" s="973"/>
      <c r="J914" s="973"/>
      <c r="K914" s="973"/>
      <c r="L914" s="973"/>
      <c r="M914" s="973"/>
      <c r="N914" s="973"/>
      <c r="O914" s="973"/>
      <c r="P914" s="973"/>
      <c r="Q914" s="973"/>
      <c r="R914" s="973"/>
      <c r="S914" s="973"/>
      <c r="T914" s="974"/>
      <c r="U914" s="1097" t="s">
        <v>155</v>
      </c>
      <c r="V914" s="1063"/>
      <c r="W914" s="1063"/>
      <c r="X914" s="1063"/>
      <c r="Y914" s="1063"/>
      <c r="Z914" s="1064"/>
      <c r="AA914" s="1095"/>
      <c r="AB914" s="1060"/>
      <c r="AC914" s="1060"/>
      <c r="AD914" s="1060"/>
      <c r="AE914" s="1060"/>
      <c r="AF914" s="109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ht="12.95" customHeight="1">
      <c r="F915" s="1089" t="s">
        <v>823</v>
      </c>
      <c r="G915" s="973"/>
      <c r="H915" s="973"/>
      <c r="I915" s="973"/>
      <c r="J915" s="973"/>
      <c r="K915" s="973"/>
      <c r="L915" s="973"/>
      <c r="M915" s="973"/>
      <c r="N915" s="973"/>
      <c r="O915" s="973"/>
      <c r="P915" s="973"/>
      <c r="Q915" s="973"/>
      <c r="R915" s="973"/>
      <c r="S915" s="973"/>
      <c r="T915" s="974"/>
      <c r="U915" s="1097" t="s">
        <v>155</v>
      </c>
      <c r="V915" s="1063"/>
      <c r="W915" s="1063"/>
      <c r="X915" s="1063"/>
      <c r="Y915" s="1063"/>
      <c r="Z915" s="1064"/>
      <c r="AA915" s="1095"/>
      <c r="AB915" s="1060"/>
      <c r="AC915" s="1060"/>
      <c r="AD915" s="1060"/>
      <c r="AE915" s="1060"/>
      <c r="AF915" s="109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ht="12.95" customHeight="1">
      <c r="F916" s="1089" t="s">
        <v>824</v>
      </c>
      <c r="G916" s="973"/>
      <c r="H916" s="973"/>
      <c r="I916" s="973"/>
      <c r="J916" s="973"/>
      <c r="K916" s="973"/>
      <c r="L916" s="973"/>
      <c r="M916" s="973"/>
      <c r="N916" s="973"/>
      <c r="O916" s="973"/>
      <c r="P916" s="973"/>
      <c r="Q916" s="973"/>
      <c r="R916" s="973"/>
      <c r="S916" s="973"/>
      <c r="T916" s="974"/>
      <c r="U916" s="1097" t="s">
        <v>155</v>
      </c>
      <c r="V916" s="1063"/>
      <c r="W916" s="1063"/>
      <c r="X916" s="1063"/>
      <c r="Y916" s="1063"/>
      <c r="Z916" s="1064"/>
      <c r="AA916" s="1095"/>
      <c r="AB916" s="1060"/>
      <c r="AC916" s="1060"/>
      <c r="AD916" s="1060"/>
      <c r="AE916" s="1060"/>
      <c r="AF916" s="1096"/>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ht="12.95" customHeight="1">
      <c r="F917" s="1234" t="s">
        <v>825</v>
      </c>
      <c r="G917" s="973"/>
      <c r="H917" s="973"/>
      <c r="I917" s="973"/>
      <c r="J917" s="973"/>
      <c r="K917" s="973"/>
      <c r="L917" s="973"/>
      <c r="M917" s="973"/>
      <c r="N917" s="973"/>
      <c r="O917" s="973"/>
      <c r="P917" s="973"/>
      <c r="Q917" s="973"/>
      <c r="R917" s="973"/>
      <c r="S917" s="973"/>
      <c r="T917" s="974"/>
      <c r="U917" s="1097" t="s">
        <v>155</v>
      </c>
      <c r="V917" s="1063"/>
      <c r="W917" s="1063"/>
      <c r="X917" s="1063"/>
      <c r="Y917" s="1063"/>
      <c r="Z917" s="1064"/>
      <c r="AA917" s="1095"/>
      <c r="AB917" s="1060"/>
      <c r="AC917" s="1060"/>
      <c r="AD917" s="1060"/>
      <c r="AE917" s="1060"/>
      <c r="AF917" s="109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ht="12.95" customHeight="1">
      <c r="F918" s="1089" t="s">
        <v>826</v>
      </c>
      <c r="G918" s="973"/>
      <c r="H918" s="973"/>
      <c r="I918" s="973"/>
      <c r="J918" s="973"/>
      <c r="K918" s="973"/>
      <c r="L918" s="973"/>
      <c r="M918" s="973"/>
      <c r="N918" s="973"/>
      <c r="O918" s="973"/>
      <c r="P918" s="973"/>
      <c r="Q918" s="973"/>
      <c r="R918" s="973"/>
      <c r="S918" s="973"/>
      <c r="T918" s="974"/>
      <c r="U918" s="1097" t="s">
        <v>155</v>
      </c>
      <c r="V918" s="1063"/>
      <c r="W918" s="1063"/>
      <c r="X918" s="1063"/>
      <c r="Y918" s="1063"/>
      <c r="Z918" s="1064"/>
      <c r="AA918" s="1095"/>
      <c r="AB918" s="1060"/>
      <c r="AC918" s="1060"/>
      <c r="AD918" s="1060"/>
      <c r="AE918" s="1060"/>
      <c r="AF918" s="109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ht="12.95" customHeight="1">
      <c r="F919" s="1277" t="s">
        <v>827</v>
      </c>
      <c r="G919" s="973"/>
      <c r="H919" s="973"/>
      <c r="I919" s="973"/>
      <c r="J919" s="973"/>
      <c r="K919" s="973"/>
      <c r="L919" s="973"/>
      <c r="M919" s="973"/>
      <c r="N919" s="973"/>
      <c r="O919" s="973"/>
      <c r="P919" s="973"/>
      <c r="Q919" s="973"/>
      <c r="R919" s="973"/>
      <c r="S919" s="973"/>
      <c r="T919" s="974"/>
      <c r="U919" s="1097" t="s">
        <v>155</v>
      </c>
      <c r="V919" s="1063"/>
      <c r="W919" s="1063"/>
      <c r="X919" s="1063"/>
      <c r="Y919" s="1063"/>
      <c r="Z919" s="1064"/>
      <c r="AA919" s="1095"/>
      <c r="AB919" s="1060"/>
      <c r="AC919" s="1060"/>
      <c r="AD919" s="1060"/>
      <c r="AE919" s="1060"/>
      <c r="AF919" s="109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ht="12.95" customHeight="1">
      <c r="F920" s="1257" t="s">
        <v>828</v>
      </c>
      <c r="G920" s="973"/>
      <c r="H920" s="973"/>
      <c r="I920" s="973"/>
      <c r="J920" s="973"/>
      <c r="K920" s="973"/>
      <c r="L920" s="973"/>
      <c r="M920" s="973"/>
      <c r="N920" s="973"/>
      <c r="O920" s="973"/>
      <c r="P920" s="973"/>
      <c r="Q920" s="973"/>
      <c r="R920" s="973"/>
      <c r="S920" s="973"/>
      <c r="T920" s="974"/>
      <c r="U920" s="1097" t="s">
        <v>155</v>
      </c>
      <c r="V920" s="1063"/>
      <c r="W920" s="1063"/>
      <c r="X920" s="1063"/>
      <c r="Y920" s="1063"/>
      <c r="Z920" s="1064"/>
      <c r="AA920" s="1095"/>
      <c r="AB920" s="1060"/>
      <c r="AC920" s="1060"/>
      <c r="AD920" s="1060"/>
      <c r="AE920" s="1060"/>
      <c r="AF920" s="109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ht="12.95" customHeight="1">
      <c r="F921" s="1257" t="s">
        <v>829</v>
      </c>
      <c r="G921" s="973"/>
      <c r="H921" s="973"/>
      <c r="I921" s="973"/>
      <c r="J921" s="973"/>
      <c r="K921" s="973"/>
      <c r="L921" s="973"/>
      <c r="M921" s="973"/>
      <c r="N921" s="973"/>
      <c r="O921" s="973"/>
      <c r="P921" s="973"/>
      <c r="Q921" s="973"/>
      <c r="R921" s="973"/>
      <c r="S921" s="973"/>
      <c r="T921" s="974"/>
      <c r="U921" s="1097" t="s">
        <v>155</v>
      </c>
      <c r="V921" s="1063"/>
      <c r="W921" s="1063"/>
      <c r="X921" s="1063"/>
      <c r="Y921" s="1063"/>
      <c r="Z921" s="1064"/>
      <c r="AA921" s="1095"/>
      <c r="AB921" s="1060"/>
      <c r="AC921" s="1060"/>
      <c r="AD921" s="1060"/>
      <c r="AE921" s="1060"/>
      <c r="AF921" s="109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ht="12.95" customHeight="1">
      <c r="F922" s="1089" t="s">
        <v>830</v>
      </c>
      <c r="G922" s="973"/>
      <c r="H922" s="973"/>
      <c r="I922" s="973"/>
      <c r="J922" s="973"/>
      <c r="K922" s="973"/>
      <c r="L922" s="973"/>
      <c r="M922" s="973"/>
      <c r="N922" s="973"/>
      <c r="O922" s="973"/>
      <c r="P922" s="973"/>
      <c r="Q922" s="973"/>
      <c r="R922" s="973"/>
      <c r="S922" s="973"/>
      <c r="T922" s="974"/>
      <c r="U922" s="1139" t="s">
        <v>155</v>
      </c>
      <c r="V922" s="1063"/>
      <c r="W922" s="1063"/>
      <c r="X922" s="1063"/>
      <c r="Y922" s="1063"/>
      <c r="Z922" s="1064"/>
      <c r="AA922" s="1281"/>
      <c r="AB922" s="1060"/>
      <c r="AC922" s="1060"/>
      <c r="AD922" s="1060"/>
      <c r="AE922" s="1060"/>
      <c r="AF922" s="109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ht="12.95" customHeight="1">
      <c r="F923" s="1089" t="s">
        <v>831</v>
      </c>
      <c r="G923" s="973"/>
      <c r="H923" s="973"/>
      <c r="I923" s="973"/>
      <c r="J923" s="973"/>
      <c r="K923" s="973"/>
      <c r="L923" s="973"/>
      <c r="M923" s="973"/>
      <c r="N923" s="973"/>
      <c r="O923" s="973"/>
      <c r="P923" s="973"/>
      <c r="Q923" s="973"/>
      <c r="R923" s="973"/>
      <c r="S923" s="973"/>
      <c r="T923" s="974"/>
      <c r="U923" s="1139" t="s">
        <v>155</v>
      </c>
      <c r="V923" s="1063"/>
      <c r="W923" s="1063"/>
      <c r="X923" s="1063"/>
      <c r="Y923" s="1063"/>
      <c r="Z923" s="1064"/>
      <c r="AA923" s="1281"/>
      <c r="AB923" s="1060"/>
      <c r="AC923" s="1060"/>
      <c r="AD923" s="1060"/>
      <c r="AE923" s="1060"/>
      <c r="AF923" s="109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ht="12.95" customHeight="1">
      <c r="F924" s="1089" t="s">
        <v>832</v>
      </c>
      <c r="G924" s="973"/>
      <c r="H924" s="973"/>
      <c r="I924" s="973"/>
      <c r="J924" s="973"/>
      <c r="K924" s="973"/>
      <c r="L924" s="973"/>
      <c r="M924" s="973"/>
      <c r="N924" s="973"/>
      <c r="O924" s="973"/>
      <c r="P924" s="973"/>
      <c r="Q924" s="973"/>
      <c r="R924" s="973"/>
      <c r="S924" s="973"/>
      <c r="T924" s="974"/>
      <c r="U924" s="1139" t="s">
        <v>155</v>
      </c>
      <c r="V924" s="1063"/>
      <c r="W924" s="1063"/>
      <c r="X924" s="1063"/>
      <c r="Y924" s="1063"/>
      <c r="Z924" s="1064"/>
      <c r="AA924" s="1281"/>
      <c r="AB924" s="1060"/>
      <c r="AC924" s="1060"/>
      <c r="AD924" s="1060"/>
      <c r="AE924" s="1060"/>
      <c r="AF924" s="109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ht="12.95" customHeight="1">
      <c r="F925" s="1257" t="s">
        <v>833</v>
      </c>
      <c r="G925" s="973"/>
      <c r="H925" s="973"/>
      <c r="I925" s="973"/>
      <c r="J925" s="973"/>
      <c r="K925" s="973"/>
      <c r="L925" s="973"/>
      <c r="M925" s="973"/>
      <c r="N925" s="973"/>
      <c r="O925" s="973"/>
      <c r="P925" s="973"/>
      <c r="Q925" s="973"/>
      <c r="R925" s="973"/>
      <c r="S925" s="973"/>
      <c r="T925" s="974"/>
      <c r="U925" s="1097" t="s">
        <v>155</v>
      </c>
      <c r="V925" s="1063"/>
      <c r="W925" s="1063"/>
      <c r="X925" s="1063"/>
      <c r="Y925" s="1063"/>
      <c r="Z925" s="1064"/>
      <c r="AA925" s="1095"/>
      <c r="AB925" s="1060"/>
      <c r="AC925" s="1060"/>
      <c r="AD925" s="1060"/>
      <c r="AE925" s="1060"/>
      <c r="AF925" s="109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ht="12.95" customHeight="1">
      <c r="F926" s="1257" t="s">
        <v>834</v>
      </c>
      <c r="G926" s="973"/>
      <c r="H926" s="973"/>
      <c r="I926" s="973"/>
      <c r="J926" s="973"/>
      <c r="K926" s="973"/>
      <c r="L926" s="973"/>
      <c r="M926" s="973"/>
      <c r="N926" s="973"/>
      <c r="O926" s="973"/>
      <c r="P926" s="973"/>
      <c r="Q926" s="973"/>
      <c r="R926" s="973"/>
      <c r="S926" s="973"/>
      <c r="T926" s="974"/>
      <c r="U926" s="1097" t="s">
        <v>155</v>
      </c>
      <c r="V926" s="1063"/>
      <c r="W926" s="1063"/>
      <c r="X926" s="1063"/>
      <c r="Y926" s="1063"/>
      <c r="Z926" s="1064"/>
      <c r="AA926" s="1095"/>
      <c r="AB926" s="1060"/>
      <c r="AC926" s="1060"/>
      <c r="AD926" s="1060"/>
      <c r="AE926" s="1060"/>
      <c r="AF926" s="1096"/>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ht="12.95" customHeight="1">
      <c r="F927" s="1257" t="s">
        <v>835</v>
      </c>
      <c r="G927" s="973"/>
      <c r="H927" s="973"/>
      <c r="I927" s="973"/>
      <c r="J927" s="973"/>
      <c r="K927" s="973"/>
      <c r="L927" s="973"/>
      <c r="M927" s="973"/>
      <c r="N927" s="973"/>
      <c r="O927" s="973"/>
      <c r="P927" s="973"/>
      <c r="Q927" s="973"/>
      <c r="R927" s="973"/>
      <c r="S927" s="973"/>
      <c r="T927" s="974"/>
      <c r="U927" s="1097" t="s">
        <v>155</v>
      </c>
      <c r="V927" s="1063"/>
      <c r="W927" s="1063"/>
      <c r="X927" s="1063"/>
      <c r="Y927" s="1063"/>
      <c r="Z927" s="1064"/>
      <c r="AA927" s="1095"/>
      <c r="AB927" s="1060"/>
      <c r="AC927" s="1060"/>
      <c r="AD927" s="1060"/>
      <c r="AE927" s="1060"/>
      <c r="AF927" s="109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ht="12.95" customHeight="1">
      <c r="F928" s="1257" t="s">
        <v>836</v>
      </c>
      <c r="G928" s="973"/>
      <c r="H928" s="973"/>
      <c r="I928" s="973"/>
      <c r="J928" s="973"/>
      <c r="K928" s="973"/>
      <c r="L928" s="973"/>
      <c r="M928" s="973"/>
      <c r="N928" s="973"/>
      <c r="O928" s="973"/>
      <c r="P928" s="973"/>
      <c r="Q928" s="973"/>
      <c r="R928" s="973"/>
      <c r="S928" s="973"/>
      <c r="T928" s="974"/>
      <c r="U928" s="1097" t="s">
        <v>155</v>
      </c>
      <c r="V928" s="1063"/>
      <c r="W928" s="1063"/>
      <c r="X928" s="1063"/>
      <c r="Y928" s="1063"/>
      <c r="Z928" s="1064"/>
      <c r="AA928" s="1095"/>
      <c r="AB928" s="1060"/>
      <c r="AC928" s="1060"/>
      <c r="AD928" s="1060"/>
      <c r="AE928" s="1060"/>
      <c r="AF928" s="109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F929" s="1257" t="s">
        <v>837</v>
      </c>
      <c r="G929" s="973"/>
      <c r="H929" s="973"/>
      <c r="I929" s="973"/>
      <c r="J929" s="973"/>
      <c r="K929" s="973"/>
      <c r="L929" s="973"/>
      <c r="M929" s="973"/>
      <c r="N929" s="973"/>
      <c r="O929" s="973"/>
      <c r="P929" s="973"/>
      <c r="Q929" s="973"/>
      <c r="R929" s="973"/>
      <c r="S929" s="973"/>
      <c r="T929" s="974"/>
      <c r="U929" s="1097" t="s">
        <v>155</v>
      </c>
      <c r="V929" s="1063"/>
      <c r="W929" s="1063"/>
      <c r="X929" s="1063"/>
      <c r="Y929" s="1063"/>
      <c r="Z929" s="1064"/>
      <c r="AA929" s="1095"/>
      <c r="AB929" s="1060"/>
      <c r="AC929" s="1060"/>
      <c r="AD929" s="1060"/>
      <c r="AE929" s="1060"/>
      <c r="AF929" s="1096"/>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F930" s="8" t="s">
        <v>838</v>
      </c>
      <c r="G930" s="9"/>
      <c r="H930" s="9"/>
      <c r="I930" s="9"/>
      <c r="J930" s="9"/>
      <c r="K930" s="9"/>
      <c r="L930" s="9"/>
      <c r="M930" s="9"/>
      <c r="N930" s="9"/>
      <c r="O930" s="9"/>
      <c r="P930" s="1085" t="s">
        <v>14</v>
      </c>
      <c r="Q930" s="1063"/>
      <c r="R930" s="1063"/>
      <c r="S930" s="1063"/>
      <c r="T930" s="1064"/>
      <c r="U930" s="1097" t="s">
        <v>155</v>
      </c>
      <c r="V930" s="1063"/>
      <c r="W930" s="1063"/>
      <c r="X930" s="1063"/>
      <c r="Y930" s="1063"/>
      <c r="Z930" s="1064"/>
      <c r="AA930" s="1095"/>
      <c r="AB930" s="1060"/>
      <c r="AC930" s="1060"/>
      <c r="AD930" s="1060"/>
      <c r="AE930" s="1060"/>
      <c r="AF930" s="109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F931" s="1089" t="s">
        <v>839</v>
      </c>
      <c r="G931" s="973"/>
      <c r="H931" s="974"/>
      <c r="I931" s="1167" t="s">
        <v>484</v>
      </c>
      <c r="J931" s="1063"/>
      <c r="K931" s="1063"/>
      <c r="L931" s="1063"/>
      <c r="M931" s="1063"/>
      <c r="N931" s="1063"/>
      <c r="O931" s="1063"/>
      <c r="P931" s="1063"/>
      <c r="Q931" s="1063"/>
      <c r="R931" s="1063"/>
      <c r="S931" s="1063"/>
      <c r="T931" s="1064"/>
      <c r="U931" s="1097" t="s">
        <v>155</v>
      </c>
      <c r="V931" s="1063"/>
      <c r="W931" s="1063"/>
      <c r="X931" s="1063"/>
      <c r="Y931" s="1063"/>
      <c r="Z931" s="1064"/>
      <c r="AA931" s="1095"/>
      <c r="AB931" s="1060"/>
      <c r="AC931" s="1060"/>
      <c r="AD931" s="1060"/>
      <c r="AE931" s="1060"/>
      <c r="AF931" s="109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F932" s="1089" t="s">
        <v>298</v>
      </c>
      <c r="G932" s="973"/>
      <c r="H932" s="974"/>
      <c r="I932" s="1167" t="s">
        <v>484</v>
      </c>
      <c r="J932" s="1063"/>
      <c r="K932" s="1063"/>
      <c r="L932" s="1063"/>
      <c r="M932" s="1063"/>
      <c r="N932" s="1063"/>
      <c r="O932" s="1063"/>
      <c r="P932" s="1063"/>
      <c r="Q932" s="1063"/>
      <c r="R932" s="1063"/>
      <c r="S932" s="1063"/>
      <c r="T932" s="1064"/>
      <c r="U932" s="1097" t="s">
        <v>155</v>
      </c>
      <c r="V932" s="1063"/>
      <c r="W932" s="1063"/>
      <c r="X932" s="1063"/>
      <c r="Y932" s="1063"/>
      <c r="Z932" s="1064"/>
      <c r="AA932" s="1095"/>
      <c r="AB932" s="1060"/>
      <c r="AC932" s="1060"/>
      <c r="AD932" s="1060"/>
      <c r="AE932" s="1060"/>
      <c r="AF932" s="109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F933" s="1089" t="s">
        <v>840</v>
      </c>
      <c r="G933" s="973"/>
      <c r="H933" s="974"/>
      <c r="I933" s="1167" t="s">
        <v>2446</v>
      </c>
      <c r="J933" s="1063"/>
      <c r="K933" s="1063"/>
      <c r="L933" s="1063"/>
      <c r="M933" s="1063"/>
      <c r="N933" s="1063"/>
      <c r="O933" s="1063"/>
      <c r="P933" s="1063"/>
      <c r="Q933" s="1063"/>
      <c r="R933" s="1063"/>
      <c r="S933" s="1063"/>
      <c r="T933" s="1064"/>
      <c r="U933" s="1097" t="s">
        <v>155</v>
      </c>
      <c r="V933" s="1063"/>
      <c r="W933" s="1063"/>
      <c r="X933" s="1063"/>
      <c r="Y933" s="1063"/>
      <c r="Z933" s="1064"/>
      <c r="AA933" s="1095">
        <v>4000000</v>
      </c>
      <c r="AB933" s="1060"/>
      <c r="AC933" s="1060"/>
      <c r="AD933" s="1060"/>
      <c r="AE933" s="1060"/>
      <c r="AF933" s="109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F934" s="1089" t="s">
        <v>483</v>
      </c>
      <c r="G934" s="973"/>
      <c r="H934" s="974"/>
      <c r="I934" s="1167" t="s">
        <v>484</v>
      </c>
      <c r="J934" s="1063"/>
      <c r="K934" s="1063"/>
      <c r="L934" s="1063"/>
      <c r="M934" s="1063"/>
      <c r="N934" s="1063"/>
      <c r="O934" s="1063"/>
      <c r="P934" s="1063"/>
      <c r="Q934" s="1063"/>
      <c r="R934" s="1063"/>
      <c r="S934" s="1063"/>
      <c r="T934" s="1064"/>
      <c r="U934" s="1097" t="s">
        <v>155</v>
      </c>
      <c r="V934" s="1063"/>
      <c r="W934" s="1063"/>
      <c r="X934" s="1063"/>
      <c r="Y934" s="1063"/>
      <c r="Z934" s="1064"/>
      <c r="AA934" s="1095"/>
      <c r="AB934" s="1060"/>
      <c r="AC934" s="1060"/>
      <c r="AD934" s="1060"/>
      <c r="AE934" s="1060"/>
      <c r="AF934" s="109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F935" s="1089" t="s">
        <v>483</v>
      </c>
      <c r="G935" s="973"/>
      <c r="H935" s="974"/>
      <c r="I935" s="1167" t="s">
        <v>484</v>
      </c>
      <c r="J935" s="1063"/>
      <c r="K935" s="1063"/>
      <c r="L935" s="1063"/>
      <c r="M935" s="1063"/>
      <c r="N935" s="1063"/>
      <c r="O935" s="1063"/>
      <c r="P935" s="1063"/>
      <c r="Q935" s="1063"/>
      <c r="R935" s="1063"/>
      <c r="S935" s="1063"/>
      <c r="T935" s="1064"/>
      <c r="U935" s="1097" t="s">
        <v>155</v>
      </c>
      <c r="V935" s="1063"/>
      <c r="W935" s="1063"/>
      <c r="X935" s="1063"/>
      <c r="Y935" s="1063"/>
      <c r="Z935" s="1064"/>
      <c r="AA935" s="1095"/>
      <c r="AB935" s="1060"/>
      <c r="AC935" s="1060"/>
      <c r="AD935" s="1060"/>
      <c r="AE935" s="1060"/>
      <c r="AF935" s="1096"/>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133</v>
      </c>
      <c r="C937" s="3" t="s">
        <v>841</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842</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843</v>
      </c>
      <c r="D940" s="9"/>
      <c r="E940" s="9"/>
      <c r="F940" s="9"/>
      <c r="G940" s="9"/>
      <c r="H940" s="9"/>
      <c r="I940" s="9"/>
      <c r="J940" s="9"/>
      <c r="K940" s="9"/>
      <c r="L940" s="1142"/>
      <c r="M940" s="1063"/>
      <c r="N940" s="1063"/>
      <c r="O940" s="1063"/>
      <c r="P940" s="1063"/>
      <c r="Q940" s="1063"/>
      <c r="R940" s="1063"/>
      <c r="S940" s="1064"/>
      <c r="U940" s="72" t="s">
        <v>843</v>
      </c>
      <c r="V940" s="9"/>
      <c r="W940" s="9"/>
      <c r="X940" s="9"/>
      <c r="Y940" s="9"/>
      <c r="Z940" s="9"/>
      <c r="AA940" s="9"/>
      <c r="AB940" s="9"/>
      <c r="AC940" s="9"/>
      <c r="AD940" s="52"/>
      <c r="AE940" s="1291"/>
      <c r="AF940" s="1063"/>
      <c r="AG940" s="1063"/>
      <c r="AH940" s="1063"/>
      <c r="AI940" s="1063"/>
      <c r="AJ940" s="1063"/>
      <c r="AK940" s="106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844</v>
      </c>
      <c r="D941" s="9"/>
      <c r="E941" s="9"/>
      <c r="F941" s="9"/>
      <c r="G941" s="9"/>
      <c r="H941" s="9"/>
      <c r="I941" s="9"/>
      <c r="J941" s="9"/>
      <c r="K941" s="9"/>
      <c r="L941" s="1142"/>
      <c r="M941" s="1063"/>
      <c r="N941" s="1063"/>
      <c r="O941" s="1063"/>
      <c r="P941" s="1063"/>
      <c r="Q941" s="1063"/>
      <c r="R941" s="1063"/>
      <c r="S941" s="1064"/>
      <c r="U941" s="72" t="s">
        <v>844</v>
      </c>
      <c r="V941" s="9"/>
      <c r="W941" s="9"/>
      <c r="X941" s="9"/>
      <c r="Y941" s="9"/>
      <c r="Z941" s="9"/>
      <c r="AA941" s="9"/>
      <c r="AB941" s="9"/>
      <c r="AC941" s="9"/>
      <c r="AD941" s="52"/>
      <c r="AE941" s="1326"/>
      <c r="AF941" s="1063"/>
      <c r="AG941" s="1063"/>
      <c r="AH941" s="1063"/>
      <c r="AI941" s="1063"/>
      <c r="AJ941" s="1063"/>
      <c r="AK941" s="106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845</v>
      </c>
      <c r="D942" s="9"/>
      <c r="E942" s="9"/>
      <c r="L942" s="1299" t="s">
        <v>48</v>
      </c>
      <c r="M942" s="1063"/>
      <c r="N942" s="1063"/>
      <c r="O942" s="1063"/>
      <c r="P942" s="1063"/>
      <c r="Q942" s="1063"/>
      <c r="R942" s="1063"/>
      <c r="S942" s="1064"/>
      <c r="U942" s="72" t="s">
        <v>845</v>
      </c>
      <c r="V942" s="9"/>
      <c r="W942" s="9"/>
      <c r="AE942" s="1299" t="s">
        <v>48</v>
      </c>
      <c r="AF942" s="1063"/>
      <c r="AG942" s="1063"/>
      <c r="AH942" s="1063"/>
      <c r="AI942" s="1063"/>
      <c r="AJ942" s="1063"/>
      <c r="AK942" s="106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846</v>
      </c>
      <c r="D943" s="9"/>
      <c r="E943" s="9"/>
      <c r="F943" s="9"/>
      <c r="G943" s="9"/>
      <c r="H943" s="9"/>
      <c r="I943" s="9"/>
      <c r="J943" s="9"/>
      <c r="K943" s="9"/>
      <c r="L943" s="1253"/>
      <c r="M943" s="1063"/>
      <c r="N943" s="1063"/>
      <c r="O943" s="1063"/>
      <c r="P943" s="1063"/>
      <c r="Q943" s="1063"/>
      <c r="R943" s="1063"/>
      <c r="S943" s="1064"/>
      <c r="U943" s="72" t="s">
        <v>846</v>
      </c>
      <c r="V943" s="9"/>
      <c r="W943" s="9"/>
      <c r="X943" s="9"/>
      <c r="Y943" s="9"/>
      <c r="Z943" s="9"/>
      <c r="AA943" s="9"/>
      <c r="AB943" s="9"/>
      <c r="AC943" s="9"/>
      <c r="AD943" s="52"/>
      <c r="AE943" s="1253"/>
      <c r="AF943" s="1063"/>
      <c r="AG943" s="1063"/>
      <c r="AH943" s="1063"/>
      <c r="AI943" s="1063"/>
      <c r="AJ943" s="1063"/>
      <c r="AK943" s="1064"/>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847</v>
      </c>
      <c r="D944" s="9"/>
      <c r="E944" s="9"/>
      <c r="F944" s="9"/>
      <c r="G944" s="9"/>
      <c r="H944" s="9"/>
      <c r="I944" s="9"/>
      <c r="J944" s="9"/>
      <c r="K944" s="9"/>
      <c r="L944" s="1317"/>
      <c r="M944" s="1063"/>
      <c r="N944" s="1063"/>
      <c r="O944" s="1063"/>
      <c r="P944" s="1063"/>
      <c r="Q944" s="1063"/>
      <c r="R944" s="1063"/>
      <c r="S944" s="1064"/>
      <c r="U944" s="72" t="s">
        <v>847</v>
      </c>
      <c r="V944" s="9"/>
      <c r="W944" s="9"/>
      <c r="X944" s="9"/>
      <c r="Y944" s="9"/>
      <c r="Z944" s="9"/>
      <c r="AA944" s="9"/>
      <c r="AB944" s="9"/>
      <c r="AC944" s="9"/>
      <c r="AD944" s="52"/>
      <c r="AE944" s="1244"/>
      <c r="AF944" s="1063"/>
      <c r="AG944" s="1063"/>
      <c r="AH944" s="1063"/>
      <c r="AI944" s="1063"/>
      <c r="AJ944" s="1063"/>
      <c r="AK944" s="1064"/>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848</v>
      </c>
      <c r="D945" s="9"/>
      <c r="E945" s="9"/>
      <c r="F945" s="9"/>
      <c r="G945" s="9"/>
      <c r="H945" s="9"/>
      <c r="I945" s="9"/>
      <c r="J945" s="9"/>
      <c r="K945" s="9"/>
      <c r="L945" s="1069"/>
      <c r="M945" s="1063"/>
      <c r="N945" s="1063"/>
      <c r="O945" s="1063"/>
      <c r="P945" s="1063"/>
      <c r="Q945" s="1063"/>
      <c r="R945" s="1063"/>
      <c r="S945" s="1064"/>
      <c r="U945" s="72" t="s">
        <v>848</v>
      </c>
      <c r="V945" s="9"/>
      <c r="W945" s="9"/>
      <c r="X945" s="9"/>
      <c r="Y945" s="9"/>
      <c r="Z945" s="9"/>
      <c r="AA945" s="9"/>
      <c r="AB945" s="9"/>
      <c r="AC945" s="9"/>
      <c r="AD945" s="52"/>
      <c r="AE945" s="1095"/>
      <c r="AF945" s="1060"/>
      <c r="AG945" s="1060"/>
      <c r="AH945" s="1060"/>
      <c r="AI945" s="1060"/>
      <c r="AJ945" s="1060"/>
      <c r="AK945" s="109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849</v>
      </c>
      <c r="D946" s="9"/>
      <c r="E946" s="9"/>
      <c r="F946" s="9"/>
      <c r="G946" s="9"/>
      <c r="H946" s="9"/>
      <c r="I946" s="9"/>
      <c r="J946" s="9"/>
      <c r="K946" s="9"/>
      <c r="L946" s="1069" t="s">
        <v>850</v>
      </c>
      <c r="M946" s="1063"/>
      <c r="N946" s="1063"/>
      <c r="O946" s="1063"/>
      <c r="P946" s="1063"/>
      <c r="Q946" s="1063"/>
      <c r="R946" s="1063"/>
      <c r="S946" s="1064"/>
      <c r="U946" s="72" t="s">
        <v>849</v>
      </c>
      <c r="V946" s="9"/>
      <c r="W946" s="9"/>
      <c r="X946" s="9"/>
      <c r="Y946" s="9"/>
      <c r="Z946" s="9"/>
      <c r="AA946" s="9"/>
      <c r="AB946" s="9"/>
      <c r="AC946" s="9"/>
      <c r="AD946" s="52"/>
      <c r="AE946" s="1095"/>
      <c r="AF946" s="1060"/>
      <c r="AG946" s="1060"/>
      <c r="AH946" s="1060"/>
      <c r="AI946" s="1060"/>
      <c r="AJ946" s="1060"/>
      <c r="AK946" s="1096"/>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469</v>
      </c>
      <c r="D947" s="9"/>
      <c r="E947" s="9"/>
      <c r="F947" s="9"/>
      <c r="G947" s="9"/>
      <c r="H947" s="9"/>
      <c r="I947" s="9"/>
      <c r="J947" s="9"/>
      <c r="K947" s="9"/>
      <c r="L947" s="1317"/>
      <c r="M947" s="1063"/>
      <c r="N947" s="1063"/>
      <c r="O947" s="1063"/>
      <c r="P947" s="1063"/>
      <c r="Q947" s="1063"/>
      <c r="R947" s="1063"/>
      <c r="S947" s="1064"/>
      <c r="U947" s="212" t="s">
        <v>469</v>
      </c>
      <c r="V947" s="9"/>
      <c r="W947" s="9"/>
      <c r="X947" s="9"/>
      <c r="Y947" s="9"/>
      <c r="Z947" s="9"/>
      <c r="AA947" s="9"/>
      <c r="AB947" s="9"/>
      <c r="AC947" s="9"/>
      <c r="AD947" s="52"/>
      <c r="AE947" s="1317"/>
      <c r="AF947" s="1063"/>
      <c r="AG947" s="1063"/>
      <c r="AH947" s="1063"/>
      <c r="AI947" s="1063"/>
      <c r="AJ947" s="1063"/>
      <c r="AK947" s="106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213</v>
      </c>
      <c r="C949" s="3" t="s">
        <v>851</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852</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F952" s="8" t="s">
        <v>853</v>
      </c>
      <c r="G952" s="9"/>
      <c r="H952" s="9"/>
      <c r="I952" s="9"/>
      <c r="J952" s="9"/>
      <c r="K952" s="9"/>
      <c r="L952" s="52"/>
      <c r="M952" s="1111"/>
      <c r="N952" s="1063"/>
      <c r="O952" s="1063"/>
      <c r="P952" s="1063"/>
      <c r="Q952" s="1063"/>
      <c r="R952" s="1063"/>
      <c r="S952" s="1064"/>
      <c r="T952" s="72" t="s">
        <v>854</v>
      </c>
      <c r="U952" s="9"/>
      <c r="V952" s="9"/>
      <c r="W952" s="9"/>
      <c r="X952" s="9"/>
      <c r="Y952" s="9"/>
      <c r="Z952" s="52"/>
      <c r="AA952" s="1111"/>
      <c r="AB952" s="1063"/>
      <c r="AC952" s="1063"/>
      <c r="AD952" s="1063"/>
      <c r="AE952" s="1063"/>
      <c r="AF952" s="1063"/>
      <c r="AG952" s="106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F953" s="8" t="s">
        <v>855</v>
      </c>
      <c r="G953" s="9"/>
      <c r="H953" s="9"/>
      <c r="I953" s="9"/>
      <c r="J953" s="9"/>
      <c r="K953" s="9"/>
      <c r="L953" s="52"/>
      <c r="M953" s="1111"/>
      <c r="N953" s="1063"/>
      <c r="O953" s="1063"/>
      <c r="P953" s="1063"/>
      <c r="Q953" s="1063"/>
      <c r="R953" s="1063"/>
      <c r="S953" s="1064"/>
      <c r="T953" s="72" t="s">
        <v>856</v>
      </c>
      <c r="U953" s="9"/>
      <c r="V953" s="9"/>
      <c r="W953" s="9"/>
      <c r="X953" s="9"/>
      <c r="Y953" s="9"/>
      <c r="Z953" s="52"/>
      <c r="AA953" s="1111"/>
      <c r="AB953" s="1063"/>
      <c r="AC953" s="1063"/>
      <c r="AD953" s="1063"/>
      <c r="AE953" s="1063"/>
      <c r="AF953" s="1063"/>
      <c r="AG953" s="106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F954" s="72" t="s">
        <v>857</v>
      </c>
      <c r="G954" s="9"/>
      <c r="H954" s="9"/>
      <c r="I954" s="9"/>
      <c r="J954" s="9"/>
      <c r="K954" s="9"/>
      <c r="L954" s="52"/>
      <c r="M954" s="1247" t="s">
        <v>155</v>
      </c>
      <c r="N954" s="1063"/>
      <c r="O954" s="1063"/>
      <c r="P954" s="1063"/>
      <c r="Q954" s="1063"/>
      <c r="R954" s="1063"/>
      <c r="S954" s="1064"/>
      <c r="T954" s="8" t="s">
        <v>858</v>
      </c>
      <c r="U954" s="9"/>
      <c r="V954" s="9"/>
      <c r="W954" s="9"/>
      <c r="X954" s="9"/>
      <c r="Y954" s="9"/>
      <c r="Z954" s="52"/>
      <c r="AA954" s="1111"/>
      <c r="AB954" s="1063"/>
      <c r="AC954" s="1063"/>
      <c r="AD954" s="1063"/>
      <c r="AE954" s="1063"/>
      <c r="AF954" s="1063"/>
      <c r="AG954" s="106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F955" s="8" t="s">
        <v>859</v>
      </c>
      <c r="G955" s="9"/>
      <c r="H955" s="9"/>
      <c r="I955" s="9"/>
      <c r="J955" s="9"/>
      <c r="K955" s="9"/>
      <c r="L955" s="52"/>
      <c r="M955" s="1111"/>
      <c r="N955" s="1063"/>
      <c r="O955" s="1063"/>
      <c r="P955" s="1063"/>
      <c r="Q955" s="1063"/>
      <c r="R955" s="1063"/>
      <c r="S955" s="1064"/>
      <c r="T955" s="8" t="s">
        <v>860</v>
      </c>
      <c r="U955" s="9"/>
      <c r="V955" s="9"/>
      <c r="W955" s="9"/>
      <c r="X955" s="9"/>
      <c r="Y955" s="9"/>
      <c r="Z955" s="52"/>
      <c r="AA955" s="1111"/>
      <c r="AB955" s="1063"/>
      <c r="AC955" s="1063"/>
      <c r="AD955" s="1063"/>
      <c r="AE955" s="1063"/>
      <c r="AF955" s="1063"/>
      <c r="AG955" s="106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F956" s="8" t="s">
        <v>861</v>
      </c>
      <c r="G956" s="9"/>
      <c r="H956" s="9"/>
      <c r="I956" s="9"/>
      <c r="J956" s="9"/>
      <c r="K956" s="9"/>
      <c r="L956" s="52"/>
      <c r="M956" s="1111"/>
      <c r="N956" s="1063"/>
      <c r="O956" s="1063"/>
      <c r="P956" s="1063"/>
      <c r="Q956" s="1063"/>
      <c r="R956" s="1063"/>
      <c r="S956" s="1064"/>
      <c r="T956" s="8" t="s">
        <v>862</v>
      </c>
      <c r="U956" s="9"/>
      <c r="V956" s="9"/>
      <c r="W956" s="9"/>
      <c r="X956" s="9"/>
      <c r="Y956" s="9"/>
      <c r="Z956" s="52"/>
      <c r="AA956" s="1111"/>
      <c r="AB956" s="1063"/>
      <c r="AC956" s="1063"/>
      <c r="AD956" s="1063"/>
      <c r="AE956" s="1063"/>
      <c r="AF956" s="1063"/>
      <c r="AG956" s="106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F957" s="411" t="s">
        <v>845</v>
      </c>
      <c r="G957" s="7"/>
      <c r="H957" s="7"/>
      <c r="I957" s="7"/>
      <c r="J957" s="7"/>
      <c r="K957" s="7"/>
      <c r="L957" s="64"/>
      <c r="M957" s="1299" t="s">
        <v>48</v>
      </c>
      <c r="N957" s="1063"/>
      <c r="O957" s="1063"/>
      <c r="P957" s="1063"/>
      <c r="Q957" s="1063"/>
      <c r="R957" s="1063"/>
      <c r="S957" s="1064"/>
      <c r="T957" s="1223"/>
      <c r="U957" s="1063"/>
      <c r="V957" s="1063"/>
      <c r="W957" s="1063"/>
      <c r="X957" s="1063"/>
      <c r="Y957" s="1063"/>
      <c r="Z957" s="1064"/>
      <c r="AA957" s="1111"/>
      <c r="AB957" s="1063"/>
      <c r="AC957" s="1063"/>
      <c r="AD957" s="1063"/>
      <c r="AE957" s="1063"/>
      <c r="AF957" s="1063"/>
      <c r="AG957" s="106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F958" s="6" t="s">
        <v>863</v>
      </c>
      <c r="G958" s="7"/>
      <c r="H958" s="7"/>
      <c r="I958" s="7"/>
      <c r="J958" s="7"/>
      <c r="K958" s="7"/>
      <c r="L958" s="64"/>
      <c r="M958" s="1111"/>
      <c r="N958" s="1063"/>
      <c r="O958" s="1063"/>
      <c r="P958" s="1063"/>
      <c r="Q958" s="1063"/>
      <c r="R958" s="1063"/>
      <c r="S958" s="1064"/>
      <c r="T958" s="1223"/>
      <c r="U958" s="1063"/>
      <c r="V958" s="1063"/>
      <c r="W958" s="1063"/>
      <c r="X958" s="1063"/>
      <c r="Y958" s="1063"/>
      <c r="Z958" s="1064"/>
      <c r="AA958" s="1111"/>
      <c r="AB958" s="1063"/>
      <c r="AC958" s="1063"/>
      <c r="AD958" s="1063"/>
      <c r="AE958" s="1063"/>
      <c r="AF958" s="1063"/>
      <c r="AG958" s="106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F959" s="6" t="s">
        <v>864</v>
      </c>
      <c r="G959" s="7"/>
      <c r="H959" s="7"/>
      <c r="I959" s="7"/>
      <c r="J959" s="7"/>
      <c r="K959" s="7"/>
      <c r="L959" s="7"/>
      <c r="M959" s="7"/>
      <c r="N959" s="7"/>
      <c r="O959" s="1247" t="s">
        <v>14</v>
      </c>
      <c r="P959" s="1064"/>
      <c r="Q959" s="144"/>
      <c r="R959" s="144"/>
      <c r="S959" s="145"/>
      <c r="T959" s="6" t="s">
        <v>483</v>
      </c>
      <c r="U959" s="7"/>
      <c r="V959" s="7"/>
      <c r="W959" s="1075" t="s">
        <v>484</v>
      </c>
      <c r="X959" s="1063"/>
      <c r="Y959" s="1063"/>
      <c r="Z959" s="1063"/>
      <c r="AA959" s="1063"/>
      <c r="AB959" s="1063"/>
      <c r="AC959" s="1063"/>
      <c r="AD959" s="1063"/>
      <c r="AE959" s="1063"/>
      <c r="AF959" s="1063"/>
      <c r="AG959" s="106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F960" s="1163" t="s">
        <v>865</v>
      </c>
      <c r="G960" s="1093"/>
      <c r="H960" s="1093"/>
      <c r="I960" s="1093"/>
      <c r="J960" s="1093"/>
      <c r="K960" s="1093"/>
      <c r="L960" s="1093"/>
      <c r="M960" s="1111"/>
      <c r="N960" s="1063"/>
      <c r="O960" s="1063"/>
      <c r="P960" s="1063"/>
      <c r="Q960" s="1063"/>
      <c r="R960" s="1063"/>
      <c r="S960" s="1064"/>
      <c r="T960" s="53"/>
      <c r="U960" s="54"/>
      <c r="V960" s="54"/>
      <c r="W960" s="54"/>
      <c r="X960" s="54"/>
      <c r="Y960" s="54"/>
      <c r="Z960" s="224" t="s">
        <v>866</v>
      </c>
      <c r="AA960" s="1289"/>
      <c r="AB960" s="1060"/>
      <c r="AC960" s="1060"/>
      <c r="AD960" s="1060"/>
      <c r="AE960" s="1060"/>
      <c r="AF960" s="1060"/>
      <c r="AG960" s="109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M963" s="43"/>
      <c r="AN963" s="43"/>
      <c r="AO963" s="43"/>
      <c r="AP963" s="43"/>
      <c r="AQ963" s="43"/>
      <c r="AR963" s="43"/>
      <c r="AS963" s="43"/>
      <c r="AT963" s="43"/>
      <c r="AU963" s="43"/>
      <c r="AV963" s="43"/>
      <c r="AW963" s="43"/>
      <c r="AX963" s="43"/>
      <c r="AY963" s="43"/>
      <c r="AZ963" s="43"/>
      <c r="BB963" s="951"/>
      <c r="BC963" s="951"/>
      <c r="BD963" s="951"/>
      <c r="BE963" s="951"/>
      <c r="BF963" s="951"/>
      <c r="BG963" s="951"/>
      <c r="BH963" s="951"/>
      <c r="BI963" s="951"/>
      <c r="BJ963" s="951"/>
      <c r="BK963" s="951"/>
      <c r="BL963" s="951"/>
      <c r="BM963" s="951"/>
      <c r="BN963" s="951"/>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1" customFormat="1" ht="12.95" customHeight="1">
      <c r="A964" s="1150" t="s">
        <v>867</v>
      </c>
      <c r="B964" s="1159"/>
      <c r="C964" s="1159"/>
      <c r="D964" s="1159"/>
      <c r="E964" s="1159"/>
      <c r="F964" s="1159"/>
      <c r="G964" s="1159"/>
      <c r="H964" s="1159"/>
      <c r="I964" s="1159"/>
      <c r="J964" s="1159"/>
      <c r="K964" s="1159"/>
      <c r="L964" s="1159"/>
      <c r="M964" s="1159"/>
      <c r="N964" s="1159"/>
      <c r="O964" s="1159"/>
      <c r="P964" s="1159"/>
      <c r="Q964" s="1159"/>
      <c r="R964" s="1159"/>
      <c r="S964" s="1159"/>
      <c r="T964" s="1159"/>
      <c r="U964" s="1159"/>
      <c r="V964" s="1159"/>
      <c r="W964" s="1159"/>
      <c r="X964" s="1159"/>
      <c r="Y964" s="1159"/>
      <c r="Z964" s="1159"/>
      <c r="AA964" s="1159"/>
      <c r="AB964" s="1159"/>
      <c r="AC964" s="1159"/>
      <c r="AD964" s="1159"/>
      <c r="AE964" s="1159"/>
      <c r="AF964" s="1159"/>
      <c r="AG964" s="1159"/>
      <c r="AH964" s="1159"/>
      <c r="AI964" s="1159"/>
      <c r="AJ964" s="1159"/>
      <c r="AK964" s="1159"/>
      <c r="AL964" s="1159"/>
      <c r="AM964" s="1159"/>
      <c r="AN964" s="1159"/>
      <c r="AO964" s="1159"/>
      <c r="AP964" s="1159"/>
      <c r="AQ964" s="1159"/>
      <c r="AR964" s="1159"/>
      <c r="AS964" s="1159"/>
      <c r="AT964" s="1159"/>
    </row>
    <row r="965" spans="1:97" s="951" customFormat="1" ht="12.95" customHeight="1">
      <c r="A965" s="1159"/>
      <c r="B965" s="1159"/>
      <c r="C965" s="1159"/>
      <c r="D965" s="1159"/>
      <c r="E965" s="1159"/>
      <c r="F965" s="1159"/>
      <c r="G965" s="1159"/>
      <c r="H965" s="1159"/>
      <c r="I965" s="1159"/>
      <c r="J965" s="1159"/>
      <c r="K965" s="1159"/>
      <c r="L965" s="1159"/>
      <c r="M965" s="1159"/>
      <c r="N965" s="1159"/>
      <c r="O965" s="1159"/>
      <c r="P965" s="1159"/>
      <c r="Q965" s="1159"/>
      <c r="R965" s="1159"/>
      <c r="S965" s="1159"/>
      <c r="T965" s="1159"/>
      <c r="U965" s="1159"/>
      <c r="V965" s="1159"/>
      <c r="W965" s="1159"/>
      <c r="X965" s="1159"/>
      <c r="Y965" s="1159"/>
      <c r="Z965" s="1159"/>
      <c r="AA965" s="1159"/>
      <c r="AB965" s="1159"/>
      <c r="AC965" s="1159"/>
      <c r="AD965" s="1159"/>
      <c r="AE965" s="1159"/>
      <c r="AF965" s="1159"/>
      <c r="AG965" s="1159"/>
      <c r="AH965" s="1159"/>
      <c r="AI965" s="1159"/>
      <c r="AJ965" s="1159"/>
      <c r="AK965" s="1159"/>
      <c r="AL965" s="1159"/>
      <c r="AM965" s="1159"/>
      <c r="AN965" s="1159"/>
      <c r="AO965" s="1159"/>
      <c r="AP965" s="1159"/>
      <c r="AQ965" s="1159"/>
      <c r="AR965" s="1159"/>
      <c r="AS965" s="1159"/>
      <c r="AT965" s="1159"/>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97</v>
      </c>
      <c r="C967" s="3" t="s">
        <v>868</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1"/>
      <c r="D969" s="1124" t="s">
        <v>869</v>
      </c>
      <c r="E969" s="973"/>
      <c r="F969" s="973"/>
      <c r="G969" s="973"/>
      <c r="H969" s="973"/>
      <c r="I969" s="973"/>
      <c r="J969" s="973"/>
      <c r="K969" s="973"/>
      <c r="L969" s="973"/>
      <c r="M969" s="973"/>
      <c r="N969" s="973"/>
      <c r="O969" s="973"/>
      <c r="P969" s="973"/>
      <c r="Q969" s="974"/>
      <c r="R969" s="1124" t="s">
        <v>870</v>
      </c>
      <c r="S969" s="973"/>
      <c r="T969" s="973"/>
      <c r="U969" s="973"/>
      <c r="V969" s="973"/>
      <c r="W969" s="973"/>
      <c r="X969" s="973"/>
      <c r="Y969" s="973"/>
      <c r="Z969" s="973"/>
      <c r="AA969" s="974"/>
      <c r="AB969" s="1124" t="s">
        <v>871</v>
      </c>
      <c r="AC969" s="973"/>
      <c r="AD969" s="973"/>
      <c r="AE969" s="973"/>
      <c r="AF969" s="973"/>
      <c r="AG969" s="973"/>
      <c r="AH969" s="973"/>
      <c r="AI969" s="974"/>
      <c r="AJ969" s="1124" t="s">
        <v>872</v>
      </c>
      <c r="AK969" s="973"/>
      <c r="AL969" s="973"/>
      <c r="AM969" s="973"/>
      <c r="AN969" s="973"/>
      <c r="AO969" s="973"/>
      <c r="AP969" s="973"/>
      <c r="AQ969" s="97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2"/>
      <c r="D970" s="1255" t="s">
        <v>644</v>
      </c>
      <c r="E970" s="973"/>
      <c r="F970" s="973"/>
      <c r="G970" s="973"/>
      <c r="H970" s="973"/>
      <c r="I970" s="973"/>
      <c r="J970" s="973"/>
      <c r="K970" s="973"/>
      <c r="L970" s="973"/>
      <c r="M970" s="973"/>
      <c r="N970" s="973"/>
      <c r="O970" s="973"/>
      <c r="P970" s="973"/>
      <c r="Q970" s="974"/>
      <c r="R970" s="1144">
        <f>IF(ISNA(IF($BA$827="4%",(INDEX($BC$833:$BG$889,MATCH($BO$833,$BB$842:$BB$899,0),MATCH(D970,$BC$830:$BG$830,0))),(INDEX($BJ$842:$BN$899,MATCH($BO$833,$BI$842:$BI$899,0),MATCH(D970,$BJ$840:$BN$840,0))))),0,IF($BA$827="4%",(INDEX($BC$833:$BG$889,MATCH($BO$833,$BB$842:$BB$899,0),MATCH(D970,$BC$830:$BG$830,0))),(INDEX($BJ$842:$BN$899,MATCH($BO$833,$BI$842:$BI$899,0),MATCH(D970,$BJ$840:$BN$840,0)))))</f>
        <v>442904</v>
      </c>
      <c r="S970" s="973"/>
      <c r="T970" s="973"/>
      <c r="U970" s="973"/>
      <c r="V970" s="973"/>
      <c r="W970" s="973"/>
      <c r="X970" s="973"/>
      <c r="Y970" s="973"/>
      <c r="Z970" s="973"/>
      <c r="AA970" s="974"/>
      <c r="AB970" s="1256">
        <f>BN659</f>
        <v>39</v>
      </c>
      <c r="AC970" s="973"/>
      <c r="AD970" s="973"/>
      <c r="AE970" s="973"/>
      <c r="AF970" s="973"/>
      <c r="AG970" s="973"/>
      <c r="AH970" s="973"/>
      <c r="AI970" s="974"/>
      <c r="AJ970" s="1110">
        <f>IF(ISERROR((R970*AB970)),0,(R970*AB970))</f>
        <v>17273256</v>
      </c>
      <c r="AK970" s="973"/>
      <c r="AL970" s="973"/>
      <c r="AM970" s="973"/>
      <c r="AN970" s="973"/>
      <c r="AO970" s="973"/>
      <c r="AP970" s="973"/>
      <c r="AQ970" s="97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55" t="s">
        <v>645</v>
      </c>
      <c r="E971" s="973"/>
      <c r="F971" s="973"/>
      <c r="G971" s="973"/>
      <c r="H971" s="973"/>
      <c r="I971" s="973"/>
      <c r="J971" s="973"/>
      <c r="K971" s="973"/>
      <c r="L971" s="973"/>
      <c r="M971" s="973"/>
      <c r="N971" s="973"/>
      <c r="O971" s="973"/>
      <c r="P971" s="973"/>
      <c r="Q971" s="974"/>
      <c r="R971" s="1144">
        <f>IF(ISNA(IF($BA$827="4%",(INDEX($BC$833:$BG$889,MATCH($BO$833,$BB$842:$BB$899,0),MATCH(D971,$BC$830:$BG$830,0))),(INDEX($BJ$842:$BN$899,MATCH($BO$833,$BI$842:$BI$899,0),MATCH(D971,$BJ$840:$BN$840,0))))),0,IF($BA$827="4%",(INDEX($BC$833:$BG$889,MATCH($BO$833,$BB$842:$BB$899,0),MATCH(D971,$BC$830:$BG$830,0))),(INDEX($BJ$842:$BN$899,MATCH($BO$833,$BI$842:$BI$899,0),MATCH(D971,$BJ$840:$BN$840,0)))))</f>
        <v>510664</v>
      </c>
      <c r="S971" s="973"/>
      <c r="T971" s="973"/>
      <c r="U971" s="973"/>
      <c r="V971" s="973"/>
      <c r="W971" s="973"/>
      <c r="X971" s="973"/>
      <c r="Y971" s="973"/>
      <c r="Z971" s="973"/>
      <c r="AA971" s="974"/>
      <c r="AB971" s="1256">
        <f>BS659</f>
        <v>0</v>
      </c>
      <c r="AC971" s="973"/>
      <c r="AD971" s="973"/>
      <c r="AE971" s="973"/>
      <c r="AF971" s="973"/>
      <c r="AG971" s="973"/>
      <c r="AH971" s="973"/>
      <c r="AI971" s="974"/>
      <c r="AJ971" s="1110">
        <f>IF(ISERROR((R971*AB971)),0,(R971*AB971))</f>
        <v>0</v>
      </c>
      <c r="AK971" s="973"/>
      <c r="AL971" s="973"/>
      <c r="AM971" s="973"/>
      <c r="AN971" s="973"/>
      <c r="AO971" s="973"/>
      <c r="AP971" s="973"/>
      <c r="AQ971" s="97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55" t="s">
        <v>646</v>
      </c>
      <c r="E972" s="973"/>
      <c r="F972" s="973"/>
      <c r="G972" s="973"/>
      <c r="H972" s="973"/>
      <c r="I972" s="973"/>
      <c r="J972" s="973"/>
      <c r="K972" s="973"/>
      <c r="L972" s="973"/>
      <c r="M972" s="973"/>
      <c r="N972" s="973"/>
      <c r="O972" s="973"/>
      <c r="P972" s="973"/>
      <c r="Q972" s="974"/>
      <c r="R972" s="1144">
        <f>IF(ISNA(IF($BA$827="4%",(INDEX($BC$833:$BG$889,MATCH($BO$833,$BB$842:$BB$899,0),MATCH(D972,$BC$830:$BG$830,0))),(INDEX($BJ$842:$BN$899,MATCH($BO$833,$BI$842:$BI$899,0),MATCH(D972,$BJ$840:$BN$840,0))))),0,IF($BA$827="4%",(INDEX($BC$833:$BG$889,MATCH($BO$833,$BB$842:$BB$899,0),MATCH(D972,$BC$830:$BG$830,0))),(INDEX($BJ$842:$BN$899,MATCH($BO$833,$BI$842:$BI$899,0),MATCH(D972,$BJ$840:$BN$840,0)))))</f>
        <v>616000</v>
      </c>
      <c r="S972" s="973"/>
      <c r="T972" s="973"/>
      <c r="U972" s="973"/>
      <c r="V972" s="973"/>
      <c r="W972" s="973"/>
      <c r="X972" s="973"/>
      <c r="Y972" s="973"/>
      <c r="Z972" s="973"/>
      <c r="AA972" s="974"/>
      <c r="AB972" s="1256">
        <f>BX659</f>
        <v>0</v>
      </c>
      <c r="AC972" s="973"/>
      <c r="AD972" s="973"/>
      <c r="AE972" s="973"/>
      <c r="AF972" s="973"/>
      <c r="AG972" s="973"/>
      <c r="AH972" s="973"/>
      <c r="AI972" s="974"/>
      <c r="AJ972" s="1110">
        <f>IF(ISERROR((R972*AB972)),0,(R972*AB972))</f>
        <v>0</v>
      </c>
      <c r="AK972" s="973"/>
      <c r="AL972" s="973"/>
      <c r="AM972" s="973"/>
      <c r="AN972" s="973"/>
      <c r="AO972" s="973"/>
      <c r="AP972" s="973"/>
      <c r="AQ972" s="97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55" t="s">
        <v>647</v>
      </c>
      <c r="E973" s="973"/>
      <c r="F973" s="973"/>
      <c r="G973" s="973"/>
      <c r="H973" s="973"/>
      <c r="I973" s="973"/>
      <c r="J973" s="973"/>
      <c r="K973" s="973"/>
      <c r="L973" s="973"/>
      <c r="M973" s="973"/>
      <c r="N973" s="973"/>
      <c r="O973" s="973"/>
      <c r="P973" s="973"/>
      <c r="Q973" s="974"/>
      <c r="R973" s="1144">
        <f>IF(ISNA(IF($BA$827="4%",(INDEX($BC$833:$BG$889,MATCH($BO$833,$BB$842:$BB$899,0),MATCH(D973,$BC$830:$BG$830,0))),(INDEX($BJ$842:$BN$899,MATCH($BO$833,$BI$842:$BI$899,0),MATCH(D973,$BJ$840:$BN$840,0))))),0,IF($BA$827="4%",(INDEX($BC$833:$BG$889,MATCH($BO$833,$BB$842:$BB$899,0),MATCH(D973,$BC$830:$BG$830,0))),(INDEX($BJ$842:$BN$899,MATCH($BO$833,$BI$842:$BI$899,0),MATCH(D973,$BJ$840:$BN$840,0)))))</f>
        <v>788480</v>
      </c>
      <c r="S973" s="973"/>
      <c r="T973" s="973"/>
      <c r="U973" s="973"/>
      <c r="V973" s="973"/>
      <c r="W973" s="973"/>
      <c r="X973" s="973"/>
      <c r="Y973" s="973"/>
      <c r="Z973" s="973"/>
      <c r="AA973" s="974"/>
      <c r="AB973" s="1256">
        <f>CC659</f>
        <v>0</v>
      </c>
      <c r="AC973" s="973"/>
      <c r="AD973" s="973"/>
      <c r="AE973" s="973"/>
      <c r="AF973" s="973"/>
      <c r="AG973" s="973"/>
      <c r="AH973" s="973"/>
      <c r="AI973" s="974"/>
      <c r="AJ973" s="1110">
        <f>IF(ISERROR((R973*AB973)),0,(R973*AB973))</f>
        <v>0</v>
      </c>
      <c r="AK973" s="973"/>
      <c r="AL973" s="973"/>
      <c r="AM973" s="973"/>
      <c r="AN973" s="973"/>
      <c r="AO973" s="973"/>
      <c r="AP973" s="973"/>
      <c r="AQ973" s="97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55" t="s">
        <v>654</v>
      </c>
      <c r="E974" s="973"/>
      <c r="F974" s="973"/>
      <c r="G974" s="973"/>
      <c r="H974" s="973"/>
      <c r="I974" s="973"/>
      <c r="J974" s="973"/>
      <c r="K974" s="973"/>
      <c r="L974" s="973"/>
      <c r="M974" s="973"/>
      <c r="N974" s="973"/>
      <c r="O974" s="973"/>
      <c r="P974" s="973"/>
      <c r="Q974" s="974"/>
      <c r="R974" s="1144">
        <f>IF(ISNA(IF($BA$827="4%",(INDEX($BC$833:$BG$889,MATCH($BO$833,$BB$842:$BB$899,0),MATCH(D974,$BC$830:$BG$830,0))),(INDEX($BJ$842:$BN$899,MATCH($BO$833,$BI$842:$BI$899,0),MATCH(D974,$BJ$840:$BN$840,0))))),0,IF($BA$827="4%",(INDEX($BC$833:$BG$889,MATCH($BO$833,$BB$842:$BB$899,0),MATCH(D974,$BC$830:$BG$830,0))),(INDEX($BJ$842:$BN$899,MATCH($BO$833,$BI$842:$BI$899,0),MATCH(D974,$BJ$840:$BN$840,0)))))</f>
        <v>878416</v>
      </c>
      <c r="S974" s="973"/>
      <c r="T974" s="973"/>
      <c r="U974" s="973"/>
      <c r="V974" s="973"/>
      <c r="W974" s="973"/>
      <c r="X974" s="973"/>
      <c r="Y974" s="973"/>
      <c r="Z974" s="973"/>
      <c r="AA974" s="974"/>
      <c r="AB974" s="1256">
        <f>CM659+CH659</f>
        <v>0</v>
      </c>
      <c r="AC974" s="973"/>
      <c r="AD974" s="973"/>
      <c r="AE974" s="973"/>
      <c r="AF974" s="973"/>
      <c r="AG974" s="973"/>
      <c r="AH974" s="973"/>
      <c r="AI974" s="974"/>
      <c r="AJ974" s="1110">
        <f>IF(ISERROR((R974*AB974)),0,(R974*AB974))</f>
        <v>0</v>
      </c>
      <c r="AK974" s="973"/>
      <c r="AL974" s="973"/>
      <c r="AM974" s="973"/>
      <c r="AN974" s="973"/>
      <c r="AO974" s="973"/>
      <c r="AP974" s="973"/>
      <c r="AQ974" s="97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298" t="s">
        <v>873</v>
      </c>
      <c r="C975" s="973"/>
      <c r="D975" s="973"/>
      <c r="E975" s="973"/>
      <c r="F975" s="973"/>
      <c r="G975" s="973"/>
      <c r="H975" s="973"/>
      <c r="I975" s="973"/>
      <c r="J975" s="973"/>
      <c r="K975" s="973"/>
      <c r="L975" s="973"/>
      <c r="M975" s="973"/>
      <c r="N975" s="973"/>
      <c r="O975" s="973"/>
      <c r="P975" s="973"/>
      <c r="Q975" s="973"/>
      <c r="R975" s="973"/>
      <c r="S975" s="973"/>
      <c r="T975" s="973"/>
      <c r="U975" s="973"/>
      <c r="V975" s="973"/>
      <c r="W975" s="973"/>
      <c r="X975" s="973"/>
      <c r="Y975" s="973"/>
      <c r="Z975" s="973"/>
      <c r="AA975" s="974"/>
      <c r="AB975" s="1256">
        <f>SUM(AB970:AI974)</f>
        <v>39</v>
      </c>
      <c r="AC975" s="973"/>
      <c r="AD975" s="973"/>
      <c r="AE975" s="973"/>
      <c r="AF975" s="973"/>
      <c r="AG975" s="973"/>
      <c r="AH975" s="973"/>
      <c r="AI975" s="974"/>
      <c r="AJ975" s="1110"/>
      <c r="AK975" s="973"/>
      <c r="AL975" s="973"/>
      <c r="AM975" s="973"/>
      <c r="AN975" s="973"/>
      <c r="AO975" s="973"/>
      <c r="AP975" s="973"/>
      <c r="AQ975" s="9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2" t="s">
        <v>874</v>
      </c>
      <c r="C976" s="1073"/>
      <c r="D976" s="1073"/>
      <c r="E976" s="1073"/>
      <c r="F976" s="1073"/>
      <c r="G976" s="1073"/>
      <c r="H976" s="1073"/>
      <c r="I976" s="1073"/>
      <c r="J976" s="1073"/>
      <c r="K976" s="1073"/>
      <c r="L976" s="1073"/>
      <c r="M976" s="1073"/>
      <c r="N976" s="1073"/>
      <c r="O976" s="1073"/>
      <c r="P976" s="1073"/>
      <c r="Q976" s="1073"/>
      <c r="R976" s="1073"/>
      <c r="S976" s="1073"/>
      <c r="T976" s="1073"/>
      <c r="U976" s="1073"/>
      <c r="V976" s="1073"/>
      <c r="W976" s="1073"/>
      <c r="X976" s="1073"/>
      <c r="Y976" s="1073"/>
      <c r="Z976" s="1073"/>
      <c r="AA976" s="1073"/>
      <c r="AB976" s="1073"/>
      <c r="AC976" s="1073"/>
      <c r="AD976" s="1073"/>
      <c r="AE976" s="1073"/>
      <c r="AF976" s="1073"/>
      <c r="AG976" s="1073"/>
      <c r="AH976" s="1073"/>
      <c r="AI976" s="1074"/>
      <c r="AJ976" s="1110">
        <f>SUM(AJ970:AQ974)</f>
        <v>17273256</v>
      </c>
      <c r="AK976" s="973"/>
      <c r="AL976" s="973"/>
      <c r="AM976" s="973"/>
      <c r="AN976" s="973"/>
      <c r="AO976" s="973"/>
      <c r="AP976" s="973"/>
      <c r="AQ976" s="97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43"/>
      <c r="C977" s="973"/>
      <c r="D977" s="973"/>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974"/>
      <c r="AF977" s="1262" t="s">
        <v>875</v>
      </c>
      <c r="AG977" s="973"/>
      <c r="AH977" s="973"/>
      <c r="AI977" s="974"/>
      <c r="AJ977" s="1243"/>
      <c r="AK977" s="973"/>
      <c r="AL977" s="973"/>
      <c r="AM977" s="973"/>
      <c r="AN977" s="973"/>
      <c r="AO977" s="973"/>
      <c r="AP977" s="973"/>
      <c r="AQ977" s="9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3" t="s">
        <v>876</v>
      </c>
      <c r="D978" s="1168" t="s">
        <v>877</v>
      </c>
      <c r="E978" s="1073"/>
      <c r="F978" s="1073"/>
      <c r="G978" s="1073"/>
      <c r="H978" s="1073"/>
      <c r="I978" s="1073"/>
      <c r="J978" s="1073"/>
      <c r="K978" s="1073"/>
      <c r="L978" s="1073"/>
      <c r="M978" s="1073"/>
      <c r="N978" s="1073"/>
      <c r="O978" s="1073"/>
      <c r="P978" s="1073"/>
      <c r="Q978" s="1073"/>
      <c r="R978" s="1073"/>
      <c r="S978" s="1073"/>
      <c r="T978" s="1073"/>
      <c r="U978" s="1073"/>
      <c r="V978" s="1073"/>
      <c r="W978" s="1073"/>
      <c r="X978" s="1073"/>
      <c r="Y978" s="1073"/>
      <c r="Z978" s="1073"/>
      <c r="AA978" s="1073"/>
      <c r="AB978" s="1073"/>
      <c r="AC978" s="1073"/>
      <c r="AD978" s="1073"/>
      <c r="AE978" s="1074"/>
      <c r="AF978" s="82"/>
      <c r="AG978" s="1204" t="s">
        <v>14</v>
      </c>
      <c r="AH978" s="1064"/>
      <c r="AI978" s="85"/>
      <c r="AJ978" s="1090">
        <f>ROUND(IF(AND(AG978="yes",D984&lt;&gt;""),AJ976*0.2,0),0)</f>
        <v>0</v>
      </c>
      <c r="AK978" s="1073"/>
      <c r="AL978" s="1073"/>
      <c r="AM978" s="1073"/>
      <c r="AN978" s="1073"/>
      <c r="AO978" s="1073"/>
      <c r="AP978" s="1073"/>
      <c r="AQ978" s="107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4"/>
      <c r="C979" s="855"/>
      <c r="D979" s="1305" t="s">
        <v>878</v>
      </c>
      <c r="E979" s="976"/>
      <c r="F979" s="976"/>
      <c r="G979" s="976"/>
      <c r="H979" s="976"/>
      <c r="I979" s="976"/>
      <c r="J979" s="976"/>
      <c r="K979" s="976"/>
      <c r="L979" s="976"/>
      <c r="M979" s="976"/>
      <c r="N979" s="976"/>
      <c r="O979" s="976"/>
      <c r="P979" s="976"/>
      <c r="Q979" s="976"/>
      <c r="R979" s="976"/>
      <c r="S979" s="976"/>
      <c r="T979" s="976"/>
      <c r="U979" s="976"/>
      <c r="V979" s="976"/>
      <c r="W979" s="976"/>
      <c r="X979" s="976"/>
      <c r="Y979" s="976"/>
      <c r="Z979" s="976"/>
      <c r="AA979" s="976"/>
      <c r="AB979" s="976"/>
      <c r="AC979" s="976"/>
      <c r="AD979" s="976"/>
      <c r="AE979" s="977"/>
      <c r="AF979" s="79"/>
      <c r="AG979" s="21"/>
      <c r="AH979" s="21"/>
      <c r="AI979" s="83"/>
      <c r="AJ979" s="1091"/>
      <c r="AK979" s="976"/>
      <c r="AL979" s="976"/>
      <c r="AM979" s="976"/>
      <c r="AN979" s="976"/>
      <c r="AO979" s="976"/>
      <c r="AP979" s="976"/>
      <c r="AQ979" s="97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4"/>
      <c r="C980" s="855"/>
      <c r="D980" s="1091"/>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977"/>
      <c r="AF980" s="79"/>
      <c r="AG980" s="21"/>
      <c r="AH980" s="21"/>
      <c r="AI980" s="83"/>
      <c r="AJ980" s="1091"/>
      <c r="AK980" s="976"/>
      <c r="AL980" s="976"/>
      <c r="AM980" s="976"/>
      <c r="AN980" s="976"/>
      <c r="AO980" s="976"/>
      <c r="AP980" s="976"/>
      <c r="AQ980" s="97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4"/>
      <c r="C981" s="855"/>
      <c r="D981" s="1091"/>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977"/>
      <c r="AF981" s="79"/>
      <c r="AG981" s="21"/>
      <c r="AH981" s="21"/>
      <c r="AI981" s="83"/>
      <c r="AJ981" s="1091"/>
      <c r="AK981" s="976"/>
      <c r="AL981" s="976"/>
      <c r="AM981" s="976"/>
      <c r="AN981" s="976"/>
      <c r="AO981" s="976"/>
      <c r="AP981" s="976"/>
      <c r="AQ981" s="97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4"/>
      <c r="C982" s="855"/>
      <c r="D982" s="1091"/>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977"/>
      <c r="AF982" s="79"/>
      <c r="AG982" s="21"/>
      <c r="AH982" s="21"/>
      <c r="AI982" s="83"/>
      <c r="AJ982" s="1091"/>
      <c r="AK982" s="976"/>
      <c r="AL982" s="976"/>
      <c r="AM982" s="976"/>
      <c r="AN982" s="976"/>
      <c r="AO982" s="976"/>
      <c r="AP982" s="976"/>
      <c r="AQ982" s="97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4"/>
      <c r="C983" s="855"/>
      <c r="D983" s="1287" t="s">
        <v>879</v>
      </c>
      <c r="E983" s="1093"/>
      <c r="F983" s="1093"/>
      <c r="G983" s="1093"/>
      <c r="H983" s="1093"/>
      <c r="I983" s="1093"/>
      <c r="J983" s="1093"/>
      <c r="K983" s="1093"/>
      <c r="L983" s="1093"/>
      <c r="M983" s="1093"/>
      <c r="N983" s="1093"/>
      <c r="O983" s="1093"/>
      <c r="P983" s="1093"/>
      <c r="Q983" s="1093"/>
      <c r="R983" s="1093"/>
      <c r="S983" s="1093"/>
      <c r="T983" s="1093"/>
      <c r="U983" s="1093"/>
      <c r="V983" s="1093"/>
      <c r="W983" s="1093"/>
      <c r="X983" s="1093"/>
      <c r="Y983" s="1093"/>
      <c r="Z983" s="1093"/>
      <c r="AA983" s="1093"/>
      <c r="AB983" s="1093"/>
      <c r="AC983" s="1093"/>
      <c r="AD983" s="1093"/>
      <c r="AE983" s="1094"/>
      <c r="AF983" s="79"/>
      <c r="AG983" s="21"/>
      <c r="AH983" s="21"/>
      <c r="AI983" s="83"/>
      <c r="AJ983" s="1091"/>
      <c r="AK983" s="976"/>
      <c r="AL983" s="976"/>
      <c r="AM983" s="976"/>
      <c r="AN983" s="976"/>
      <c r="AO983" s="976"/>
      <c r="AP983" s="976"/>
      <c r="AQ983" s="97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4"/>
      <c r="C984" s="855"/>
      <c r="D984" s="1165"/>
      <c r="E984" s="1063"/>
      <c r="F984" s="1063"/>
      <c r="G984" s="1063"/>
      <c r="H984" s="1063"/>
      <c r="I984" s="1063"/>
      <c r="J984" s="1063"/>
      <c r="K984" s="1063"/>
      <c r="L984" s="1063"/>
      <c r="M984" s="1063"/>
      <c r="N984" s="1063"/>
      <c r="O984" s="1063"/>
      <c r="P984" s="1063"/>
      <c r="Q984" s="1063"/>
      <c r="R984" s="1063"/>
      <c r="S984" s="1063"/>
      <c r="T984" s="1063"/>
      <c r="U984" s="1063"/>
      <c r="V984" s="1063"/>
      <c r="W984" s="1063"/>
      <c r="X984" s="1063"/>
      <c r="Y984" s="1063"/>
      <c r="Z984" s="1063"/>
      <c r="AA984" s="1063"/>
      <c r="AB984" s="1063"/>
      <c r="AC984" s="1063"/>
      <c r="AD984" s="1063"/>
      <c r="AE984" s="1064"/>
      <c r="AF984" s="80"/>
      <c r="AG984" s="11"/>
      <c r="AH984" s="11"/>
      <c r="AI984" s="81"/>
      <c r="AJ984" s="1092"/>
      <c r="AK984" s="1093"/>
      <c r="AL984" s="1093"/>
      <c r="AM984" s="1093"/>
      <c r="AN984" s="1093"/>
      <c r="AO984" s="1093"/>
      <c r="AP984" s="1093"/>
      <c r="AQ984" s="109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57"/>
      <c r="D985" s="1106" t="s">
        <v>880</v>
      </c>
      <c r="E985" s="976"/>
      <c r="F985" s="976"/>
      <c r="G985" s="976"/>
      <c r="H985" s="976"/>
      <c r="I985" s="976"/>
      <c r="J985" s="976"/>
      <c r="K985" s="976"/>
      <c r="L985" s="976"/>
      <c r="M985" s="976"/>
      <c r="N985" s="976"/>
      <c r="O985" s="976"/>
      <c r="P985" s="976"/>
      <c r="Q985" s="976"/>
      <c r="R985" s="976"/>
      <c r="S985" s="976"/>
      <c r="T985" s="976"/>
      <c r="U985" s="976"/>
      <c r="V985" s="976"/>
      <c r="W985" s="976"/>
      <c r="X985" s="976"/>
      <c r="Y985" s="976"/>
      <c r="Z985" s="976"/>
      <c r="AA985" s="976"/>
      <c r="AB985" s="976"/>
      <c r="AC985" s="976"/>
      <c r="AD985" s="976"/>
      <c r="AE985" s="977"/>
      <c r="AF985" s="82"/>
      <c r="AG985" s="1148" t="s">
        <v>14</v>
      </c>
      <c r="AH985" s="1064"/>
      <c r="AI985" s="85"/>
      <c r="AJ985" s="1090">
        <f>ROUND(IF(AG985="yes",AJ976*0.05,0),0)</f>
        <v>0</v>
      </c>
      <c r="AK985" s="1073"/>
      <c r="AL985" s="1073"/>
      <c r="AM985" s="1073"/>
      <c r="AN985" s="1073"/>
      <c r="AO985" s="1073"/>
      <c r="AP985" s="1073"/>
      <c r="AQ985" s="107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4"/>
      <c r="C986" s="858"/>
      <c r="D986" s="1287" t="s">
        <v>881</v>
      </c>
      <c r="E986" s="976"/>
      <c r="F986" s="976"/>
      <c r="G986" s="976"/>
      <c r="H986" s="976"/>
      <c r="I986" s="976"/>
      <c r="J986" s="976"/>
      <c r="K986" s="976"/>
      <c r="L986" s="976"/>
      <c r="M986" s="976"/>
      <c r="N986" s="976"/>
      <c r="O986" s="976"/>
      <c r="P986" s="976"/>
      <c r="Q986" s="976"/>
      <c r="R986" s="976"/>
      <c r="S986" s="976"/>
      <c r="T986" s="976"/>
      <c r="U986" s="976"/>
      <c r="V986" s="976"/>
      <c r="W986" s="976"/>
      <c r="X986" s="976"/>
      <c r="Y986" s="976"/>
      <c r="Z986" s="976"/>
      <c r="AA986" s="976"/>
      <c r="AB986" s="976"/>
      <c r="AC986" s="976"/>
      <c r="AD986" s="976"/>
      <c r="AE986" s="977"/>
      <c r="AF986" s="79"/>
      <c r="AG986" s="21"/>
      <c r="AH986" s="21"/>
      <c r="AI986" s="83"/>
      <c r="AJ986" s="1091"/>
      <c r="AK986" s="976"/>
      <c r="AL986" s="976"/>
      <c r="AM986" s="976"/>
      <c r="AN986" s="976"/>
      <c r="AO986" s="976"/>
      <c r="AP986" s="976"/>
      <c r="AQ986" s="97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4"/>
      <c r="C987" s="858"/>
      <c r="D987" s="1091"/>
      <c r="E987" s="976"/>
      <c r="F987" s="976"/>
      <c r="G987" s="976"/>
      <c r="H987" s="976"/>
      <c r="I987" s="976"/>
      <c r="J987" s="976"/>
      <c r="K987" s="976"/>
      <c r="L987" s="976"/>
      <c r="M987" s="976"/>
      <c r="N987" s="976"/>
      <c r="O987" s="976"/>
      <c r="P987" s="976"/>
      <c r="Q987" s="976"/>
      <c r="R987" s="976"/>
      <c r="S987" s="976"/>
      <c r="T987" s="976"/>
      <c r="U987" s="976"/>
      <c r="V987" s="976"/>
      <c r="W987" s="976"/>
      <c r="X987" s="976"/>
      <c r="Y987" s="976"/>
      <c r="Z987" s="976"/>
      <c r="AA987" s="976"/>
      <c r="AB987" s="976"/>
      <c r="AC987" s="976"/>
      <c r="AD987" s="976"/>
      <c r="AE987" s="977"/>
      <c r="AF987" s="79"/>
      <c r="AG987" s="21"/>
      <c r="AH987" s="21"/>
      <c r="AI987" s="83"/>
      <c r="AJ987" s="1091"/>
      <c r="AK987" s="976"/>
      <c r="AL987" s="976"/>
      <c r="AM987" s="976"/>
      <c r="AN987" s="976"/>
      <c r="AO987" s="976"/>
      <c r="AP987" s="976"/>
      <c r="AQ987" s="97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4"/>
      <c r="C988" s="858"/>
      <c r="D988" s="1091"/>
      <c r="E988" s="976"/>
      <c r="F988" s="976"/>
      <c r="G988" s="976"/>
      <c r="H988" s="976"/>
      <c r="I988" s="976"/>
      <c r="J988" s="976"/>
      <c r="K988" s="976"/>
      <c r="L988" s="976"/>
      <c r="M988" s="976"/>
      <c r="N988" s="976"/>
      <c r="O988" s="976"/>
      <c r="P988" s="976"/>
      <c r="Q988" s="976"/>
      <c r="R988" s="976"/>
      <c r="S988" s="976"/>
      <c r="T988" s="976"/>
      <c r="U988" s="976"/>
      <c r="V988" s="976"/>
      <c r="W988" s="976"/>
      <c r="X988" s="976"/>
      <c r="Y988" s="976"/>
      <c r="Z988" s="976"/>
      <c r="AA988" s="976"/>
      <c r="AB988" s="976"/>
      <c r="AC988" s="976"/>
      <c r="AD988" s="976"/>
      <c r="AE988" s="977"/>
      <c r="AF988" s="79"/>
      <c r="AG988" s="21"/>
      <c r="AH988" s="21"/>
      <c r="AI988" s="83"/>
      <c r="AJ988" s="1091"/>
      <c r="AK988" s="976"/>
      <c r="AL988" s="976"/>
      <c r="AM988" s="976"/>
      <c r="AN988" s="976"/>
      <c r="AO988" s="976"/>
      <c r="AP988" s="976"/>
      <c r="AQ988" s="977"/>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4"/>
      <c r="C989" s="858"/>
      <c r="D989" s="1091"/>
      <c r="E989" s="976"/>
      <c r="F989" s="976"/>
      <c r="G989" s="976"/>
      <c r="H989" s="976"/>
      <c r="I989" s="976"/>
      <c r="J989" s="976"/>
      <c r="K989" s="976"/>
      <c r="L989" s="976"/>
      <c r="M989" s="976"/>
      <c r="N989" s="976"/>
      <c r="O989" s="976"/>
      <c r="P989" s="976"/>
      <c r="Q989" s="976"/>
      <c r="R989" s="976"/>
      <c r="S989" s="976"/>
      <c r="T989" s="976"/>
      <c r="U989" s="976"/>
      <c r="V989" s="976"/>
      <c r="W989" s="976"/>
      <c r="X989" s="976"/>
      <c r="Y989" s="976"/>
      <c r="Z989" s="976"/>
      <c r="AA989" s="976"/>
      <c r="AB989" s="976"/>
      <c r="AC989" s="976"/>
      <c r="AD989" s="976"/>
      <c r="AE989" s="977"/>
      <c r="AF989" s="79"/>
      <c r="AG989" s="21"/>
      <c r="AH989" s="21"/>
      <c r="AI989" s="83"/>
      <c r="AJ989" s="1091"/>
      <c r="AK989" s="976"/>
      <c r="AL989" s="976"/>
      <c r="AM989" s="976"/>
      <c r="AN989" s="976"/>
      <c r="AO989" s="976"/>
      <c r="AP989" s="976"/>
      <c r="AQ989" s="977"/>
      <c r="AR989" s="43"/>
      <c r="AS989" s="43"/>
      <c r="AT989" s="43"/>
      <c r="AU989" s="43"/>
      <c r="AV989" s="41" t="s">
        <v>882</v>
      </c>
      <c r="AW989" s="43"/>
      <c r="AX989" s="41" t="s">
        <v>883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860"/>
      <c r="D990" s="1092"/>
      <c r="E990" s="1093"/>
      <c r="F990" s="1093"/>
      <c r="G990" s="1093"/>
      <c r="H990" s="1093"/>
      <c r="I990" s="1093"/>
      <c r="J990" s="1093"/>
      <c r="K990" s="1093"/>
      <c r="L990" s="1093"/>
      <c r="M990" s="1093"/>
      <c r="N990" s="1093"/>
      <c r="O990" s="1093"/>
      <c r="P990" s="1093"/>
      <c r="Q990" s="1093"/>
      <c r="R990" s="1093"/>
      <c r="S990" s="1093"/>
      <c r="T990" s="1093"/>
      <c r="U990" s="1093"/>
      <c r="V990" s="1093"/>
      <c r="W990" s="1093"/>
      <c r="X990" s="1093"/>
      <c r="Y990" s="1093"/>
      <c r="Z990" s="1093"/>
      <c r="AA990" s="1093"/>
      <c r="AB990" s="1093"/>
      <c r="AC990" s="1093"/>
      <c r="AD990" s="1093"/>
      <c r="AE990" s="1094"/>
      <c r="AF990" s="80"/>
      <c r="AG990" s="11"/>
      <c r="AH990" s="11"/>
      <c r="AI990" s="81"/>
      <c r="AJ990" s="1092"/>
      <c r="AK990" s="1093"/>
      <c r="AL990" s="1093"/>
      <c r="AM990" s="1093"/>
      <c r="AN990" s="1093"/>
      <c r="AO990" s="1093"/>
      <c r="AP990" s="1093"/>
      <c r="AQ990" s="1094"/>
      <c r="AR990" s="43"/>
      <c r="AS990" s="43"/>
      <c r="AT990" s="43"/>
      <c r="AU990" s="43"/>
      <c r="AV990" s="43">
        <v>1</v>
      </c>
      <c r="AW990" s="43">
        <f t="shared" ref="AW990:AW1000" si="35">IF((_xlfn.XLOOKUP(AV990,$C$1045:$C$1083,$A$1045:$A$1083,"",0,1))="Yes",AX990,0)</f>
        <v>0.2</v>
      </c>
      <c r="AX990" s="970">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6"/>
      <c r="C991" s="551" t="s">
        <v>884</v>
      </c>
      <c r="D991" s="1106" t="s">
        <v>885</v>
      </c>
      <c r="E991" s="976"/>
      <c r="F991" s="976"/>
      <c r="G991" s="976"/>
      <c r="H991" s="976"/>
      <c r="I991" s="976"/>
      <c r="J991" s="976"/>
      <c r="K991" s="976"/>
      <c r="L991" s="976"/>
      <c r="M991" s="976"/>
      <c r="N991" s="976"/>
      <c r="O991" s="976"/>
      <c r="P991" s="976"/>
      <c r="Q991" s="976"/>
      <c r="R991" s="976"/>
      <c r="S991" s="976"/>
      <c r="T991" s="976"/>
      <c r="U991" s="976"/>
      <c r="V991" s="976"/>
      <c r="W991" s="976"/>
      <c r="X991" s="976"/>
      <c r="Y991" s="976"/>
      <c r="Z991" s="976"/>
      <c r="AA991" s="976"/>
      <c r="AB991" s="976"/>
      <c r="AC991" s="976"/>
      <c r="AD991" s="976"/>
      <c r="AE991" s="977"/>
      <c r="AF991" s="84"/>
      <c r="AG991" s="1148" t="s">
        <v>14</v>
      </c>
      <c r="AH991" s="1064"/>
      <c r="AI991" s="85"/>
      <c r="AJ991" s="1090">
        <f>ROUND(IF(AG991="yes",AJ976*0.1,0),0)</f>
        <v>0</v>
      </c>
      <c r="AK991" s="1073"/>
      <c r="AL991" s="1073"/>
      <c r="AM991" s="1073"/>
      <c r="AN991" s="1073"/>
      <c r="AO991" s="1073"/>
      <c r="AP991" s="1073"/>
      <c r="AQ991" s="1074"/>
      <c r="AR991" s="43"/>
      <c r="AS991" s="43"/>
      <c r="AT991" s="43"/>
      <c r="AU991" s="43"/>
      <c r="AV991" s="43">
        <v>2</v>
      </c>
      <c r="AW991" s="43">
        <f t="shared" si="35"/>
        <v>0</v>
      </c>
      <c r="AX991" s="970">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182" t="s">
        <v>886</v>
      </c>
      <c r="E992" s="976"/>
      <c r="F992" s="976"/>
      <c r="G992" s="976"/>
      <c r="H992" s="976"/>
      <c r="I992" s="976"/>
      <c r="J992" s="976"/>
      <c r="K992" s="976"/>
      <c r="L992" s="976"/>
      <c r="M992" s="976"/>
      <c r="N992" s="976"/>
      <c r="O992" s="976"/>
      <c r="P992" s="976"/>
      <c r="Q992" s="976"/>
      <c r="R992" s="976"/>
      <c r="S992" s="976"/>
      <c r="T992" s="976"/>
      <c r="U992" s="976"/>
      <c r="V992" s="976"/>
      <c r="W992" s="976"/>
      <c r="X992" s="976"/>
      <c r="Y992" s="976"/>
      <c r="Z992" s="976"/>
      <c r="AA992" s="976"/>
      <c r="AB992" s="976"/>
      <c r="AC992" s="976"/>
      <c r="AD992" s="976"/>
      <c r="AE992" s="977"/>
      <c r="AF992" s="79"/>
      <c r="AI992" s="83"/>
      <c r="AJ992" s="1091"/>
      <c r="AK992" s="976"/>
      <c r="AL992" s="976"/>
      <c r="AM992" s="976"/>
      <c r="AN992" s="976"/>
      <c r="AO992" s="976"/>
      <c r="AP992" s="976"/>
      <c r="AQ992" s="977"/>
      <c r="AR992" s="43"/>
      <c r="AS992" s="43"/>
      <c r="AT992" s="43"/>
      <c r="AU992" s="43"/>
      <c r="AV992" s="43">
        <v>3</v>
      </c>
      <c r="AW992" s="43">
        <f t="shared" si="35"/>
        <v>0</v>
      </c>
      <c r="AX992" s="970">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2"/>
      <c r="D993" s="1091"/>
      <c r="E993" s="976"/>
      <c r="F993" s="976"/>
      <c r="G993" s="976"/>
      <c r="H993" s="976"/>
      <c r="I993" s="976"/>
      <c r="J993" s="976"/>
      <c r="K993" s="976"/>
      <c r="L993" s="976"/>
      <c r="M993" s="976"/>
      <c r="N993" s="976"/>
      <c r="O993" s="976"/>
      <c r="P993" s="976"/>
      <c r="Q993" s="976"/>
      <c r="R993" s="976"/>
      <c r="S993" s="976"/>
      <c r="T993" s="976"/>
      <c r="U993" s="976"/>
      <c r="V993" s="976"/>
      <c r="W993" s="976"/>
      <c r="X993" s="976"/>
      <c r="Y993" s="976"/>
      <c r="Z993" s="976"/>
      <c r="AA993" s="976"/>
      <c r="AB993" s="976"/>
      <c r="AC993" s="976"/>
      <c r="AD993" s="976"/>
      <c r="AE993" s="977"/>
      <c r="AF993" s="79"/>
      <c r="AG993" s="21"/>
      <c r="AH993" s="21"/>
      <c r="AI993" s="83"/>
      <c r="AJ993" s="1091"/>
      <c r="AK993" s="976"/>
      <c r="AL993" s="976"/>
      <c r="AM993" s="976"/>
      <c r="AN993" s="976"/>
      <c r="AO993" s="976"/>
      <c r="AP993" s="976"/>
      <c r="AQ993" s="977"/>
      <c r="AR993" s="43"/>
      <c r="AS993" s="43"/>
      <c r="AT993" s="43"/>
      <c r="AU993" s="43"/>
      <c r="AV993" s="41">
        <v>4</v>
      </c>
      <c r="AW993" s="43">
        <f t="shared" si="35"/>
        <v>0</v>
      </c>
      <c r="AX993" s="970">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1"/>
      <c r="C994" s="860"/>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3"/>
      <c r="Z994" s="1093"/>
      <c r="AA994" s="1093"/>
      <c r="AB994" s="1093"/>
      <c r="AC994" s="1093"/>
      <c r="AD994" s="1093"/>
      <c r="AE994" s="1094"/>
      <c r="AF994" s="80"/>
      <c r="AG994" s="11"/>
      <c r="AH994" s="11"/>
      <c r="AI994" s="81"/>
      <c r="AJ994" s="1092"/>
      <c r="AK994" s="1093"/>
      <c r="AL994" s="1093"/>
      <c r="AM994" s="1093"/>
      <c r="AN994" s="1093"/>
      <c r="AO994" s="1093"/>
      <c r="AP994" s="1093"/>
      <c r="AQ994" s="1094"/>
      <c r="AR994" s="43"/>
      <c r="AS994" s="43"/>
      <c r="AT994" s="43"/>
      <c r="AU994" s="43"/>
      <c r="AV994" s="41">
        <v>5</v>
      </c>
      <c r="AW994" s="43">
        <f t="shared" si="35"/>
        <v>0</v>
      </c>
      <c r="AX994" s="970">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1" t="s">
        <v>887</v>
      </c>
      <c r="D995" s="1106" t="s">
        <v>888</v>
      </c>
      <c r="E995" s="976"/>
      <c r="F995" s="976"/>
      <c r="G995" s="976"/>
      <c r="H995" s="976"/>
      <c r="I995" s="976"/>
      <c r="J995" s="976"/>
      <c r="K995" s="976"/>
      <c r="L995" s="976"/>
      <c r="M995" s="976"/>
      <c r="N995" s="976"/>
      <c r="O995" s="976"/>
      <c r="P995" s="976"/>
      <c r="Q995" s="976"/>
      <c r="R995" s="976"/>
      <c r="S995" s="976"/>
      <c r="T995" s="976"/>
      <c r="U995" s="976"/>
      <c r="V995" s="976"/>
      <c r="W995" s="976"/>
      <c r="X995" s="976"/>
      <c r="Y995" s="976"/>
      <c r="Z995" s="976"/>
      <c r="AA995" s="976"/>
      <c r="AB995" s="976"/>
      <c r="AC995" s="976"/>
      <c r="AD995" s="976"/>
      <c r="AE995" s="977"/>
      <c r="AF995" s="82"/>
      <c r="AG995" s="1148" t="s">
        <v>14</v>
      </c>
      <c r="AH995" s="1064"/>
      <c r="AI995" s="85"/>
      <c r="AJ995" s="1090">
        <f>ROUND(IF(AG995="yes",AJ976*0.02,0),0)</f>
        <v>0</v>
      </c>
      <c r="AK995" s="1073"/>
      <c r="AL995" s="1073"/>
      <c r="AM995" s="1073"/>
      <c r="AN995" s="1073"/>
      <c r="AO995" s="1073"/>
      <c r="AP995" s="1073"/>
      <c r="AQ995" s="1074"/>
      <c r="AR995" s="43"/>
      <c r="AS995" s="43"/>
      <c r="AT995" s="43"/>
      <c r="AU995" s="43"/>
      <c r="AV995" s="41">
        <v>6</v>
      </c>
      <c r="AW995" s="43">
        <f t="shared" si="35"/>
        <v>0</v>
      </c>
      <c r="AX995" s="970">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2"/>
      <c r="D996" s="1182" t="s">
        <v>889</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3"/>
      <c r="Z996" s="1093"/>
      <c r="AA996" s="1093"/>
      <c r="AB996" s="1093"/>
      <c r="AC996" s="1093"/>
      <c r="AD996" s="1093"/>
      <c r="AE996" s="1094"/>
      <c r="AF996" s="80"/>
      <c r="AG996" s="11"/>
      <c r="AH996" s="11"/>
      <c r="AI996" s="81"/>
      <c r="AJ996" s="1092"/>
      <c r="AK996" s="1093"/>
      <c r="AL996" s="1093"/>
      <c r="AM996" s="1093"/>
      <c r="AN996" s="1093"/>
      <c r="AO996" s="1093"/>
      <c r="AP996" s="1093"/>
      <c r="AQ996" s="1094"/>
      <c r="AR996" s="43"/>
      <c r="AS996" s="43"/>
      <c r="AT996" s="43"/>
      <c r="AU996" s="43"/>
      <c r="AV996" s="41">
        <v>7</v>
      </c>
      <c r="AW996" s="43">
        <f t="shared" si="35"/>
        <v>0</v>
      </c>
      <c r="AX996" s="970">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1" t="s">
        <v>890</v>
      </c>
      <c r="D997" s="1106" t="s">
        <v>891</v>
      </c>
      <c r="E997" s="976"/>
      <c r="F997" s="976"/>
      <c r="G997" s="976"/>
      <c r="H997" s="976"/>
      <c r="I997" s="976"/>
      <c r="J997" s="976"/>
      <c r="K997" s="976"/>
      <c r="L997" s="976"/>
      <c r="M997" s="976"/>
      <c r="N997" s="976"/>
      <c r="O997" s="976"/>
      <c r="P997" s="976"/>
      <c r="Q997" s="976"/>
      <c r="R997" s="976"/>
      <c r="S997" s="976"/>
      <c r="T997" s="976"/>
      <c r="U997" s="976"/>
      <c r="V997" s="976"/>
      <c r="W997" s="976"/>
      <c r="X997" s="976"/>
      <c r="Y997" s="976"/>
      <c r="Z997" s="976"/>
      <c r="AA997" s="976"/>
      <c r="AB997" s="976"/>
      <c r="AC997" s="976"/>
      <c r="AD997" s="976"/>
      <c r="AE997" s="977"/>
      <c r="AF997" s="82"/>
      <c r="AG997" s="1148" t="s">
        <v>14</v>
      </c>
      <c r="AH997" s="1064"/>
      <c r="AI997" s="82"/>
      <c r="AJ997" s="1090">
        <f>ROUND(IF(AG997="yes",AJ976*0.02,0),0)</f>
        <v>0</v>
      </c>
      <c r="AK997" s="1073"/>
      <c r="AL997" s="1073"/>
      <c r="AM997" s="1073"/>
      <c r="AN997" s="1073"/>
      <c r="AO997" s="1073"/>
      <c r="AP997" s="1073"/>
      <c r="AQ997" s="1074"/>
      <c r="AS997" s="954"/>
      <c r="AT997" s="954"/>
      <c r="AU997" s="954"/>
      <c r="AV997" s="41">
        <v>8</v>
      </c>
      <c r="AW997" s="43">
        <f t="shared" si="35"/>
        <v>0</v>
      </c>
      <c r="AX997" s="970">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2"/>
      <c r="D998" s="1182" t="s">
        <v>892</v>
      </c>
      <c r="E998" s="976"/>
      <c r="F998" s="976"/>
      <c r="G998" s="976"/>
      <c r="H998" s="976"/>
      <c r="I998" s="976"/>
      <c r="J998" s="976"/>
      <c r="K998" s="976"/>
      <c r="L998" s="976"/>
      <c r="M998" s="976"/>
      <c r="N998" s="976"/>
      <c r="O998" s="976"/>
      <c r="P998" s="976"/>
      <c r="Q998" s="976"/>
      <c r="R998" s="976"/>
      <c r="S998" s="976"/>
      <c r="T998" s="976"/>
      <c r="U998" s="976"/>
      <c r="V998" s="976"/>
      <c r="W998" s="976"/>
      <c r="X998" s="976"/>
      <c r="Y998" s="976"/>
      <c r="Z998" s="976"/>
      <c r="AA998" s="976"/>
      <c r="AB998" s="976"/>
      <c r="AC998" s="976"/>
      <c r="AD998" s="976"/>
      <c r="AE998" s="977"/>
      <c r="AF998" s="1261" t="str">
        <f>IF(AND(AG997="yes",V215&lt;&gt;1),"The project may not be eligible for this boost","")</f>
        <v/>
      </c>
      <c r="AG998" s="976"/>
      <c r="AH998" s="976"/>
      <c r="AI998" s="977"/>
      <c r="AJ998" s="1091"/>
      <c r="AK998" s="976"/>
      <c r="AL998" s="976"/>
      <c r="AM998" s="976"/>
      <c r="AN998" s="976"/>
      <c r="AO998" s="976"/>
      <c r="AP998" s="976"/>
      <c r="AQ998" s="977"/>
      <c r="AR998" s="953"/>
      <c r="AS998" s="954"/>
      <c r="AT998" s="954"/>
      <c r="AU998" s="954"/>
      <c r="AV998" s="41">
        <v>9</v>
      </c>
      <c r="AW998" s="43">
        <f t="shared" si="35"/>
        <v>0</v>
      </c>
      <c r="AX998" s="970">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59"/>
      <c r="C999" s="860"/>
      <c r="D999" s="1092"/>
      <c r="E999" s="1093"/>
      <c r="F999" s="1093"/>
      <c r="G999" s="1093"/>
      <c r="H999" s="1093"/>
      <c r="I999" s="1093"/>
      <c r="J999" s="1093"/>
      <c r="K999" s="1093"/>
      <c r="L999" s="1093"/>
      <c r="M999" s="1093"/>
      <c r="N999" s="1093"/>
      <c r="O999" s="1093"/>
      <c r="P999" s="1093"/>
      <c r="Q999" s="1093"/>
      <c r="R999" s="1093"/>
      <c r="S999" s="1093"/>
      <c r="T999" s="1093"/>
      <c r="U999" s="1093"/>
      <c r="V999" s="1093"/>
      <c r="W999" s="1093"/>
      <c r="X999" s="1093"/>
      <c r="Y999" s="1093"/>
      <c r="Z999" s="1093"/>
      <c r="AA999" s="1093"/>
      <c r="AB999" s="1093"/>
      <c r="AC999" s="1093"/>
      <c r="AD999" s="1093"/>
      <c r="AE999" s="1094"/>
      <c r="AF999" s="1092"/>
      <c r="AG999" s="1093"/>
      <c r="AH999" s="1093"/>
      <c r="AI999" s="1094"/>
      <c r="AJ999" s="1092"/>
      <c r="AK999" s="1093"/>
      <c r="AL999" s="1093"/>
      <c r="AM999" s="1093"/>
      <c r="AN999" s="1093"/>
      <c r="AO999" s="1093"/>
      <c r="AP999" s="1093"/>
      <c r="AQ999" s="1094"/>
      <c r="AR999" s="953"/>
      <c r="AS999" s="954"/>
      <c r="AT999" s="954"/>
      <c r="AU999" s="43"/>
      <c r="AV999" s="41">
        <v>10</v>
      </c>
      <c r="AW999" s="43">
        <f t="shared" si="35"/>
        <v>0</v>
      </c>
      <c r="AX999" s="970">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1" t="s">
        <v>893</v>
      </c>
      <c r="D1000" s="1168" t="s">
        <v>894</v>
      </c>
      <c r="E1000" s="1073"/>
      <c r="F1000" s="1073"/>
      <c r="G1000" s="1073"/>
      <c r="H1000" s="1073"/>
      <c r="I1000" s="1073"/>
      <c r="J1000" s="1073"/>
      <c r="K1000" s="1073"/>
      <c r="L1000" s="1073"/>
      <c r="M1000" s="1073"/>
      <c r="N1000" s="1073"/>
      <c r="O1000" s="1073"/>
      <c r="P1000" s="1073"/>
      <c r="Q1000" s="1073"/>
      <c r="R1000" s="1073"/>
      <c r="S1000" s="1073"/>
      <c r="T1000" s="1073"/>
      <c r="U1000" s="1073"/>
      <c r="V1000" s="1073"/>
      <c r="W1000" s="1073"/>
      <c r="X1000" s="1073"/>
      <c r="Y1000" s="1073"/>
      <c r="Z1000" s="1073"/>
      <c r="AA1000" s="1073"/>
      <c r="AB1000" s="1073"/>
      <c r="AC1000" s="1073"/>
      <c r="AD1000" s="1073"/>
      <c r="AE1000" s="1074"/>
      <c r="AF1000" s="82"/>
      <c r="AG1000" s="1148" t="s">
        <v>71</v>
      </c>
      <c r="AH1000" s="1064"/>
      <c r="AI1000" s="85"/>
      <c r="AJ1000" s="1090">
        <f>IF(AG1000="yes",AJ976*AW1001,0)</f>
        <v>3454651.2</v>
      </c>
      <c r="AK1000" s="1073"/>
      <c r="AL1000" s="1073"/>
      <c r="AM1000" s="1073"/>
      <c r="AN1000" s="1073"/>
      <c r="AO1000" s="1073"/>
      <c r="AP1000" s="1073"/>
      <c r="AQ1000" s="1074"/>
      <c r="AR1000" s="43"/>
      <c r="AS1000" s="43"/>
      <c r="AT1000" s="43"/>
      <c r="AU1000" s="43"/>
      <c r="AV1000" s="41">
        <v>11</v>
      </c>
      <c r="AW1000" s="43">
        <f t="shared" si="35"/>
        <v>0</v>
      </c>
      <c r="AX1000" s="970">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2"/>
      <c r="D1001" s="1182" t="s">
        <v>895</v>
      </c>
      <c r="E1001" s="976"/>
      <c r="F1001" s="976"/>
      <c r="G1001" s="976"/>
      <c r="H1001" s="976"/>
      <c r="I1001" s="976"/>
      <c r="J1001" s="976"/>
      <c r="K1001" s="976"/>
      <c r="L1001" s="976"/>
      <c r="M1001" s="976"/>
      <c r="N1001" s="976"/>
      <c r="O1001" s="976"/>
      <c r="P1001" s="976"/>
      <c r="Q1001" s="976"/>
      <c r="R1001" s="976"/>
      <c r="S1001" s="976"/>
      <c r="T1001" s="976"/>
      <c r="U1001" s="976"/>
      <c r="V1001" s="976"/>
      <c r="W1001" s="976"/>
      <c r="X1001" s="976"/>
      <c r="Y1001" s="976"/>
      <c r="Z1001" s="976"/>
      <c r="AA1001" s="976"/>
      <c r="AB1001" s="976"/>
      <c r="AC1001" s="976"/>
      <c r="AD1001" s="976"/>
      <c r="AE1001" s="977"/>
      <c r="AF1001" s="1252" t="str">
        <f>IF(AND(AG1000="Yes",AW1001=0),AW1003,"")</f>
        <v/>
      </c>
      <c r="AG1001" s="976"/>
      <c r="AH1001" s="976"/>
      <c r="AI1001" s="977"/>
      <c r="AJ1001" s="1091"/>
      <c r="AK1001" s="976"/>
      <c r="AL1001" s="976"/>
      <c r="AM1001" s="976"/>
      <c r="AN1001" s="976"/>
      <c r="AO1001" s="976"/>
      <c r="AP1001" s="976"/>
      <c r="AQ1001" s="977"/>
      <c r="AR1001" s="43"/>
      <c r="AS1001" s="43"/>
      <c r="AT1001" s="43"/>
      <c r="AU1001" s="43"/>
      <c r="AV1001" s="913" t="s">
        <v>896</v>
      </c>
      <c r="AW1001" s="952">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2"/>
      <c r="D1002" s="1091"/>
      <c r="E1002" s="976"/>
      <c r="F1002" s="976"/>
      <c r="G1002" s="976"/>
      <c r="H1002" s="976"/>
      <c r="I1002" s="976"/>
      <c r="J1002" s="976"/>
      <c r="K1002" s="976"/>
      <c r="L1002" s="976"/>
      <c r="M1002" s="976"/>
      <c r="N1002" s="976"/>
      <c r="O1002" s="976"/>
      <c r="P1002" s="976"/>
      <c r="Q1002" s="976"/>
      <c r="R1002" s="976"/>
      <c r="S1002" s="976"/>
      <c r="T1002" s="976"/>
      <c r="U1002" s="976"/>
      <c r="V1002" s="976"/>
      <c r="W1002" s="976"/>
      <c r="X1002" s="976"/>
      <c r="Y1002" s="976"/>
      <c r="Z1002" s="976"/>
      <c r="AA1002" s="976"/>
      <c r="AB1002" s="976"/>
      <c r="AC1002" s="976"/>
      <c r="AD1002" s="976"/>
      <c r="AE1002" s="977"/>
      <c r="AF1002" s="1091"/>
      <c r="AG1002" s="976"/>
      <c r="AH1002" s="976"/>
      <c r="AI1002" s="977"/>
      <c r="AJ1002" s="1091"/>
      <c r="AK1002" s="976"/>
      <c r="AL1002" s="976"/>
      <c r="AM1002" s="976"/>
      <c r="AN1002" s="976"/>
      <c r="AO1002" s="976"/>
      <c r="AP1002" s="976"/>
      <c r="AQ1002" s="977"/>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2"/>
      <c r="C1003" s="858"/>
      <c r="D1003" s="1092"/>
      <c r="E1003" s="1093"/>
      <c r="F1003" s="1093"/>
      <c r="G1003" s="1093"/>
      <c r="H1003" s="1093"/>
      <c r="I1003" s="1093"/>
      <c r="J1003" s="1093"/>
      <c r="K1003" s="1093"/>
      <c r="L1003" s="1093"/>
      <c r="M1003" s="1093"/>
      <c r="N1003" s="1093"/>
      <c r="O1003" s="1093"/>
      <c r="P1003" s="1093"/>
      <c r="Q1003" s="1093"/>
      <c r="R1003" s="1093"/>
      <c r="S1003" s="1093"/>
      <c r="T1003" s="1093"/>
      <c r="U1003" s="1093"/>
      <c r="V1003" s="1093"/>
      <c r="W1003" s="1093"/>
      <c r="X1003" s="1093"/>
      <c r="Y1003" s="1093"/>
      <c r="Z1003" s="1093"/>
      <c r="AA1003" s="1093"/>
      <c r="AB1003" s="1093"/>
      <c r="AC1003" s="1093"/>
      <c r="AD1003" s="1093"/>
      <c r="AE1003" s="1094"/>
      <c r="AF1003" s="1092"/>
      <c r="AG1003" s="1093"/>
      <c r="AH1003" s="1093"/>
      <c r="AI1003" s="1094"/>
      <c r="AJ1003" s="1092"/>
      <c r="AK1003" s="1093"/>
      <c r="AL1003" s="1093"/>
      <c r="AM1003" s="1093"/>
      <c r="AN1003" s="1093"/>
      <c r="AO1003" s="1093"/>
      <c r="AP1003" s="1093"/>
      <c r="AQ1003" s="1094"/>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1" t="s">
        <v>897</v>
      </c>
      <c r="D1004" s="1263" t="s">
        <v>898</v>
      </c>
      <c r="E1004" s="1073"/>
      <c r="F1004" s="1073"/>
      <c r="G1004" s="1073"/>
      <c r="H1004" s="1073"/>
      <c r="I1004" s="1073"/>
      <c r="J1004" s="1073"/>
      <c r="K1004" s="1073"/>
      <c r="L1004" s="1073"/>
      <c r="M1004" s="1073"/>
      <c r="N1004" s="1073"/>
      <c r="O1004" s="1073"/>
      <c r="P1004" s="1073"/>
      <c r="Q1004" s="1073"/>
      <c r="R1004" s="1073"/>
      <c r="S1004" s="1073"/>
      <c r="T1004" s="1073"/>
      <c r="U1004" s="1073"/>
      <c r="V1004" s="1073"/>
      <c r="W1004" s="1073"/>
      <c r="X1004" s="1073"/>
      <c r="Y1004" s="1073"/>
      <c r="Z1004" s="1073"/>
      <c r="AA1004" s="1073"/>
      <c r="AB1004" s="1073"/>
      <c r="AC1004" s="1073"/>
      <c r="AD1004" s="1073"/>
      <c r="AE1004" s="1074"/>
      <c r="AF1004" s="82"/>
      <c r="AG1004" s="1148" t="s">
        <v>14</v>
      </c>
      <c r="AH1004" s="1064"/>
      <c r="AI1004" s="85"/>
      <c r="AJ1004" s="1090">
        <f>ROUND(IF(AND(AG1004="Yes",AF1007&lt;&gt;"",J1008&lt;&gt;"N/A"),MIN(AF1007,(0.15*AJ976)),0),0)</f>
        <v>0</v>
      </c>
      <c r="AK1004" s="1073"/>
      <c r="AL1004" s="1073"/>
      <c r="AM1004" s="1073"/>
      <c r="AN1004" s="1073"/>
      <c r="AO1004" s="1073"/>
      <c r="AP1004" s="1073"/>
      <c r="AQ1004" s="107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2"/>
      <c r="C1005" s="863"/>
      <c r="D1005" s="1091"/>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7"/>
      <c r="AF1005" s="1316" t="str">
        <f>IF(AG1004="yes","Please Select Type and Enter Amount:","")</f>
        <v/>
      </c>
      <c r="AG1005" s="976"/>
      <c r="AH1005" s="976"/>
      <c r="AI1005" s="977"/>
      <c r="AJ1005" s="1091"/>
      <c r="AK1005" s="976"/>
      <c r="AL1005" s="976"/>
      <c r="AM1005" s="976"/>
      <c r="AN1005" s="976"/>
      <c r="AO1005" s="976"/>
      <c r="AP1005" s="976"/>
      <c r="AQ1005" s="97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2"/>
      <c r="C1006" s="863"/>
      <c r="D1006" s="1324" t="s">
        <v>899</v>
      </c>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7"/>
      <c r="AF1006" s="1091"/>
      <c r="AG1006" s="976"/>
      <c r="AH1006" s="976"/>
      <c r="AI1006" s="977"/>
      <c r="AJ1006" s="1091"/>
      <c r="AK1006" s="976"/>
      <c r="AL1006" s="976"/>
      <c r="AM1006" s="976"/>
      <c r="AN1006" s="976"/>
      <c r="AO1006" s="976"/>
      <c r="AP1006" s="976"/>
      <c r="AQ1006" s="977"/>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2"/>
      <c r="C1007" s="863"/>
      <c r="D1007" s="1091"/>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7"/>
      <c r="AF1007" s="1109"/>
      <c r="AG1007" s="1099"/>
      <c r="AH1007" s="1099"/>
      <c r="AI1007" s="1100"/>
      <c r="AJ1007" s="1091"/>
      <c r="AK1007" s="976"/>
      <c r="AL1007" s="976"/>
      <c r="AM1007" s="976"/>
      <c r="AN1007" s="976"/>
      <c r="AO1007" s="976"/>
      <c r="AP1007" s="976"/>
      <c r="AQ1007" s="97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2"/>
      <c r="C1008" s="863"/>
      <c r="D1008" s="864" t="s">
        <v>900</v>
      </c>
      <c r="E1008" s="88"/>
      <c r="F1008" s="88"/>
      <c r="G1008" s="407"/>
      <c r="H1008" s="407"/>
      <c r="I1008" s="55"/>
      <c r="J1008" s="1279" t="s">
        <v>155</v>
      </c>
      <c r="K1008" s="1063"/>
      <c r="L1008" s="1063"/>
      <c r="M1008" s="1063"/>
      <c r="N1008" s="1063"/>
      <c r="O1008" s="1063"/>
      <c r="P1008" s="1063"/>
      <c r="Q1008" s="1063"/>
      <c r="R1008" s="1063"/>
      <c r="S1008" s="1063"/>
      <c r="T1008" s="1063"/>
      <c r="U1008" s="1063"/>
      <c r="V1008" s="1063"/>
      <c r="W1008" s="1063"/>
      <c r="X1008" s="1063"/>
      <c r="Y1008" s="1063"/>
      <c r="Z1008" s="1063"/>
      <c r="AA1008" s="1063"/>
      <c r="AB1008" s="1063"/>
      <c r="AC1008" s="1063"/>
      <c r="AD1008" s="1063"/>
      <c r="AE1008" s="1064"/>
      <c r="AF1008" s="1101"/>
      <c r="AG1008" s="1060"/>
      <c r="AH1008" s="1060"/>
      <c r="AI1008" s="1096"/>
      <c r="AJ1008" s="1092"/>
      <c r="AK1008" s="1093"/>
      <c r="AL1008" s="1093"/>
      <c r="AM1008" s="1093"/>
      <c r="AN1008" s="1093"/>
      <c r="AO1008" s="1093"/>
      <c r="AP1008" s="1093"/>
      <c r="AQ1008" s="109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1" t="s">
        <v>901</v>
      </c>
      <c r="D1009" s="1106" t="s">
        <v>902</v>
      </c>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7"/>
      <c r="AF1009" s="82"/>
      <c r="AG1009" s="1148" t="s">
        <v>14</v>
      </c>
      <c r="AH1009" s="1064"/>
      <c r="AI1009" s="85"/>
      <c r="AJ1009" s="1090">
        <f>ROUND(IF(AG1009="Yes",AF1011,0),0)</f>
        <v>0</v>
      </c>
      <c r="AK1009" s="1073"/>
      <c r="AL1009" s="1073"/>
      <c r="AM1009" s="1073"/>
      <c r="AN1009" s="1073"/>
      <c r="AO1009" s="1073"/>
      <c r="AP1009" s="1073"/>
      <c r="AQ1009" s="107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182" t="s">
        <v>903</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7"/>
      <c r="AF1010" s="1315" t="str">
        <f>IF(AG1009="yes","Please Enter Amount:","")</f>
        <v/>
      </c>
      <c r="AG1010" s="1093"/>
      <c r="AH1010" s="1093"/>
      <c r="AI1010" s="1094"/>
      <c r="AJ1010" s="1091"/>
      <c r="AK1010" s="976"/>
      <c r="AL1010" s="976"/>
      <c r="AM1010" s="976"/>
      <c r="AN1010" s="976"/>
      <c r="AO1010" s="976"/>
      <c r="AP1010" s="976"/>
      <c r="AQ1010" s="97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2"/>
      <c r="D1011" s="1091"/>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7"/>
      <c r="AF1011" s="1109"/>
      <c r="AG1011" s="1099"/>
      <c r="AH1011" s="1099"/>
      <c r="AI1011" s="1100"/>
      <c r="AJ1011" s="1091"/>
      <c r="AK1011" s="976"/>
      <c r="AL1011" s="976"/>
      <c r="AM1011" s="976"/>
      <c r="AN1011" s="976"/>
      <c r="AO1011" s="976"/>
      <c r="AP1011" s="976"/>
      <c r="AQ1011" s="977"/>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1"/>
      <c r="C1012" s="863"/>
      <c r="D1012" s="1092"/>
      <c r="E1012" s="1093"/>
      <c r="F1012" s="1093"/>
      <c r="G1012" s="1093"/>
      <c r="H1012" s="1093"/>
      <c r="I1012" s="1093"/>
      <c r="J1012" s="1093"/>
      <c r="K1012" s="1093"/>
      <c r="L1012" s="1093"/>
      <c r="M1012" s="1093"/>
      <c r="N1012" s="1093"/>
      <c r="O1012" s="1093"/>
      <c r="P1012" s="1093"/>
      <c r="Q1012" s="1093"/>
      <c r="R1012" s="1093"/>
      <c r="S1012" s="1093"/>
      <c r="T1012" s="1093"/>
      <c r="U1012" s="1093"/>
      <c r="V1012" s="1093"/>
      <c r="W1012" s="1093"/>
      <c r="X1012" s="1093"/>
      <c r="Y1012" s="1093"/>
      <c r="Z1012" s="1093"/>
      <c r="AA1012" s="1093"/>
      <c r="AB1012" s="1093"/>
      <c r="AC1012" s="1093"/>
      <c r="AD1012" s="1093"/>
      <c r="AE1012" s="1094"/>
      <c r="AF1012" s="1101"/>
      <c r="AG1012" s="1060"/>
      <c r="AH1012" s="1060"/>
      <c r="AI1012" s="1096"/>
      <c r="AJ1012" s="1092"/>
      <c r="AK1012" s="1093"/>
      <c r="AL1012" s="1093"/>
      <c r="AM1012" s="1093"/>
      <c r="AN1012" s="1093"/>
      <c r="AO1012" s="1093"/>
      <c r="AP1012" s="1093"/>
      <c r="AQ1012" s="1094"/>
      <c r="AT1012" s="43"/>
      <c r="AU1012" s="43"/>
      <c r="AV1012" s="43"/>
      <c r="AW1012" s="43"/>
      <c r="AX1012" s="38"/>
      <c r="AY1012" s="38"/>
      <c r="AZ1012" s="21"/>
      <c r="BA1012" s="21"/>
      <c r="BB1012" s="21"/>
      <c r="BC1012" s="43"/>
      <c r="BD1012" s="43"/>
    </row>
    <row r="1013" spans="1:97" ht="12.95" customHeight="1">
      <c r="A1013" s="21"/>
      <c r="B1013" s="82"/>
      <c r="C1013" s="551" t="s">
        <v>904</v>
      </c>
      <c r="D1013" s="1168" t="s">
        <v>905</v>
      </c>
      <c r="E1013" s="1073"/>
      <c r="F1013" s="1073"/>
      <c r="G1013" s="1073"/>
      <c r="H1013" s="1073"/>
      <c r="I1013" s="1073"/>
      <c r="J1013" s="1073"/>
      <c r="K1013" s="1073"/>
      <c r="L1013" s="1073"/>
      <c r="M1013" s="1073"/>
      <c r="N1013" s="1073"/>
      <c r="O1013" s="1073"/>
      <c r="P1013" s="1073"/>
      <c r="Q1013" s="1073"/>
      <c r="R1013" s="1073"/>
      <c r="S1013" s="1073"/>
      <c r="T1013" s="1073"/>
      <c r="U1013" s="1073"/>
      <c r="V1013" s="1073"/>
      <c r="W1013" s="1073"/>
      <c r="X1013" s="1073"/>
      <c r="Y1013" s="1073"/>
      <c r="Z1013" s="1073"/>
      <c r="AA1013" s="1073"/>
      <c r="AB1013" s="1073"/>
      <c r="AC1013" s="1073"/>
      <c r="AD1013" s="1073"/>
      <c r="AE1013" s="1074"/>
      <c r="AF1013" s="82"/>
      <c r="AG1013" s="1148" t="s">
        <v>14</v>
      </c>
      <c r="AH1013" s="1064"/>
      <c r="AI1013" s="85"/>
      <c r="AJ1013" s="1090">
        <f>ROUND(IF(AG1013="yes",(AJ976*0.1),0),0)</f>
        <v>0</v>
      </c>
      <c r="AK1013" s="1073"/>
      <c r="AL1013" s="1073"/>
      <c r="AM1013" s="1073"/>
      <c r="AN1013" s="1073"/>
      <c r="AO1013" s="1073"/>
      <c r="AP1013" s="1073"/>
      <c r="AQ1013" s="1074"/>
      <c r="AT1013" s="43"/>
      <c r="AU1013" s="43"/>
      <c r="AV1013" s="43"/>
      <c r="AW1013" s="43"/>
      <c r="AX1013" s="38"/>
      <c r="AY1013" s="38"/>
      <c r="AZ1013" s="21"/>
      <c r="BA1013" s="21"/>
      <c r="BB1013" s="21"/>
      <c r="BC1013" s="43"/>
      <c r="BD1013" s="43"/>
    </row>
    <row r="1014" spans="1:97" ht="12.95" customHeight="1">
      <c r="A1014" s="21"/>
      <c r="B1014" s="79"/>
      <c r="C1014" s="552"/>
      <c r="D1014" s="1182" t="s">
        <v>906</v>
      </c>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7"/>
      <c r="AF1014" s="79"/>
      <c r="AG1014" s="21"/>
      <c r="AH1014" s="21"/>
      <c r="AI1014" s="83"/>
      <c r="AJ1014" s="1091"/>
      <c r="AK1014" s="976"/>
      <c r="AL1014" s="976"/>
      <c r="AM1014" s="976"/>
      <c r="AN1014" s="976"/>
      <c r="AO1014" s="976"/>
      <c r="AP1014" s="976"/>
      <c r="AQ1014" s="977"/>
      <c r="AT1014" s="43"/>
      <c r="AU1014" s="43"/>
      <c r="AV1014" s="43"/>
      <c r="AW1014" s="43"/>
      <c r="AX1014" s="38"/>
      <c r="AY1014" s="38"/>
      <c r="AZ1014" s="21"/>
      <c r="BA1014" s="21"/>
      <c r="BB1014" s="21"/>
      <c r="BC1014" s="43"/>
      <c r="BD1014" s="43"/>
    </row>
    <row r="1015" spans="1:97" ht="12.95" customHeight="1">
      <c r="A1015" s="550"/>
      <c r="B1015" s="80"/>
      <c r="C1015" s="552"/>
      <c r="D1015" s="1092"/>
      <c r="E1015" s="1093"/>
      <c r="F1015" s="1093"/>
      <c r="G1015" s="1093"/>
      <c r="H1015" s="1093"/>
      <c r="I1015" s="1093"/>
      <c r="J1015" s="1093"/>
      <c r="K1015" s="1093"/>
      <c r="L1015" s="1093"/>
      <c r="M1015" s="1093"/>
      <c r="N1015" s="1093"/>
      <c r="O1015" s="1093"/>
      <c r="P1015" s="1093"/>
      <c r="Q1015" s="1093"/>
      <c r="R1015" s="1093"/>
      <c r="S1015" s="1093"/>
      <c r="T1015" s="1093"/>
      <c r="U1015" s="1093"/>
      <c r="V1015" s="1093"/>
      <c r="W1015" s="1093"/>
      <c r="X1015" s="1093"/>
      <c r="Y1015" s="1093"/>
      <c r="Z1015" s="1093"/>
      <c r="AA1015" s="1093"/>
      <c r="AB1015" s="1093"/>
      <c r="AC1015" s="1093"/>
      <c r="AD1015" s="1093"/>
      <c r="AE1015" s="1094"/>
      <c r="AF1015" s="79"/>
      <c r="AG1015" s="21"/>
      <c r="AH1015" s="21"/>
      <c r="AI1015" s="83"/>
      <c r="AJ1015" s="1092"/>
      <c r="AK1015" s="1093"/>
      <c r="AL1015" s="1093"/>
      <c r="AM1015" s="1093"/>
      <c r="AN1015" s="1093"/>
      <c r="AO1015" s="1093"/>
      <c r="AP1015" s="1093"/>
      <c r="AQ1015" s="1094"/>
      <c r="AT1015" s="43"/>
      <c r="AU1015" s="43"/>
      <c r="AV1015" s="43"/>
      <c r="AW1015" s="43"/>
      <c r="AX1015" s="38"/>
      <c r="AY1015" s="38"/>
      <c r="AZ1015" s="21"/>
      <c r="BA1015" s="21"/>
      <c r="BB1015" s="43"/>
      <c r="BC1015" s="43"/>
      <c r="BD1015" s="43"/>
    </row>
    <row r="1016" spans="1:97" ht="12.95" customHeight="1">
      <c r="A1016" s="550"/>
      <c r="B1016" s="79"/>
      <c r="C1016" s="551" t="s">
        <v>907</v>
      </c>
      <c r="D1016" s="1106" t="s">
        <v>908</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7"/>
      <c r="AF1016" s="82"/>
      <c r="AG1016" s="1148" t="s">
        <v>14</v>
      </c>
      <c r="AH1016" s="1064"/>
      <c r="AI1016" s="85"/>
      <c r="AJ1016" s="1090">
        <f>ROUND(IF(AG1016="yes",(AJ976*0.15),0),0)</f>
        <v>0</v>
      </c>
      <c r="AK1016" s="1073"/>
      <c r="AL1016" s="1073"/>
      <c r="AM1016" s="1073"/>
      <c r="AN1016" s="1073"/>
      <c r="AO1016" s="1073"/>
      <c r="AP1016" s="1073"/>
      <c r="AQ1016" s="107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0"/>
      <c r="B1017" s="79"/>
      <c r="C1017" s="552"/>
      <c r="D1017" s="1171" t="s">
        <v>909</v>
      </c>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7"/>
      <c r="AF1017" s="865"/>
      <c r="AG1017" s="866"/>
      <c r="AH1017" s="866"/>
      <c r="AI1017" s="867"/>
      <c r="AJ1017" s="1091"/>
      <c r="AK1017" s="976"/>
      <c r="AL1017" s="976"/>
      <c r="AM1017" s="976"/>
      <c r="AN1017" s="976"/>
      <c r="AO1017" s="976"/>
      <c r="AP1017" s="976"/>
      <c r="AQ1017" s="977"/>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091"/>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7"/>
      <c r="AF1018" s="865"/>
      <c r="AG1018" s="866"/>
      <c r="AH1018" s="866"/>
      <c r="AI1018" s="867"/>
      <c r="AJ1018" s="1091"/>
      <c r="AK1018" s="976"/>
      <c r="AL1018" s="976"/>
      <c r="AM1018" s="976"/>
      <c r="AN1018" s="976"/>
      <c r="AO1018" s="976"/>
      <c r="AP1018" s="976"/>
      <c r="AQ1018" s="97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0"/>
      <c r="B1019" s="79"/>
      <c r="C1019" s="552"/>
      <c r="D1019" s="1092"/>
      <c r="E1019" s="1093"/>
      <c r="F1019" s="1093"/>
      <c r="G1019" s="1093"/>
      <c r="H1019" s="1093"/>
      <c r="I1019" s="1093"/>
      <c r="J1019" s="1093"/>
      <c r="K1019" s="1093"/>
      <c r="L1019" s="1093"/>
      <c r="M1019" s="1093"/>
      <c r="N1019" s="1093"/>
      <c r="O1019" s="1093"/>
      <c r="P1019" s="1093"/>
      <c r="Q1019" s="1093"/>
      <c r="R1019" s="1093"/>
      <c r="S1019" s="1093"/>
      <c r="T1019" s="1093"/>
      <c r="U1019" s="1093"/>
      <c r="V1019" s="1093"/>
      <c r="W1019" s="1093"/>
      <c r="X1019" s="1093"/>
      <c r="Y1019" s="1093"/>
      <c r="Z1019" s="1093"/>
      <c r="AA1019" s="1093"/>
      <c r="AB1019" s="1093"/>
      <c r="AC1019" s="1093"/>
      <c r="AD1019" s="1093"/>
      <c r="AE1019" s="1094"/>
      <c r="AF1019" s="868"/>
      <c r="AG1019" s="869"/>
      <c r="AH1019" s="869"/>
      <c r="AI1019" s="870"/>
      <c r="AJ1019" s="1092"/>
      <c r="AK1019" s="1093"/>
      <c r="AL1019" s="1093"/>
      <c r="AM1019" s="1093"/>
      <c r="AN1019" s="1093"/>
      <c r="AO1019" s="1093"/>
      <c r="AP1019" s="1093"/>
      <c r="AQ1019" s="109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1" t="s">
        <v>907</v>
      </c>
      <c r="D1020" s="1168" t="s">
        <v>910</v>
      </c>
      <c r="E1020" s="1073"/>
      <c r="F1020" s="1073"/>
      <c r="G1020" s="1073"/>
      <c r="H1020" s="1073"/>
      <c r="I1020" s="1073"/>
      <c r="J1020" s="1073"/>
      <c r="K1020" s="1073"/>
      <c r="L1020" s="1073"/>
      <c r="M1020" s="1073"/>
      <c r="N1020" s="1073"/>
      <c r="O1020" s="1073"/>
      <c r="P1020" s="1073"/>
      <c r="Q1020" s="1073"/>
      <c r="R1020" s="1073"/>
      <c r="S1020" s="1073"/>
      <c r="T1020" s="1073"/>
      <c r="U1020" s="1073"/>
      <c r="V1020" s="1073"/>
      <c r="W1020" s="1073"/>
      <c r="X1020" s="1073"/>
      <c r="Y1020" s="1073"/>
      <c r="Z1020" s="1073"/>
      <c r="AA1020" s="1073"/>
      <c r="AB1020" s="1073"/>
      <c r="AC1020" s="1073"/>
      <c r="AD1020" s="1073"/>
      <c r="AE1020" s="1074"/>
      <c r="AF1020" s="79"/>
      <c r="AG1020" s="1228" t="s">
        <v>14</v>
      </c>
      <c r="AH1020" s="1096"/>
      <c r="AI1020" s="83"/>
      <c r="AJ1020" s="1143">
        <f>ROUND(IF(AG1020="yes",(AJ976*0.1),0),0)</f>
        <v>0</v>
      </c>
      <c r="AK1020" s="1073"/>
      <c r="AL1020" s="1073"/>
      <c r="AM1020" s="1073"/>
      <c r="AN1020" s="1073"/>
      <c r="AO1020" s="1073"/>
      <c r="AP1020" s="1073"/>
      <c r="AQ1020" s="107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171" t="s">
        <v>911</v>
      </c>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7"/>
      <c r="AF1021" s="79"/>
      <c r="AG1021" s="21"/>
      <c r="AH1021" s="21"/>
      <c r="AI1021" s="83"/>
      <c r="AJ1021" s="1091"/>
      <c r="AK1021" s="976"/>
      <c r="AL1021" s="976"/>
      <c r="AM1021" s="976"/>
      <c r="AN1021" s="976"/>
      <c r="AO1021" s="976"/>
      <c r="AP1021" s="976"/>
      <c r="AQ1021" s="97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091"/>
      <c r="E1022" s="976"/>
      <c r="F1022" s="976"/>
      <c r="G1022" s="976"/>
      <c r="H1022" s="976"/>
      <c r="I1022" s="976"/>
      <c r="J1022" s="976"/>
      <c r="K1022" s="976"/>
      <c r="L1022" s="976"/>
      <c r="M1022" s="976"/>
      <c r="N1022" s="976"/>
      <c r="O1022" s="976"/>
      <c r="P1022" s="976"/>
      <c r="Q1022" s="976"/>
      <c r="R1022" s="976"/>
      <c r="S1022" s="976"/>
      <c r="T1022" s="976"/>
      <c r="U1022" s="976"/>
      <c r="V1022" s="976"/>
      <c r="W1022" s="976"/>
      <c r="X1022" s="976"/>
      <c r="Y1022" s="976"/>
      <c r="Z1022" s="976"/>
      <c r="AA1022" s="976"/>
      <c r="AB1022" s="976"/>
      <c r="AC1022" s="976"/>
      <c r="AD1022" s="976"/>
      <c r="AE1022" s="977"/>
      <c r="AF1022" s="79"/>
      <c r="AG1022" s="21"/>
      <c r="AH1022" s="21"/>
      <c r="AI1022" s="83"/>
      <c r="AJ1022" s="1091"/>
      <c r="AK1022" s="976"/>
      <c r="AL1022" s="976"/>
      <c r="AM1022" s="976"/>
      <c r="AN1022" s="976"/>
      <c r="AO1022" s="976"/>
      <c r="AP1022" s="976"/>
      <c r="AQ1022" s="97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091"/>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7"/>
      <c r="AF1023" s="79"/>
      <c r="AG1023" s="21"/>
      <c r="AH1023" s="21"/>
      <c r="AI1023" s="83"/>
      <c r="AJ1023" s="1091"/>
      <c r="AK1023" s="976"/>
      <c r="AL1023" s="976"/>
      <c r="AM1023" s="976"/>
      <c r="AN1023" s="976"/>
      <c r="AO1023" s="976"/>
      <c r="AP1023" s="976"/>
      <c r="AQ1023" s="97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2"/>
      <c r="D1024" s="1092"/>
      <c r="E1024" s="1093"/>
      <c r="F1024" s="1093"/>
      <c r="G1024" s="1093"/>
      <c r="H1024" s="1093"/>
      <c r="I1024" s="1093"/>
      <c r="J1024" s="1093"/>
      <c r="K1024" s="1093"/>
      <c r="L1024" s="1093"/>
      <c r="M1024" s="1093"/>
      <c r="N1024" s="1093"/>
      <c r="O1024" s="1093"/>
      <c r="P1024" s="1093"/>
      <c r="Q1024" s="1093"/>
      <c r="R1024" s="1093"/>
      <c r="S1024" s="1093"/>
      <c r="T1024" s="1093"/>
      <c r="U1024" s="1093"/>
      <c r="V1024" s="1093"/>
      <c r="W1024" s="1093"/>
      <c r="X1024" s="1093"/>
      <c r="Y1024" s="1093"/>
      <c r="Z1024" s="1093"/>
      <c r="AA1024" s="1093"/>
      <c r="AB1024" s="1093"/>
      <c r="AC1024" s="1093"/>
      <c r="AD1024" s="1093"/>
      <c r="AE1024" s="1094"/>
      <c r="AF1024" s="79"/>
      <c r="AG1024" s="21"/>
      <c r="AH1024" s="21"/>
      <c r="AI1024" s="83"/>
      <c r="AJ1024" s="1091"/>
      <c r="AK1024" s="976"/>
      <c r="AL1024" s="976"/>
      <c r="AM1024" s="976"/>
      <c r="AN1024" s="976"/>
      <c r="AO1024" s="976"/>
      <c r="AP1024" s="976"/>
      <c r="AQ1024" s="97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12.95" customHeight="1">
      <c r="A1025" s="86"/>
      <c r="B1025" s="82"/>
      <c r="C1025" s="871" t="s">
        <v>912</v>
      </c>
      <c r="D1025" s="1106" t="s">
        <v>913</v>
      </c>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7"/>
      <c r="AF1025" s="82"/>
      <c r="AG1025" s="1148" t="s">
        <v>71</v>
      </c>
      <c r="AH1025" s="1064"/>
      <c r="AI1025" s="85"/>
      <c r="AJ1025" s="1090">
        <f>ROUND(IF(AG1025="yes",(AJ976*0.1),0),0)</f>
        <v>1727326</v>
      </c>
      <c r="AK1025" s="1073"/>
      <c r="AL1025" s="1073"/>
      <c r="AM1025" s="1073"/>
      <c r="AN1025" s="1073"/>
      <c r="AO1025" s="1073"/>
      <c r="AP1025" s="1073"/>
      <c r="AQ1025" s="107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86"/>
      <c r="B1026" s="79"/>
      <c r="C1026" s="552"/>
      <c r="D1026" s="1182" t="s">
        <v>914</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7"/>
      <c r="AF1026" s="79"/>
      <c r="AG1026" s="21"/>
      <c r="AH1026" s="21"/>
      <c r="AI1026" s="83"/>
      <c r="AJ1026" s="1091"/>
      <c r="AK1026" s="976"/>
      <c r="AL1026" s="976"/>
      <c r="AM1026" s="976"/>
      <c r="AN1026" s="976"/>
      <c r="AO1026" s="976"/>
      <c r="AP1026" s="976"/>
      <c r="AQ1026" s="97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86"/>
      <c r="B1027" s="79"/>
      <c r="C1027" s="552"/>
      <c r="D1027" s="1091"/>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7"/>
      <c r="AF1027" s="79"/>
      <c r="AG1027" s="21"/>
      <c r="AH1027" s="21"/>
      <c r="AI1027" s="83"/>
      <c r="AJ1027" s="1091"/>
      <c r="AK1027" s="976"/>
      <c r="AL1027" s="976"/>
      <c r="AM1027" s="976"/>
      <c r="AN1027" s="976"/>
      <c r="AO1027" s="976"/>
      <c r="AP1027" s="976"/>
      <c r="AQ1027" s="97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86"/>
      <c r="B1028" s="79"/>
      <c r="C1028" s="552"/>
      <c r="D1028" s="1092"/>
      <c r="E1028" s="1093"/>
      <c r="F1028" s="1093"/>
      <c r="G1028" s="1093"/>
      <c r="H1028" s="1093"/>
      <c r="I1028" s="1093"/>
      <c r="J1028" s="1093"/>
      <c r="K1028" s="1093"/>
      <c r="L1028" s="1093"/>
      <c r="M1028" s="1093"/>
      <c r="N1028" s="1093"/>
      <c r="O1028" s="1093"/>
      <c r="P1028" s="1093"/>
      <c r="Q1028" s="1093"/>
      <c r="R1028" s="1093"/>
      <c r="S1028" s="1093"/>
      <c r="T1028" s="1093"/>
      <c r="U1028" s="1093"/>
      <c r="V1028" s="1093"/>
      <c r="W1028" s="1093"/>
      <c r="X1028" s="1093"/>
      <c r="Y1028" s="1093"/>
      <c r="Z1028" s="1093"/>
      <c r="AA1028" s="1093"/>
      <c r="AB1028" s="1093"/>
      <c r="AC1028" s="1093"/>
      <c r="AD1028" s="1093"/>
      <c r="AE1028" s="1094"/>
      <c r="AF1028" s="79"/>
      <c r="AG1028" s="21"/>
      <c r="AH1028" s="21"/>
      <c r="AI1028" s="83"/>
      <c r="AJ1028" s="1092"/>
      <c r="AK1028" s="1093"/>
      <c r="AL1028" s="1093"/>
      <c r="AM1028" s="1093"/>
      <c r="AN1028" s="1093"/>
      <c r="AO1028" s="1093"/>
      <c r="AP1028" s="1093"/>
      <c r="AQ1028" s="109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customHeight="1">
      <c r="A1029" s="86"/>
      <c r="B1029" s="175"/>
      <c r="C1029" s="872"/>
      <c r="D1029" s="1147" t="s">
        <v>915</v>
      </c>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4"/>
      <c r="AJ1029" s="1178">
        <f>SUM(AJ976:AQ1028)</f>
        <v>22455233.199999999</v>
      </c>
      <c r="AK1029" s="973"/>
      <c r="AL1029" s="973"/>
      <c r="AM1029" s="973"/>
      <c r="AN1029" s="973"/>
      <c r="AO1029" s="973"/>
      <c r="AP1029" s="973"/>
      <c r="AQ1029" s="97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86"/>
      <c r="B1032" s="21"/>
      <c r="C1032" s="360"/>
      <c r="D1032" s="363" t="s">
        <v>916</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86"/>
      <c r="B1033" s="21"/>
      <c r="C1033" s="360"/>
      <c r="D1033" s="365" t="s">
        <v>917</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226">
        <f>'Sources and Uses Budget'!S106+'Sources and Uses Budget'!T106</f>
        <v>25514460</v>
      </c>
      <c r="Y1033" s="976"/>
      <c r="Z1033" s="976"/>
      <c r="AA1033" s="976"/>
      <c r="AB1033" s="976"/>
      <c r="AC1033" s="97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86"/>
      <c r="B1034" s="21"/>
      <c r="C1034" s="360"/>
      <c r="D1034" s="365"/>
      <c r="E1034" s="365" t="s">
        <v>918</v>
      </c>
      <c r="F1034" s="366"/>
      <c r="G1034" s="366"/>
      <c r="H1034" s="366"/>
      <c r="I1034" s="366"/>
      <c r="J1034" s="366"/>
      <c r="K1034" s="366"/>
      <c r="L1034" s="366"/>
      <c r="M1034" s="366"/>
      <c r="N1034" s="366"/>
      <c r="O1034" s="366"/>
      <c r="P1034" s="366"/>
      <c r="Q1034" s="366"/>
      <c r="R1034" s="366"/>
      <c r="S1034" s="366"/>
      <c r="T1034" s="366"/>
      <c r="U1034" s="366"/>
      <c r="V1034" s="366"/>
      <c r="W1034" s="366"/>
      <c r="X1034" s="1242">
        <f>IFERROR(X1033/AJ1029,"")</f>
        <v>1.1362366969317423</v>
      </c>
      <c r="Y1034" s="973"/>
      <c r="Z1034" s="973"/>
      <c r="AA1034" s="973"/>
      <c r="AB1034" s="973"/>
      <c r="AC1034" s="974"/>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s="21" customFormat="1" ht="12.95" customHeight="1">
      <c r="A1035" s="86"/>
      <c r="C1035" s="360"/>
      <c r="D1035" s="128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4"/>
      <c r="F1035" s="1184"/>
      <c r="G1035" s="1184"/>
      <c r="H1035" s="1184"/>
      <c r="I1035" s="1184"/>
      <c r="J1035" s="1184"/>
      <c r="K1035" s="1184"/>
      <c r="L1035" s="1184"/>
      <c r="M1035" s="1184"/>
      <c r="N1035" s="1184"/>
      <c r="O1035" s="1184"/>
      <c r="P1035" s="1184"/>
      <c r="Q1035" s="1184"/>
      <c r="R1035" s="1184"/>
      <c r="S1035" s="1184"/>
      <c r="T1035" s="1184"/>
      <c r="U1035" s="1184"/>
      <c r="V1035" s="1184"/>
      <c r="W1035" s="1184"/>
      <c r="X1035" s="1184"/>
      <c r="Y1035" s="1184"/>
      <c r="Z1035" s="1184"/>
      <c r="AA1035" s="1184"/>
      <c r="AB1035" s="1184"/>
      <c r="AC1035" s="1184"/>
      <c r="AD1035" s="1184"/>
      <c r="AE1035" s="1184"/>
      <c r="AF1035" s="1184"/>
      <c r="AG1035" s="1184"/>
      <c r="AH1035" s="1184"/>
      <c r="AI1035" s="1184"/>
      <c r="AJ1035" s="1184"/>
      <c r="AK1035" s="1184"/>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s="21" customFormat="1" ht="12.95" customHeight="1">
      <c r="A1036" s="86"/>
      <c r="C1036" s="360"/>
      <c r="D1036" s="1184"/>
      <c r="E1036" s="1184"/>
      <c r="F1036" s="1184"/>
      <c r="G1036" s="1184"/>
      <c r="H1036" s="1184"/>
      <c r="I1036" s="1184"/>
      <c r="J1036" s="1184"/>
      <c r="K1036" s="1184"/>
      <c r="L1036" s="1184"/>
      <c r="M1036" s="1184"/>
      <c r="N1036" s="1184"/>
      <c r="O1036" s="1184"/>
      <c r="P1036" s="1184"/>
      <c r="Q1036" s="1184"/>
      <c r="R1036" s="1184"/>
      <c r="S1036" s="1184"/>
      <c r="T1036" s="1184"/>
      <c r="U1036" s="1184"/>
      <c r="V1036" s="1184"/>
      <c r="W1036" s="1184"/>
      <c r="X1036" s="1184"/>
      <c r="Y1036" s="1184"/>
      <c r="Z1036" s="1184"/>
      <c r="AA1036" s="1184"/>
      <c r="AB1036" s="1184"/>
      <c r="AC1036" s="1184"/>
      <c r="AD1036" s="1184"/>
      <c r="AE1036" s="1184"/>
      <c r="AF1036" s="1184"/>
      <c r="AG1036" s="1184"/>
      <c r="AH1036" s="1184"/>
      <c r="AI1036" s="1184"/>
      <c r="AJ1036" s="1184"/>
      <c r="AK1036" s="1184"/>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s="21" customFormat="1" ht="12.95" customHeight="1">
      <c r="A1037" s="86"/>
      <c r="C1037" s="360"/>
      <c r="D1037" s="1184"/>
      <c r="E1037" s="1184"/>
      <c r="F1037" s="1184"/>
      <c r="G1037" s="1184"/>
      <c r="H1037" s="1184"/>
      <c r="I1037" s="1184"/>
      <c r="J1037" s="1184"/>
      <c r="K1037" s="1184"/>
      <c r="L1037" s="1184"/>
      <c r="M1037" s="1184"/>
      <c r="N1037" s="1184"/>
      <c r="O1037" s="1184"/>
      <c r="P1037" s="1184"/>
      <c r="Q1037" s="1184"/>
      <c r="R1037" s="1184"/>
      <c r="S1037" s="1184"/>
      <c r="T1037" s="1184"/>
      <c r="U1037" s="1184"/>
      <c r="V1037" s="1184"/>
      <c r="W1037" s="1184"/>
      <c r="X1037" s="1184"/>
      <c r="Y1037" s="1184"/>
      <c r="Z1037" s="1184"/>
      <c r="AA1037" s="1184"/>
      <c r="AB1037" s="1184"/>
      <c r="AC1037" s="1184"/>
      <c r="AD1037" s="1184"/>
      <c r="AE1037" s="1184"/>
      <c r="AF1037" s="1184"/>
      <c r="AG1037" s="1184"/>
      <c r="AH1037" s="1184"/>
      <c r="AI1037" s="1184"/>
      <c r="AJ1037" s="1184"/>
      <c r="AK1037" s="1184"/>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s="21" customFormat="1" ht="12.95" customHeight="1">
      <c r="A1038" s="86"/>
      <c r="B1038" s="939"/>
      <c r="C1038" s="939"/>
      <c r="D1038" s="939"/>
      <c r="E1038" s="939"/>
      <c r="F1038" s="939"/>
      <c r="G1038" s="939"/>
      <c r="H1038" s="939"/>
      <c r="I1038" s="939"/>
      <c r="J1038" s="939"/>
      <c r="K1038" s="939"/>
      <c r="L1038" s="939"/>
      <c r="M1038" s="939"/>
      <c r="N1038" s="939"/>
      <c r="O1038" s="939"/>
      <c r="P1038" s="939"/>
      <c r="Q1038" s="939"/>
      <c r="R1038" s="939"/>
      <c r="S1038" s="939"/>
      <c r="T1038" s="939"/>
      <c r="U1038" s="939"/>
      <c r="V1038" s="939"/>
      <c r="W1038" s="939"/>
      <c r="X1038" s="939"/>
      <c r="Y1038" s="939"/>
      <c r="Z1038" s="939"/>
      <c r="AA1038" s="939"/>
      <c r="AB1038" s="939"/>
      <c r="AC1038" s="939"/>
      <c r="AD1038" s="939"/>
      <c r="AE1038" s="939"/>
      <c r="AF1038" s="939"/>
      <c r="AG1038" s="939"/>
      <c r="AH1038" s="939"/>
      <c r="AI1038" s="939"/>
      <c r="AJ1038" s="939"/>
      <c r="AK1038" s="939"/>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row>
    <row r="1039" spans="1:97" s="21" customFormat="1" ht="12.95" customHeight="1">
      <c r="A1039" s="86"/>
      <c r="B1039" s="939"/>
      <c r="C1039" s="939"/>
      <c r="D1039" s="939"/>
      <c r="E1039" s="939"/>
      <c r="F1039" s="939"/>
      <c r="G1039" s="939"/>
      <c r="H1039" s="939"/>
      <c r="I1039" s="939"/>
      <c r="J1039" s="939"/>
      <c r="K1039" s="939"/>
      <c r="L1039" s="939"/>
      <c r="M1039" s="939"/>
      <c r="N1039" s="939"/>
      <c r="O1039" s="939"/>
      <c r="P1039" s="939"/>
      <c r="Q1039" s="939"/>
      <c r="R1039" s="939"/>
      <c r="S1039" s="939"/>
      <c r="T1039" s="939"/>
      <c r="U1039" s="939"/>
      <c r="V1039" s="939"/>
      <c r="W1039" s="939"/>
      <c r="X1039" s="939"/>
      <c r="Y1039" s="939"/>
      <c r="Z1039" s="939"/>
      <c r="AA1039" s="939"/>
      <c r="AB1039" s="939"/>
      <c r="AC1039" s="939"/>
      <c r="AD1039" s="939"/>
      <c r="AE1039" s="939"/>
      <c r="AF1039" s="939"/>
      <c r="AG1039" s="939"/>
      <c r="AH1039" s="939"/>
      <c r="AI1039" s="939"/>
      <c r="AJ1039" s="939"/>
      <c r="AK1039" s="9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row>
    <row r="1040" spans="1:97" s="21" customFormat="1" ht="12.95" customHeight="1">
      <c r="B1040" s="1332"/>
      <c r="C1040" s="1184"/>
      <c r="D1040" s="1184"/>
      <c r="E1040" s="1184"/>
      <c r="F1040" s="1184"/>
      <c r="G1040" s="1184"/>
      <c r="H1040" s="1184"/>
      <c r="I1040" s="1184"/>
      <c r="J1040" s="1184"/>
      <c r="K1040" s="1184"/>
      <c r="L1040" s="1184"/>
      <c r="M1040" s="1184"/>
      <c r="N1040" s="1184"/>
      <c r="O1040" s="1184"/>
      <c r="P1040" s="1184"/>
      <c r="Q1040" s="1184"/>
      <c r="R1040" s="1184"/>
      <c r="S1040" s="1184"/>
      <c r="T1040" s="1184"/>
      <c r="U1040" s="1184"/>
      <c r="V1040" s="1184"/>
      <c r="W1040" s="1184"/>
      <c r="X1040" s="1184"/>
      <c r="Y1040" s="1184"/>
      <c r="Z1040" s="1184"/>
      <c r="AA1040" s="1184"/>
      <c r="AB1040" s="1184"/>
      <c r="AC1040" s="1184"/>
      <c r="AD1040" s="1184"/>
      <c r="AE1040" s="1184"/>
      <c r="AF1040" s="1184"/>
      <c r="AG1040" s="1184"/>
      <c r="AH1040" s="1184"/>
      <c r="AI1040" s="1184"/>
      <c r="AJ1040" s="1184"/>
      <c r="AK1040" s="1184"/>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row>
    <row r="1041" spans="1:126" s="21" customFormat="1" ht="12.95" customHeight="1">
      <c r="A1041" s="1185" t="s">
        <v>919</v>
      </c>
      <c r="B1041" s="1184"/>
      <c r="C1041" s="1184"/>
      <c r="D1041" s="1184"/>
      <c r="E1041" s="1184"/>
      <c r="F1041" s="1184"/>
      <c r="G1041" s="1184"/>
      <c r="H1041" s="1184"/>
      <c r="I1041" s="1184"/>
      <c r="J1041" s="1184"/>
      <c r="K1041" s="1184"/>
      <c r="L1041" s="1184"/>
      <c r="M1041" s="1184"/>
      <c r="N1041" s="1184"/>
      <c r="O1041" s="1184"/>
      <c r="P1041" s="1184"/>
      <c r="Q1041" s="1184"/>
      <c r="R1041" s="1184"/>
      <c r="S1041" s="1184"/>
      <c r="T1041" s="1184"/>
      <c r="U1041" s="1184"/>
      <c r="V1041" s="1184"/>
      <c r="W1041" s="1184"/>
      <c r="X1041" s="1184"/>
      <c r="Y1041" s="1184"/>
      <c r="Z1041" s="1184"/>
      <c r="AA1041" s="1184"/>
      <c r="AB1041" s="1184"/>
      <c r="AC1041" s="1184"/>
      <c r="AD1041" s="1184"/>
      <c r="AE1041" s="1184"/>
      <c r="AF1041" s="1184"/>
      <c r="AG1041" s="1184"/>
      <c r="AH1041" s="1184"/>
      <c r="AI1041" s="1184"/>
      <c r="AJ1041" s="1184"/>
      <c r="AK1041" s="1184"/>
      <c r="AL1041" s="1184"/>
      <c r="AM1041" s="1184"/>
      <c r="AN1041" s="1184"/>
      <c r="AO1041" s="1184"/>
      <c r="AP1041" s="1184"/>
      <c r="AQ1041" s="1184"/>
      <c r="AR1041" s="1184"/>
      <c r="AS1041" s="1184"/>
      <c r="AT1041" s="11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row>
    <row r="1043" spans="1:126" s="21" customFormat="1" ht="15" customHeight="1">
      <c r="A1043" s="63" t="s">
        <v>920</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row>
    <row r="1044" spans="1:126" s="21" customFormat="1" ht="15" customHeight="1">
      <c r="A1044" s="264" t="s">
        <v>921</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row>
    <row r="1045" spans="1:126" s="21" customFormat="1" ht="15" customHeight="1">
      <c r="A1045" s="1066" t="s">
        <v>71</v>
      </c>
      <c r="B1045" s="1060"/>
      <c r="C1045" s="1">
        <v>1</v>
      </c>
      <c r="D1045" s="21" t="s">
        <v>922</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66" t="s">
        <v>155</v>
      </c>
      <c r="B1047" s="1060"/>
      <c r="C1047" s="1">
        <v>2</v>
      </c>
      <c r="D1047" s="1258" t="s">
        <v>923</v>
      </c>
      <c r="E1047" s="976"/>
      <c r="F1047" s="976"/>
      <c r="G1047" s="976"/>
      <c r="H1047" s="976"/>
      <c r="I1047" s="976"/>
      <c r="J1047" s="976"/>
      <c r="K1047" s="976"/>
      <c r="L1047" s="976"/>
      <c r="M1047" s="976"/>
      <c r="N1047" s="976"/>
      <c r="O1047" s="976"/>
      <c r="P1047" s="976"/>
      <c r="Q1047" s="976"/>
      <c r="R1047" s="976"/>
      <c r="S1047" s="976"/>
      <c r="T1047" s="976"/>
      <c r="U1047" s="976"/>
      <c r="V1047" s="976"/>
      <c r="W1047" s="976"/>
      <c r="X1047" s="976"/>
      <c r="Y1047" s="976"/>
      <c r="Z1047" s="976"/>
      <c r="AA1047" s="976"/>
      <c r="AB1047" s="976"/>
      <c r="AC1047" s="976"/>
      <c r="AD1047" s="976"/>
      <c r="AE1047" s="976"/>
      <c r="AF1047" s="976"/>
      <c r="AG1047" s="976"/>
      <c r="AH1047" s="976"/>
      <c r="AI1047" s="976"/>
      <c r="AJ1047" s="976"/>
      <c r="AK1047" s="976"/>
      <c r="AL1047" s="976"/>
      <c r="AM1047" s="976"/>
      <c r="AN1047" s="976"/>
      <c r="AO1047" s="976"/>
      <c r="AP1047" s="976"/>
      <c r="AQ1047" s="960"/>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6"/>
      <c r="E1048" s="976"/>
      <c r="F1048" s="976"/>
      <c r="G1048" s="976"/>
      <c r="H1048" s="976"/>
      <c r="I1048" s="976"/>
      <c r="J1048" s="976"/>
      <c r="K1048" s="976"/>
      <c r="L1048" s="976"/>
      <c r="M1048" s="976"/>
      <c r="N1048" s="976"/>
      <c r="O1048" s="976"/>
      <c r="P1048" s="976"/>
      <c r="Q1048" s="976"/>
      <c r="R1048" s="976"/>
      <c r="S1048" s="976"/>
      <c r="T1048" s="976"/>
      <c r="U1048" s="976"/>
      <c r="V1048" s="976"/>
      <c r="W1048" s="976"/>
      <c r="X1048" s="976"/>
      <c r="Y1048" s="976"/>
      <c r="Z1048" s="976"/>
      <c r="AA1048" s="976"/>
      <c r="AB1048" s="976"/>
      <c r="AC1048" s="976"/>
      <c r="AD1048" s="976"/>
      <c r="AE1048" s="976"/>
      <c r="AF1048" s="976"/>
      <c r="AG1048" s="976"/>
      <c r="AH1048" s="976"/>
      <c r="AI1048" s="976"/>
      <c r="AJ1048" s="976"/>
      <c r="AK1048" s="976"/>
      <c r="AL1048" s="976"/>
      <c r="AM1048" s="976"/>
      <c r="AN1048" s="976"/>
      <c r="AO1048" s="976"/>
      <c r="AP1048" s="976"/>
      <c r="AQ1048" s="960"/>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66" t="s">
        <v>155</v>
      </c>
      <c r="B1050" s="1060"/>
      <c r="C1050" s="1">
        <v>3</v>
      </c>
      <c r="D1050" s="984" t="s">
        <v>924</v>
      </c>
      <c r="E1050" s="976"/>
      <c r="F1050" s="976"/>
      <c r="G1050" s="976"/>
      <c r="H1050" s="976"/>
      <c r="I1050" s="976"/>
      <c r="J1050" s="976"/>
      <c r="K1050" s="976"/>
      <c r="L1050" s="976"/>
      <c r="M1050" s="976"/>
      <c r="N1050" s="976"/>
      <c r="O1050" s="976"/>
      <c r="P1050" s="976"/>
      <c r="Q1050" s="976"/>
      <c r="R1050" s="976"/>
      <c r="S1050" s="976"/>
      <c r="T1050" s="976"/>
      <c r="U1050" s="976"/>
      <c r="V1050" s="976"/>
      <c r="W1050" s="976"/>
      <c r="X1050" s="976"/>
      <c r="Y1050" s="976"/>
      <c r="Z1050" s="976"/>
      <c r="AA1050" s="976"/>
      <c r="AB1050" s="976"/>
      <c r="AC1050" s="976"/>
      <c r="AD1050" s="976"/>
      <c r="AE1050" s="976"/>
      <c r="AF1050" s="976"/>
      <c r="AG1050" s="976"/>
      <c r="AH1050" s="976"/>
      <c r="AI1050" s="976"/>
      <c r="AJ1050" s="976"/>
      <c r="AK1050" s="976"/>
      <c r="AL1050" s="976"/>
      <c r="AM1050" s="976"/>
      <c r="AN1050" s="976"/>
      <c r="AO1050" s="976"/>
      <c r="AP1050" s="97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6"/>
      <c r="E1051" s="976"/>
      <c r="F1051" s="976"/>
      <c r="G1051" s="976"/>
      <c r="H1051" s="976"/>
      <c r="I1051" s="976"/>
      <c r="J1051" s="976"/>
      <c r="K1051" s="976"/>
      <c r="L1051" s="976"/>
      <c r="M1051" s="976"/>
      <c r="N1051" s="976"/>
      <c r="O1051" s="976"/>
      <c r="P1051" s="976"/>
      <c r="Q1051" s="976"/>
      <c r="R1051" s="976"/>
      <c r="S1051" s="976"/>
      <c r="T1051" s="976"/>
      <c r="U1051" s="976"/>
      <c r="V1051" s="976"/>
      <c r="W1051" s="976"/>
      <c r="X1051" s="976"/>
      <c r="Y1051" s="976"/>
      <c r="Z1051" s="976"/>
      <c r="AA1051" s="976"/>
      <c r="AB1051" s="976"/>
      <c r="AC1051" s="976"/>
      <c r="AD1051" s="976"/>
      <c r="AE1051" s="976"/>
      <c r="AF1051" s="976"/>
      <c r="AG1051" s="976"/>
      <c r="AH1051" s="976"/>
      <c r="AI1051" s="976"/>
      <c r="AJ1051" s="976"/>
      <c r="AK1051" s="976"/>
      <c r="AL1051" s="976"/>
      <c r="AM1051" s="976"/>
      <c r="AN1051" s="976"/>
      <c r="AO1051" s="976"/>
      <c r="AP1051" s="97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6"/>
      <c r="E1052" s="976"/>
      <c r="F1052" s="976"/>
      <c r="G1052" s="976"/>
      <c r="H1052" s="976"/>
      <c r="I1052" s="976"/>
      <c r="J1052" s="976"/>
      <c r="K1052" s="976"/>
      <c r="L1052" s="976"/>
      <c r="M1052" s="976"/>
      <c r="N1052" s="976"/>
      <c r="O1052" s="976"/>
      <c r="P1052" s="976"/>
      <c r="Q1052" s="976"/>
      <c r="R1052" s="976"/>
      <c r="S1052" s="976"/>
      <c r="T1052" s="976"/>
      <c r="U1052" s="976"/>
      <c r="V1052" s="976"/>
      <c r="W1052" s="976"/>
      <c r="X1052" s="976"/>
      <c r="Y1052" s="976"/>
      <c r="Z1052" s="976"/>
      <c r="AA1052" s="976"/>
      <c r="AB1052" s="976"/>
      <c r="AC1052" s="976"/>
      <c r="AD1052" s="976"/>
      <c r="AE1052" s="976"/>
      <c r="AF1052" s="976"/>
      <c r="AG1052" s="976"/>
      <c r="AH1052" s="976"/>
      <c r="AI1052" s="976"/>
      <c r="AJ1052" s="976"/>
      <c r="AK1052" s="976"/>
      <c r="AL1052" s="976"/>
      <c r="AM1052" s="976"/>
      <c r="AN1052" s="976"/>
      <c r="AO1052" s="976"/>
      <c r="AP1052" s="97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6"/>
      <c r="E1053" s="976"/>
      <c r="F1053" s="976"/>
      <c r="G1053" s="976"/>
      <c r="H1053" s="976"/>
      <c r="I1053" s="976"/>
      <c r="J1053" s="976"/>
      <c r="K1053" s="976"/>
      <c r="L1053" s="976"/>
      <c r="M1053" s="976"/>
      <c r="N1053" s="976"/>
      <c r="O1053" s="976"/>
      <c r="P1053" s="976"/>
      <c r="Q1053" s="976"/>
      <c r="R1053" s="976"/>
      <c r="S1053" s="976"/>
      <c r="T1053" s="976"/>
      <c r="U1053" s="976"/>
      <c r="V1053" s="976"/>
      <c r="W1053" s="976"/>
      <c r="X1053" s="976"/>
      <c r="Y1053" s="976"/>
      <c r="Z1053" s="976"/>
      <c r="AA1053" s="976"/>
      <c r="AB1053" s="976"/>
      <c r="AC1053" s="976"/>
      <c r="AD1053" s="976"/>
      <c r="AE1053" s="976"/>
      <c r="AF1053" s="976"/>
      <c r="AG1053" s="976"/>
      <c r="AH1053" s="976"/>
      <c r="AI1053" s="976"/>
      <c r="AJ1053" s="976"/>
      <c r="AK1053" s="976"/>
      <c r="AL1053" s="976"/>
      <c r="AM1053" s="976"/>
      <c r="AN1053" s="976"/>
      <c r="AO1053" s="976"/>
      <c r="AP1053" s="976"/>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0"/>
      <c r="E1054" s="770"/>
      <c r="F1054" s="770"/>
      <c r="G1054" s="770"/>
      <c r="H1054" s="770"/>
      <c r="I1054" s="770"/>
      <c r="J1054" s="770"/>
      <c r="K1054" s="770"/>
      <c r="L1054" s="770"/>
      <c r="M1054" s="770"/>
      <c r="N1054" s="770"/>
      <c r="O1054" s="770"/>
      <c r="P1054" s="770"/>
      <c r="Q1054" s="770"/>
      <c r="R1054" s="770"/>
      <c r="S1054" s="770"/>
      <c r="T1054" s="770"/>
      <c r="U1054" s="770"/>
      <c r="V1054" s="770"/>
      <c r="W1054" s="770"/>
      <c r="X1054" s="770"/>
      <c r="Y1054" s="770"/>
      <c r="Z1054" s="770"/>
      <c r="AA1054" s="770"/>
      <c r="AB1054" s="770"/>
      <c r="AC1054" s="770"/>
      <c r="AD1054" s="770"/>
      <c r="AE1054" s="770"/>
      <c r="AF1054" s="770"/>
      <c r="AG1054" s="770"/>
      <c r="AH1054" s="770"/>
      <c r="AI1054" s="770"/>
      <c r="AJ1054" s="770"/>
      <c r="AK1054" s="770"/>
      <c r="AL1054" s="770"/>
      <c r="AM1054" s="770"/>
      <c r="AN1054" s="770"/>
      <c r="AO1054" s="770"/>
      <c r="AP1054" s="770"/>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66" t="s">
        <v>155</v>
      </c>
      <c r="B1055" s="1060"/>
      <c r="C1055" s="1">
        <v>4</v>
      </c>
      <c r="D1055" s="984" t="s">
        <v>925</v>
      </c>
      <c r="E1055" s="976"/>
      <c r="F1055" s="976"/>
      <c r="G1055" s="976"/>
      <c r="H1055" s="976"/>
      <c r="I1055" s="976"/>
      <c r="J1055" s="976"/>
      <c r="K1055" s="976"/>
      <c r="L1055" s="976"/>
      <c r="M1055" s="976"/>
      <c r="N1055" s="976"/>
      <c r="O1055" s="976"/>
      <c r="P1055" s="976"/>
      <c r="Q1055" s="976"/>
      <c r="R1055" s="976"/>
      <c r="S1055" s="976"/>
      <c r="T1055" s="976"/>
      <c r="U1055" s="976"/>
      <c r="V1055" s="976"/>
      <c r="W1055" s="976"/>
      <c r="X1055" s="976"/>
      <c r="Y1055" s="976"/>
      <c r="Z1055" s="976"/>
      <c r="AA1055" s="976"/>
      <c r="AB1055" s="976"/>
      <c r="AC1055" s="976"/>
      <c r="AD1055" s="976"/>
      <c r="AE1055" s="976"/>
      <c r="AF1055" s="976"/>
      <c r="AG1055" s="976"/>
      <c r="AH1055" s="976"/>
      <c r="AI1055" s="976"/>
      <c r="AJ1055" s="976"/>
      <c r="AK1055" s="976"/>
      <c r="AL1055" s="976"/>
      <c r="AM1055" s="976"/>
      <c r="AN1055" s="976"/>
      <c r="AO1055" s="976"/>
      <c r="AP1055" s="97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6"/>
      <c r="E1056" s="976"/>
      <c r="F1056" s="976"/>
      <c r="G1056" s="976"/>
      <c r="H1056" s="976"/>
      <c r="I1056" s="976"/>
      <c r="J1056" s="976"/>
      <c r="K1056" s="976"/>
      <c r="L1056" s="976"/>
      <c r="M1056" s="976"/>
      <c r="N1056" s="976"/>
      <c r="O1056" s="976"/>
      <c r="P1056" s="976"/>
      <c r="Q1056" s="976"/>
      <c r="R1056" s="976"/>
      <c r="S1056" s="976"/>
      <c r="T1056" s="976"/>
      <c r="U1056" s="976"/>
      <c r="V1056" s="976"/>
      <c r="W1056" s="976"/>
      <c r="X1056" s="976"/>
      <c r="Y1056" s="976"/>
      <c r="Z1056" s="976"/>
      <c r="AA1056" s="976"/>
      <c r="AB1056" s="976"/>
      <c r="AC1056" s="976"/>
      <c r="AD1056" s="976"/>
      <c r="AE1056" s="976"/>
      <c r="AF1056" s="976"/>
      <c r="AG1056" s="976"/>
      <c r="AH1056" s="976"/>
      <c r="AI1056" s="976"/>
      <c r="AJ1056" s="976"/>
      <c r="AK1056" s="976"/>
      <c r="AL1056" s="976"/>
      <c r="AM1056" s="976"/>
      <c r="AN1056" s="976"/>
      <c r="AO1056" s="976"/>
      <c r="AP1056" s="97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6"/>
      <c r="E1057" s="976"/>
      <c r="F1057" s="976"/>
      <c r="G1057" s="976"/>
      <c r="H1057" s="976"/>
      <c r="I1057" s="976"/>
      <c r="J1057" s="976"/>
      <c r="K1057" s="976"/>
      <c r="L1057" s="976"/>
      <c r="M1057" s="976"/>
      <c r="N1057" s="976"/>
      <c r="O1057" s="976"/>
      <c r="P1057" s="976"/>
      <c r="Q1057" s="976"/>
      <c r="R1057" s="976"/>
      <c r="S1057" s="976"/>
      <c r="T1057" s="976"/>
      <c r="U1057" s="976"/>
      <c r="V1057" s="976"/>
      <c r="W1057" s="976"/>
      <c r="X1057" s="976"/>
      <c r="Y1057" s="976"/>
      <c r="Z1057" s="976"/>
      <c r="AA1057" s="976"/>
      <c r="AB1057" s="976"/>
      <c r="AC1057" s="976"/>
      <c r="AD1057" s="976"/>
      <c r="AE1057" s="976"/>
      <c r="AF1057" s="976"/>
      <c r="AG1057" s="976"/>
      <c r="AH1057" s="976"/>
      <c r="AI1057" s="976"/>
      <c r="AJ1057" s="976"/>
      <c r="AK1057" s="976"/>
      <c r="AL1057" s="976"/>
      <c r="AM1057" s="976"/>
      <c r="AN1057" s="976"/>
      <c r="AO1057" s="976"/>
      <c r="AP1057" s="97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6"/>
      <c r="E1058" s="976"/>
      <c r="F1058" s="976"/>
      <c r="G1058" s="976"/>
      <c r="H1058" s="976"/>
      <c r="I1058" s="976"/>
      <c r="J1058" s="976"/>
      <c r="K1058" s="976"/>
      <c r="L1058" s="976"/>
      <c r="M1058" s="976"/>
      <c r="N1058" s="976"/>
      <c r="O1058" s="976"/>
      <c r="P1058" s="976"/>
      <c r="Q1058" s="976"/>
      <c r="R1058" s="976"/>
      <c r="S1058" s="976"/>
      <c r="T1058" s="976"/>
      <c r="U1058" s="976"/>
      <c r="V1058" s="976"/>
      <c r="W1058" s="976"/>
      <c r="X1058" s="976"/>
      <c r="Y1058" s="976"/>
      <c r="Z1058" s="976"/>
      <c r="AA1058" s="976"/>
      <c r="AB1058" s="976"/>
      <c r="AC1058" s="976"/>
      <c r="AD1058" s="976"/>
      <c r="AE1058" s="976"/>
      <c r="AF1058" s="976"/>
      <c r="AG1058" s="976"/>
      <c r="AH1058" s="976"/>
      <c r="AI1058" s="976"/>
      <c r="AJ1058" s="976"/>
      <c r="AK1058" s="976"/>
      <c r="AL1058" s="976"/>
      <c r="AM1058" s="976"/>
      <c r="AN1058" s="976"/>
      <c r="AO1058" s="976"/>
      <c r="AP1058" s="976"/>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0"/>
      <c r="E1059" s="770"/>
      <c r="F1059" s="770"/>
      <c r="G1059" s="770"/>
      <c r="H1059" s="770"/>
      <c r="I1059" s="770"/>
      <c r="J1059" s="770"/>
      <c r="K1059" s="770"/>
      <c r="L1059" s="770"/>
      <c r="M1059" s="770"/>
      <c r="N1059" s="770"/>
      <c r="O1059" s="770"/>
      <c r="P1059" s="770"/>
      <c r="Q1059" s="770"/>
      <c r="R1059" s="770"/>
      <c r="S1059" s="770"/>
      <c r="T1059" s="770"/>
      <c r="U1059" s="770"/>
      <c r="V1059" s="770"/>
      <c r="W1059" s="770"/>
      <c r="X1059" s="770"/>
      <c r="Y1059" s="770"/>
      <c r="Z1059" s="770"/>
      <c r="AA1059" s="770"/>
      <c r="AB1059" s="770"/>
      <c r="AC1059" s="770"/>
      <c r="AD1059" s="770"/>
      <c r="AE1059" s="770"/>
      <c r="AF1059" s="770"/>
      <c r="AG1059" s="770"/>
      <c r="AH1059" s="770"/>
      <c r="AI1059" s="770"/>
      <c r="AJ1059" s="770"/>
      <c r="AK1059" s="770"/>
      <c r="AL1059" s="770"/>
      <c r="AM1059" s="770"/>
      <c r="AN1059" s="770"/>
      <c r="AO1059" s="770"/>
      <c r="AP1059" s="7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66" t="s">
        <v>155</v>
      </c>
      <c r="B1060" s="1060"/>
      <c r="C1060" s="1">
        <v>5</v>
      </c>
      <c r="D1060" s="981" t="s">
        <v>926</v>
      </c>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66" t="s">
        <v>155</v>
      </c>
      <c r="B1064" s="1060"/>
      <c r="C1064" s="1">
        <v>6</v>
      </c>
      <c r="D1064" s="981" t="s">
        <v>927</v>
      </c>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6"/>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66" t="s">
        <v>155</v>
      </c>
      <c r="B1068" s="1060"/>
      <c r="C1068" s="959">
        <v>7</v>
      </c>
      <c r="D1068" s="984" t="s">
        <v>928</v>
      </c>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59"/>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59"/>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59"/>
      <c r="D1071" s="770"/>
      <c r="E1071" s="770"/>
      <c r="F1071" s="770"/>
      <c r="G1071" s="770"/>
      <c r="H1071" s="770"/>
      <c r="I1071" s="770"/>
      <c r="J1071" s="770"/>
      <c r="K1071" s="770"/>
      <c r="L1071" s="770"/>
      <c r="M1071" s="770"/>
      <c r="N1071" s="770"/>
      <c r="O1071" s="770"/>
      <c r="P1071" s="770"/>
      <c r="Q1071" s="770"/>
      <c r="R1071" s="770"/>
      <c r="S1071" s="770"/>
      <c r="T1071" s="770"/>
      <c r="U1071" s="770"/>
      <c r="V1071" s="770"/>
      <c r="W1071" s="770"/>
      <c r="X1071" s="770"/>
      <c r="Y1071" s="770"/>
      <c r="Z1071" s="770"/>
      <c r="AA1071" s="770"/>
      <c r="AB1071" s="770"/>
      <c r="AC1071" s="770"/>
      <c r="AD1071" s="770"/>
      <c r="AE1071" s="770"/>
      <c r="AF1071" s="770"/>
      <c r="AG1071" s="770"/>
      <c r="AH1071" s="770"/>
      <c r="AI1071" s="770"/>
      <c r="AJ1071" s="770"/>
      <c r="AK1071" s="770"/>
      <c r="AL1071" s="770"/>
      <c r="AM1071" s="770"/>
      <c r="AN1071" s="770"/>
      <c r="AO1071" s="770"/>
      <c r="AP1071" s="77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66" t="s">
        <v>155</v>
      </c>
      <c r="B1072" s="1060"/>
      <c r="C1072" s="959">
        <v>8</v>
      </c>
      <c r="D1072" s="1195" t="s">
        <v>929</v>
      </c>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c r="AL1072" s="976"/>
      <c r="AM1072" s="976"/>
      <c r="AN1072" s="976"/>
      <c r="AO1072" s="976"/>
      <c r="AP1072" s="976"/>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c r="AL1073" s="976"/>
      <c r="AM1073" s="976"/>
      <c r="AN1073" s="976"/>
      <c r="AO1073" s="976"/>
      <c r="AP1073" s="976"/>
    </row>
    <row r="1074" spans="1:97" ht="15" customHeight="1">
      <c r="A1074" s="1"/>
      <c r="B1074" s="1"/>
      <c r="C1074" s="959"/>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140" t="s">
        <v>155</v>
      </c>
      <c r="B1075" s="1060"/>
      <c r="C1075" s="959">
        <v>9</v>
      </c>
      <c r="D1075" s="1195" t="s">
        <v>930</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c r="AL1075" s="976"/>
      <c r="AM1075" s="976"/>
      <c r="AN1075" s="976"/>
      <c r="AO1075" s="976"/>
      <c r="AP1075" s="976"/>
    </row>
    <row r="1076" spans="1:97" ht="15" customHeight="1">
      <c r="A1076" s="44"/>
      <c r="B1076" s="32"/>
      <c r="C1076" s="959"/>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c r="AL1076" s="976"/>
      <c r="AM1076" s="976"/>
      <c r="AN1076" s="976"/>
      <c r="AO1076" s="976"/>
      <c r="AP1076" s="976"/>
    </row>
    <row r="1077" spans="1:97" ht="9.7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c r="AL1077" s="976"/>
      <c r="AM1077" s="976"/>
      <c r="AN1077" s="976"/>
      <c r="AO1077" s="976"/>
      <c r="AP1077" s="976"/>
    </row>
    <row r="1078" spans="1:97" ht="15" customHeight="1">
      <c r="A1078" s="44"/>
      <c r="B1078" s="32"/>
      <c r="C1078" s="959"/>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140" t="s">
        <v>155</v>
      </c>
      <c r="B1079" s="1060"/>
      <c r="C1079" s="959">
        <v>10</v>
      </c>
      <c r="D1079" s="984" t="s">
        <v>931</v>
      </c>
      <c r="E1079" s="976"/>
      <c r="F1079" s="976"/>
      <c r="G1079" s="976"/>
      <c r="H1079" s="976"/>
      <c r="I1079" s="976"/>
      <c r="J1079" s="976"/>
      <c r="K1079" s="976"/>
      <c r="L1079" s="976"/>
      <c r="M1079" s="976"/>
      <c r="N1079" s="976"/>
      <c r="O1079" s="976"/>
      <c r="P1079" s="976"/>
      <c r="Q1079" s="976"/>
      <c r="R1079" s="976"/>
      <c r="S1079" s="976"/>
      <c r="T1079" s="976"/>
      <c r="U1079" s="976"/>
      <c r="V1079" s="976"/>
      <c r="W1079" s="976"/>
      <c r="X1079" s="976"/>
      <c r="Y1079" s="976"/>
      <c r="Z1079" s="976"/>
      <c r="AA1079" s="976"/>
      <c r="AB1079" s="976"/>
      <c r="AC1079" s="976"/>
      <c r="AD1079" s="976"/>
      <c r="AE1079" s="976"/>
      <c r="AF1079" s="976"/>
      <c r="AG1079" s="976"/>
      <c r="AH1079" s="976"/>
      <c r="AI1079" s="976"/>
      <c r="AJ1079" s="976"/>
      <c r="AK1079" s="976"/>
      <c r="AL1079" s="976"/>
      <c r="AM1079" s="976"/>
      <c r="AN1079" s="976"/>
      <c r="AO1079" s="976"/>
      <c r="AP1079" s="97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6"/>
      <c r="E1080" s="976"/>
      <c r="F1080" s="976"/>
      <c r="G1080" s="976"/>
      <c r="H1080" s="976"/>
      <c r="I1080" s="976"/>
      <c r="J1080" s="976"/>
      <c r="K1080" s="976"/>
      <c r="L1080" s="976"/>
      <c r="M1080" s="976"/>
      <c r="N1080" s="976"/>
      <c r="O1080" s="976"/>
      <c r="P1080" s="976"/>
      <c r="Q1080" s="976"/>
      <c r="R1080" s="976"/>
      <c r="S1080" s="976"/>
      <c r="T1080" s="976"/>
      <c r="U1080" s="976"/>
      <c r="V1080" s="976"/>
      <c r="W1080" s="976"/>
      <c r="X1080" s="976"/>
      <c r="Y1080" s="976"/>
      <c r="Z1080" s="976"/>
      <c r="AA1080" s="976"/>
      <c r="AB1080" s="976"/>
      <c r="AC1080" s="976"/>
      <c r="AD1080" s="976"/>
      <c r="AE1080" s="976"/>
      <c r="AF1080" s="976"/>
      <c r="AG1080" s="976"/>
      <c r="AH1080" s="976"/>
      <c r="AI1080" s="976"/>
      <c r="AJ1080" s="976"/>
      <c r="AK1080" s="976"/>
      <c r="AL1080" s="976"/>
      <c r="AM1080" s="976"/>
      <c r="AN1080" s="976"/>
      <c r="AO1080" s="976"/>
      <c r="AP1080" s="97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6"/>
      <c r="E1081" s="976"/>
      <c r="F1081" s="976"/>
      <c r="G1081" s="976"/>
      <c r="H1081" s="976"/>
      <c r="I1081" s="976"/>
      <c r="J1081" s="976"/>
      <c r="K1081" s="976"/>
      <c r="L1081" s="976"/>
      <c r="M1081" s="976"/>
      <c r="N1081" s="976"/>
      <c r="O1081" s="976"/>
      <c r="P1081" s="976"/>
      <c r="Q1081" s="976"/>
      <c r="R1081" s="976"/>
      <c r="S1081" s="976"/>
      <c r="T1081" s="976"/>
      <c r="U1081" s="976"/>
      <c r="V1081" s="976"/>
      <c r="W1081" s="976"/>
      <c r="X1081" s="976"/>
      <c r="Y1081" s="976"/>
      <c r="Z1081" s="976"/>
      <c r="AA1081" s="976"/>
      <c r="AB1081" s="976"/>
      <c r="AC1081" s="976"/>
      <c r="AD1081" s="976"/>
      <c r="AE1081" s="976"/>
      <c r="AF1081" s="976"/>
      <c r="AG1081" s="976"/>
      <c r="AH1081" s="976"/>
      <c r="AI1081" s="976"/>
      <c r="AJ1081" s="976"/>
      <c r="AK1081" s="976"/>
      <c r="AL1081" s="976"/>
      <c r="AM1081" s="976"/>
      <c r="AN1081" s="976"/>
      <c r="AO1081" s="976"/>
      <c r="AP1081" s="976"/>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0"/>
      <c r="E1082" s="770"/>
      <c r="F1082" s="770"/>
      <c r="G1082" s="770"/>
      <c r="H1082" s="770"/>
      <c r="I1082" s="770"/>
      <c r="J1082" s="770"/>
      <c r="K1082" s="770"/>
      <c r="L1082" s="770"/>
      <c r="M1082" s="770"/>
      <c r="N1082" s="770"/>
      <c r="O1082" s="770"/>
      <c r="P1082" s="770"/>
      <c r="Q1082" s="770"/>
      <c r="R1082" s="770"/>
      <c r="S1082" s="770"/>
      <c r="T1082" s="770"/>
      <c r="U1082" s="770"/>
      <c r="V1082" s="770"/>
      <c r="W1082" s="770"/>
      <c r="X1082" s="770"/>
      <c r="Y1082" s="770"/>
      <c r="Z1082" s="770"/>
      <c r="AA1082" s="770"/>
      <c r="AB1082" s="770"/>
      <c r="AC1082" s="770"/>
      <c r="AD1082" s="770"/>
      <c r="AE1082" s="770"/>
      <c r="AF1082" s="770"/>
      <c r="AG1082" s="770"/>
      <c r="AH1082" s="770"/>
      <c r="AI1082" s="770"/>
      <c r="AJ1082" s="770"/>
      <c r="AK1082" s="770"/>
      <c r="AL1082" s="770"/>
      <c r="AM1082" s="770"/>
      <c r="AN1082" s="770"/>
      <c r="AO1082" s="770"/>
      <c r="AP1082" s="770"/>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140" t="s">
        <v>155</v>
      </c>
      <c r="B1083" s="1060"/>
      <c r="C1083" s="959">
        <v>11</v>
      </c>
      <c r="D1083" s="981" t="s">
        <v>932</v>
      </c>
      <c r="E1083" s="976"/>
      <c r="F1083" s="976"/>
      <c r="G1083" s="976"/>
      <c r="H1083" s="976"/>
      <c r="I1083" s="976"/>
      <c r="J1083" s="976"/>
      <c r="K1083" s="976"/>
      <c r="L1083" s="976"/>
      <c r="M1083" s="976"/>
      <c r="N1083" s="976"/>
      <c r="O1083" s="976"/>
      <c r="P1083" s="976"/>
      <c r="Q1083" s="976"/>
      <c r="R1083" s="976"/>
      <c r="S1083" s="976"/>
      <c r="T1083" s="976"/>
      <c r="U1083" s="976"/>
      <c r="V1083" s="976"/>
      <c r="W1083" s="976"/>
      <c r="X1083" s="976"/>
      <c r="Y1083" s="976"/>
      <c r="Z1083" s="976"/>
      <c r="AA1083" s="976"/>
      <c r="AB1083" s="976"/>
      <c r="AC1083" s="976"/>
      <c r="AD1083" s="976"/>
      <c r="AE1083" s="976"/>
      <c r="AF1083" s="976"/>
      <c r="AG1083" s="976"/>
      <c r="AH1083" s="976"/>
      <c r="AI1083" s="976"/>
      <c r="AJ1083" s="976"/>
      <c r="AK1083" s="976"/>
      <c r="AL1083" s="976"/>
      <c r="AM1083" s="976"/>
      <c r="AN1083" s="976"/>
      <c r="AO1083" s="976"/>
      <c r="AP1083" s="976"/>
      <c r="AQ1083" s="961"/>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6"/>
      <c r="E1084" s="976"/>
      <c r="F1084" s="976"/>
      <c r="G1084" s="976"/>
      <c r="H1084" s="976"/>
      <c r="I1084" s="976"/>
      <c r="J1084" s="976"/>
      <c r="K1084" s="976"/>
      <c r="L1084" s="976"/>
      <c r="M1084" s="976"/>
      <c r="N1084" s="976"/>
      <c r="O1084" s="976"/>
      <c r="P1084" s="976"/>
      <c r="Q1084" s="976"/>
      <c r="R1084" s="976"/>
      <c r="S1084" s="976"/>
      <c r="T1084" s="976"/>
      <c r="U1084" s="976"/>
      <c r="V1084" s="976"/>
      <c r="W1084" s="976"/>
      <c r="X1084" s="976"/>
      <c r="Y1084" s="976"/>
      <c r="Z1084" s="976"/>
      <c r="AA1084" s="976"/>
      <c r="AB1084" s="976"/>
      <c r="AC1084" s="976"/>
      <c r="AD1084" s="976"/>
      <c r="AE1084" s="976"/>
      <c r="AF1084" s="976"/>
      <c r="AG1084" s="976"/>
      <c r="AH1084" s="976"/>
      <c r="AI1084" s="976"/>
      <c r="AJ1084" s="976"/>
      <c r="AK1084" s="976"/>
      <c r="AL1084" s="976"/>
      <c r="AM1084" s="976"/>
      <c r="AN1084" s="976"/>
      <c r="AO1084" s="976"/>
      <c r="AP1084" s="976"/>
      <c r="AQ1084" s="961"/>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933</v>
      </c>
      <c r="E1089" s="976"/>
      <c r="F1089" s="976"/>
      <c r="G1089" s="976"/>
      <c r="H1089" s="976"/>
      <c r="I1089" s="976"/>
      <c r="J1089" s="976"/>
      <c r="K1089" s="976"/>
      <c r="L1089" s="976"/>
      <c r="M1089" s="976"/>
      <c r="N1089" s="976"/>
      <c r="O1089" s="976"/>
      <c r="P1089" s="976"/>
      <c r="Q1089" s="976"/>
      <c r="R1089" s="976"/>
      <c r="S1089" s="976"/>
      <c r="T1089" s="976"/>
      <c r="U1089" s="976"/>
      <c r="V1089" s="976"/>
      <c r="W1089" s="976"/>
      <c r="X1089" s="976"/>
      <c r="Y1089" s="976"/>
      <c r="Z1089" s="976"/>
      <c r="AA1089" s="976"/>
      <c r="AB1089" s="976"/>
      <c r="AC1089" s="976"/>
      <c r="AD1089" s="976"/>
      <c r="AE1089" s="976"/>
      <c r="AF1089" s="976"/>
      <c r="AG1089" s="976"/>
      <c r="AH1089" s="976"/>
      <c r="AI1089" s="976"/>
      <c r="AJ1089" s="976"/>
      <c r="AK1089" s="976"/>
    </row>
    <row r="1090" spans="4:37" ht="0" hidden="1" customHeight="1">
      <c r="D1090" s="976"/>
      <c r="E1090" s="976"/>
      <c r="F1090" s="976"/>
      <c r="G1090" s="976"/>
      <c r="H1090" s="976"/>
      <c r="I1090" s="976"/>
      <c r="J1090" s="976"/>
      <c r="K1090" s="976"/>
      <c r="L1090" s="976"/>
      <c r="M1090" s="976"/>
      <c r="N1090" s="976"/>
      <c r="O1090" s="976"/>
      <c r="P1090" s="976"/>
      <c r="Q1090" s="976"/>
      <c r="R1090" s="976"/>
      <c r="S1090" s="976"/>
      <c r="T1090" s="976"/>
      <c r="U1090" s="976"/>
      <c r="V1090" s="976"/>
      <c r="W1090" s="976"/>
      <c r="X1090" s="976"/>
      <c r="Y1090" s="976"/>
      <c r="Z1090" s="976"/>
      <c r="AA1090" s="976"/>
      <c r="AB1090" s="976"/>
      <c r="AC1090" s="976"/>
      <c r="AD1090" s="976"/>
      <c r="AE1090" s="976"/>
      <c r="AF1090" s="976"/>
      <c r="AG1090" s="976"/>
      <c r="AH1090" s="976"/>
      <c r="AI1090" s="976"/>
      <c r="AJ1090" s="976"/>
      <c r="AK1090" s="976"/>
    </row>
    <row r="1091" spans="4:37" ht="0" hidden="1" customHeight="1">
      <c r="D1091" s="976"/>
      <c r="E1091" s="976"/>
      <c r="F1091" s="976"/>
      <c r="G1091" s="976"/>
      <c r="H1091" s="976"/>
      <c r="I1091" s="976"/>
      <c r="J1091" s="976"/>
      <c r="K1091" s="976"/>
      <c r="L1091" s="976"/>
      <c r="M1091" s="976"/>
      <c r="N1091" s="976"/>
      <c r="O1091" s="976"/>
      <c r="P1091" s="976"/>
      <c r="Q1091" s="976"/>
      <c r="R1091" s="976"/>
      <c r="S1091" s="976"/>
      <c r="T1091" s="976"/>
      <c r="U1091" s="976"/>
      <c r="V1091" s="976"/>
      <c r="W1091" s="976"/>
      <c r="X1091" s="976"/>
      <c r="Y1091" s="976"/>
      <c r="Z1091" s="976"/>
      <c r="AA1091" s="976"/>
      <c r="AB1091" s="976"/>
      <c r="AC1091" s="976"/>
      <c r="AD1091" s="976"/>
      <c r="AE1091" s="976"/>
      <c r="AF1091" s="976"/>
      <c r="AG1091" s="976"/>
      <c r="AH1091" s="976"/>
      <c r="AI1091" s="976"/>
      <c r="AJ1091" s="976"/>
      <c r="AK1091" s="976"/>
    </row>
  </sheetData>
  <sheetProtection algorithmName="SHA-512" hashValue="5yUAeoBHyNYXgoe1o+uCCJ0cla2RuAI9u9kMA7h/RJ1s9yf/24UZZ50Ba9MvDM2UFIlvAuv0a4e1mV0zeqmFKQ==" saltValue="w6Cw2bp7ZSU4a4W2j8Enqw==" spinCount="100000" sheet="1" objects="1" scenarios="1"/>
  <mergeCells count="3556">
    <mergeCell ref="H339:R339"/>
    <mergeCell ref="BE629:BF629"/>
    <mergeCell ref="BQA88:BRT89"/>
    <mergeCell ref="T779:W779"/>
    <mergeCell ref="Z591:AE591"/>
    <mergeCell ref="UPQ88:URJ89"/>
    <mergeCell ref="TQW88:TSP89"/>
    <mergeCell ref="UBM88:UDF89"/>
    <mergeCell ref="B1040:AK1040"/>
    <mergeCell ref="PEC64:PFV64"/>
    <mergeCell ref="POS64:PQL64"/>
    <mergeCell ref="Z887:AE887"/>
    <mergeCell ref="Y724:AB724"/>
    <mergeCell ref="AH735:AL735"/>
    <mergeCell ref="U814:X814"/>
    <mergeCell ref="CM613:CQ613"/>
    <mergeCell ref="AE947:AK947"/>
    <mergeCell ref="F927:T927"/>
    <mergeCell ref="F929:T929"/>
    <mergeCell ref="I934:T934"/>
    <mergeCell ref="Z606:AK606"/>
    <mergeCell ref="EWY88:EYR89"/>
    <mergeCell ref="B718:F718"/>
    <mergeCell ref="BN610:BR610"/>
    <mergeCell ref="CM617:CQ617"/>
    <mergeCell ref="X762:AB762"/>
    <mergeCell ref="G719:J719"/>
    <mergeCell ref="B725:F725"/>
    <mergeCell ref="T711:X711"/>
    <mergeCell ref="B719:F719"/>
    <mergeCell ref="AC457:AF457"/>
    <mergeCell ref="M249:R249"/>
    <mergeCell ref="C819:L819"/>
    <mergeCell ref="M859:V859"/>
    <mergeCell ref="Z596:AK596"/>
    <mergeCell ref="AC531:AF531"/>
    <mergeCell ref="LQC59:LRV63"/>
    <mergeCell ref="EKO88:EMH89"/>
    <mergeCell ref="JXW64:JZP64"/>
    <mergeCell ref="IKY88:IMR89"/>
    <mergeCell ref="WOY88:WQR89"/>
    <mergeCell ref="B720:F720"/>
    <mergeCell ref="BN637:BR637"/>
    <mergeCell ref="T639:V639"/>
    <mergeCell ref="RMG64:RNZ64"/>
    <mergeCell ref="CM619:CQ619"/>
    <mergeCell ref="G590:R590"/>
    <mergeCell ref="X349:Z349"/>
    <mergeCell ref="DIG88:DJZ89"/>
    <mergeCell ref="DSW88:DUP89"/>
    <mergeCell ref="SZE64:TAX64"/>
    <mergeCell ref="POS88:PQL89"/>
    <mergeCell ref="BE612:BF612"/>
    <mergeCell ref="KBK64:KDD64"/>
    <mergeCell ref="DR623:DV623"/>
    <mergeCell ref="BS605:BW605"/>
    <mergeCell ref="MGA88:MHT89"/>
    <mergeCell ref="NKC64:NLV64"/>
    <mergeCell ref="AC717:AG717"/>
    <mergeCell ref="G671:R671"/>
    <mergeCell ref="K713:N713"/>
    <mergeCell ref="AF253:AK253"/>
    <mergeCell ref="S215:T215"/>
    <mergeCell ref="DH633:DL633"/>
    <mergeCell ref="NII64:NKB64"/>
    <mergeCell ref="NSY64:NUR64"/>
    <mergeCell ref="P348:Z348"/>
    <mergeCell ref="CM610:CQ610"/>
    <mergeCell ref="BQA64:BRT64"/>
    <mergeCell ref="EIU59:EKN63"/>
    <mergeCell ref="BHE64:BIX64"/>
    <mergeCell ref="CXQ59:CZJ63"/>
    <mergeCell ref="LXE88:LYX89"/>
    <mergeCell ref="MHU88:MJN89"/>
    <mergeCell ref="HTG59:HUZ63"/>
    <mergeCell ref="KUW59:KWP63"/>
    <mergeCell ref="LFM59:LHF63"/>
    <mergeCell ref="IXI59:IZB63"/>
    <mergeCell ref="FTY88:FVR89"/>
    <mergeCell ref="BFK59:BHD63"/>
    <mergeCell ref="GJW64:GLP64"/>
    <mergeCell ref="GUM64:GWF64"/>
    <mergeCell ref="AI194:AJ194"/>
    <mergeCell ref="FHO59:FJH63"/>
    <mergeCell ref="FSE59:FTX63"/>
    <mergeCell ref="ATA59:AUT63"/>
    <mergeCell ref="LOI59:LQB63"/>
    <mergeCell ref="GGI88:GIB89"/>
    <mergeCell ref="ATA64:AUT64"/>
    <mergeCell ref="HW64:JP64"/>
    <mergeCell ref="GGI59:GIB63"/>
    <mergeCell ref="HPS59:HRL63"/>
    <mergeCell ref="LBY59:LDR63"/>
    <mergeCell ref="IZC59:JAV63"/>
    <mergeCell ref="ICC59:IDV63"/>
    <mergeCell ref="IMS59:IOL63"/>
    <mergeCell ref="GCU64:GEN64"/>
    <mergeCell ref="GNK64:GPD64"/>
    <mergeCell ref="KTC64:KUV64"/>
    <mergeCell ref="FXM88:FZF89"/>
    <mergeCell ref="B733:F733"/>
    <mergeCell ref="O731:S731"/>
    <mergeCell ref="T709:X709"/>
    <mergeCell ref="T703:X703"/>
    <mergeCell ref="CM632:CQ632"/>
    <mergeCell ref="G603:R603"/>
    <mergeCell ref="B708:F708"/>
    <mergeCell ref="M567:P567"/>
    <mergeCell ref="P665:R665"/>
    <mergeCell ref="AG683:AH683"/>
    <mergeCell ref="Y722:AB722"/>
    <mergeCell ref="AH720:AL720"/>
    <mergeCell ref="CM649:CQ649"/>
    <mergeCell ref="BS630:BW630"/>
    <mergeCell ref="H332:R332"/>
    <mergeCell ref="AEW64:AGP64"/>
    <mergeCell ref="W471:Y471"/>
    <mergeCell ref="Z632:AB632"/>
    <mergeCell ref="AI317:AK317"/>
    <mergeCell ref="BS617:BW617"/>
    <mergeCell ref="AG395:AJ395"/>
    <mergeCell ref="BN625:BR625"/>
    <mergeCell ref="DC616:DG616"/>
    <mergeCell ref="AC263:AE263"/>
    <mergeCell ref="DC629:DG629"/>
    <mergeCell ref="AH541:AK541"/>
    <mergeCell ref="AD412:AE412"/>
    <mergeCell ref="BS622:BW622"/>
    <mergeCell ref="BI628:BJ628"/>
    <mergeCell ref="AEW88:AGP89"/>
    <mergeCell ref="DC628:DG628"/>
    <mergeCell ref="BS603:BW603"/>
    <mergeCell ref="SJG64:SKZ64"/>
    <mergeCell ref="CH644:CL644"/>
    <mergeCell ref="K725:N725"/>
    <mergeCell ref="H608:R608"/>
    <mergeCell ref="BE627:BF627"/>
    <mergeCell ref="Y711:AB711"/>
    <mergeCell ref="BX613:CB613"/>
    <mergeCell ref="JZQ88:KBJ89"/>
    <mergeCell ref="V383:W383"/>
    <mergeCell ref="AM731:AO731"/>
    <mergeCell ref="T196:U196"/>
    <mergeCell ref="H311:R311"/>
    <mergeCell ref="M358:N358"/>
    <mergeCell ref="T722:X722"/>
    <mergeCell ref="DIG64:DJZ64"/>
    <mergeCell ref="Z661:AK661"/>
    <mergeCell ref="T725:X725"/>
    <mergeCell ref="CM602:CQ602"/>
    <mergeCell ref="Q560:S560"/>
    <mergeCell ref="Z662:AK662"/>
    <mergeCell ref="Z588:AK588"/>
    <mergeCell ref="W567:Y567"/>
    <mergeCell ref="CM651:CQ651"/>
    <mergeCell ref="AG380:AH380"/>
    <mergeCell ref="BX614:CB614"/>
    <mergeCell ref="CS601:CW601"/>
    <mergeCell ref="BG599:BH599"/>
    <mergeCell ref="D468:V468"/>
    <mergeCell ref="AG593:AH593"/>
    <mergeCell ref="B707:F707"/>
    <mergeCell ref="G645:R645"/>
    <mergeCell ref="AH539:AK539"/>
    <mergeCell ref="I932:T932"/>
    <mergeCell ref="Z612:AK612"/>
    <mergeCell ref="H314:R314"/>
    <mergeCell ref="UYM64:VAF64"/>
    <mergeCell ref="AB903:AE903"/>
    <mergeCell ref="BE607:BF607"/>
    <mergeCell ref="CX605:DB605"/>
    <mergeCell ref="IMS64:IOL64"/>
    <mergeCell ref="CC612:CG612"/>
    <mergeCell ref="BN634:BR634"/>
    <mergeCell ref="H690:R690"/>
    <mergeCell ref="AC455:AF455"/>
    <mergeCell ref="P681:R681"/>
    <mergeCell ref="BN624:BR624"/>
    <mergeCell ref="AG381:AH381"/>
    <mergeCell ref="BX615:CB615"/>
    <mergeCell ref="M636:P636"/>
    <mergeCell ref="CM647:CQ647"/>
    <mergeCell ref="G716:J716"/>
    <mergeCell ref="DKA64:DLT64"/>
    <mergeCell ref="AC706:AG706"/>
    <mergeCell ref="P346:Z346"/>
    <mergeCell ref="OOE88:OPX89"/>
    <mergeCell ref="TGG88:THZ89"/>
    <mergeCell ref="BS647:BW647"/>
    <mergeCell ref="BMM64:BOF64"/>
    <mergeCell ref="T731:X731"/>
    <mergeCell ref="JWC88:JXV89"/>
    <mergeCell ref="K704:N704"/>
    <mergeCell ref="AM704:AO704"/>
    <mergeCell ref="CC659:CG659"/>
    <mergeCell ref="LOI88:LQB89"/>
    <mergeCell ref="VMQ59:VOJ63"/>
    <mergeCell ref="PZI88:QBB89"/>
    <mergeCell ref="KMA64:KNT64"/>
    <mergeCell ref="M259:T259"/>
    <mergeCell ref="B977:AE977"/>
    <mergeCell ref="DR634:DV634"/>
    <mergeCell ref="Y707:AB707"/>
    <mergeCell ref="ISA59:ITT63"/>
    <mergeCell ref="JCQ59:JEJ63"/>
    <mergeCell ref="NUS59:NWL63"/>
    <mergeCell ref="G715:J715"/>
    <mergeCell ref="AA925:AF925"/>
    <mergeCell ref="J761:N761"/>
    <mergeCell ref="AE945:AK945"/>
    <mergeCell ref="AC543:AF543"/>
    <mergeCell ref="CM628:CQ628"/>
    <mergeCell ref="URK59:UTD63"/>
    <mergeCell ref="VCA59:VDT63"/>
    <mergeCell ref="BS604:BW604"/>
    <mergeCell ref="M814:P814"/>
    <mergeCell ref="C559:L559"/>
    <mergeCell ref="M360:N360"/>
    <mergeCell ref="AH504:AK504"/>
    <mergeCell ref="Z590:AK590"/>
    <mergeCell ref="SJG88:SKZ89"/>
    <mergeCell ref="PLE64:PMX64"/>
    <mergeCell ref="PVU64:PXN64"/>
    <mergeCell ref="VAG64:VBZ64"/>
    <mergeCell ref="TZS64:UBL64"/>
    <mergeCell ref="EWY64:EYR64"/>
    <mergeCell ref="H322:R322"/>
    <mergeCell ref="DH620:DL620"/>
    <mergeCell ref="D1006:AE1007"/>
    <mergeCell ref="P333:R333"/>
    <mergeCell ref="AA915:AF915"/>
    <mergeCell ref="J777:N777"/>
    <mergeCell ref="CC625:CG625"/>
    <mergeCell ref="B523:H545"/>
    <mergeCell ref="U923:Z923"/>
    <mergeCell ref="G655:R655"/>
    <mergeCell ref="BI600:BJ600"/>
    <mergeCell ref="Y718:AB718"/>
    <mergeCell ref="D450:AF450"/>
    <mergeCell ref="C639:L639"/>
    <mergeCell ref="BK614:BL614"/>
    <mergeCell ref="Z795:AE795"/>
    <mergeCell ref="DC627:DG627"/>
    <mergeCell ref="T777:W777"/>
    <mergeCell ref="C560:L560"/>
    <mergeCell ref="O778:S778"/>
    <mergeCell ref="AF631:AJ631"/>
    <mergeCell ref="CH613:CL613"/>
    <mergeCell ref="BX634:CB634"/>
    <mergeCell ref="CS620:CW620"/>
    <mergeCell ref="BX633:CB633"/>
    <mergeCell ref="AJ972:AQ972"/>
    <mergeCell ref="AK630:AN630"/>
    <mergeCell ref="AC718:AG718"/>
    <mergeCell ref="L944:S944"/>
    <mergeCell ref="AH723:AL723"/>
    <mergeCell ref="AE941:AK941"/>
    <mergeCell ref="L942:S942"/>
    <mergeCell ref="O722:S722"/>
    <mergeCell ref="AG675:AH675"/>
    <mergeCell ref="VJC64:VKV64"/>
    <mergeCell ref="C635:L635"/>
    <mergeCell ref="HKK59:HMD63"/>
    <mergeCell ref="GQY64:GSR64"/>
    <mergeCell ref="APM88:ARF89"/>
    <mergeCell ref="BAC88:BBV89"/>
    <mergeCell ref="BE605:BF605"/>
    <mergeCell ref="AA335:AK335"/>
    <mergeCell ref="T730:X730"/>
    <mergeCell ref="T724:X724"/>
    <mergeCell ref="CM601:CQ601"/>
    <mergeCell ref="XEW59:XFD63"/>
    <mergeCell ref="HYO59:IAH63"/>
    <mergeCell ref="U265:W265"/>
    <mergeCell ref="BI605:BJ605"/>
    <mergeCell ref="MEG64:MFZ64"/>
    <mergeCell ref="BE620:BF620"/>
    <mergeCell ref="P673:R673"/>
    <mergeCell ref="AC524:AF524"/>
    <mergeCell ref="DIG59:DJZ63"/>
    <mergeCell ref="WQS64:WSL64"/>
    <mergeCell ref="AA319:AK319"/>
    <mergeCell ref="G604:R604"/>
    <mergeCell ref="G714:J714"/>
    <mergeCell ref="BE625:BF625"/>
    <mergeCell ref="H335:R335"/>
    <mergeCell ref="AI689:AK689"/>
    <mergeCell ref="CM645:CQ645"/>
    <mergeCell ref="WGC59:WHV63"/>
    <mergeCell ref="CM600:CQ600"/>
    <mergeCell ref="BK616:BL616"/>
    <mergeCell ref="CSI88:CUB89"/>
    <mergeCell ref="U918:Z918"/>
    <mergeCell ref="Y720:AB720"/>
    <mergeCell ref="J780:N780"/>
    <mergeCell ref="J774:N774"/>
    <mergeCell ref="VMQ88:VOJ89"/>
    <mergeCell ref="BS652:BW652"/>
    <mergeCell ref="AC542:AF542"/>
    <mergeCell ref="M239:R239"/>
    <mergeCell ref="BN606:BR606"/>
    <mergeCell ref="IXI88:IZB89"/>
    <mergeCell ref="AI568:AL568"/>
    <mergeCell ref="H337:R337"/>
    <mergeCell ref="MZM88:NBF89"/>
    <mergeCell ref="M863:V863"/>
    <mergeCell ref="AP885:AS885"/>
    <mergeCell ref="V378:W378"/>
    <mergeCell ref="E882:AB882"/>
    <mergeCell ref="B723:F723"/>
    <mergeCell ref="BX601:CB601"/>
    <mergeCell ref="AK196:AL196"/>
    <mergeCell ref="BN645:BR645"/>
    <mergeCell ref="RBQ88:RDJ89"/>
    <mergeCell ref="RMG88:RNZ89"/>
    <mergeCell ref="T269:X269"/>
    <mergeCell ref="I189:P189"/>
    <mergeCell ref="AC775:AG775"/>
    <mergeCell ref="RKM88:RMF89"/>
    <mergeCell ref="RVC88:RWV89"/>
    <mergeCell ref="Y813:AB813"/>
    <mergeCell ref="MOW88:MQP89"/>
    <mergeCell ref="LYY88:MAR89"/>
    <mergeCell ref="AC720:AG720"/>
    <mergeCell ref="A1047:B1047"/>
    <mergeCell ref="E419:G419"/>
    <mergeCell ref="AC456:AF456"/>
    <mergeCell ref="D986:AE990"/>
    <mergeCell ref="BS649:BW649"/>
    <mergeCell ref="C563:L563"/>
    <mergeCell ref="Z563:AD563"/>
    <mergeCell ref="I422:K422"/>
    <mergeCell ref="H338:R338"/>
    <mergeCell ref="DC614:DG614"/>
    <mergeCell ref="H674:R674"/>
    <mergeCell ref="Q815:T815"/>
    <mergeCell ref="C565:L565"/>
    <mergeCell ref="D978:AE978"/>
    <mergeCell ref="D1021:AE1024"/>
    <mergeCell ref="D973:Q973"/>
    <mergeCell ref="AC879:AH879"/>
    <mergeCell ref="Z604:AK604"/>
    <mergeCell ref="AE943:AK943"/>
    <mergeCell ref="Y715:AB715"/>
    <mergeCell ref="AC535:AF535"/>
    <mergeCell ref="T635:V635"/>
    <mergeCell ref="BN608:BR608"/>
    <mergeCell ref="AA935:AF935"/>
    <mergeCell ref="Z597:AK597"/>
    <mergeCell ref="G607:L607"/>
    <mergeCell ref="C816:H816"/>
    <mergeCell ref="Z559:AD559"/>
    <mergeCell ref="M956:S956"/>
    <mergeCell ref="O782:S782"/>
    <mergeCell ref="BN601:BR601"/>
    <mergeCell ref="AH521:AK521"/>
    <mergeCell ref="SXK64:SZD64"/>
    <mergeCell ref="PCI64:PEB64"/>
    <mergeCell ref="SQI59:SSB63"/>
    <mergeCell ref="VCA64:VDT64"/>
    <mergeCell ref="LOI64:LQB64"/>
    <mergeCell ref="LXE64:LYX64"/>
    <mergeCell ref="MHU64:MJN64"/>
    <mergeCell ref="JHY59:JJR63"/>
    <mergeCell ref="UTE64:UUX64"/>
    <mergeCell ref="TJU88:TLN89"/>
    <mergeCell ref="TIA59:TJT63"/>
    <mergeCell ref="VCA88:VDT89"/>
    <mergeCell ref="MLI64:MNB64"/>
    <mergeCell ref="G575:L575"/>
    <mergeCell ref="QS59:SL63"/>
    <mergeCell ref="CM603:CQ603"/>
    <mergeCell ref="AA322:AK322"/>
    <mergeCell ref="S414:T414"/>
    <mergeCell ref="Q563:S563"/>
    <mergeCell ref="BXC64:BYV64"/>
    <mergeCell ref="SFS64:SHL64"/>
    <mergeCell ref="RRO88:RTH89"/>
    <mergeCell ref="NRE88:NSX89"/>
    <mergeCell ref="KIM64:KKF64"/>
    <mergeCell ref="ALY59:ANR63"/>
    <mergeCell ref="AWO59:AYH63"/>
    <mergeCell ref="JGE59:JHX63"/>
    <mergeCell ref="CLG59:CMZ63"/>
    <mergeCell ref="CSI59:CUB63"/>
    <mergeCell ref="EI59:GB63"/>
    <mergeCell ref="OY59:QR63"/>
    <mergeCell ref="BYW59:CAP63"/>
    <mergeCell ref="XBI59:XDB63"/>
    <mergeCell ref="T637:V637"/>
    <mergeCell ref="Z681:AE681"/>
    <mergeCell ref="ALY88:ANR89"/>
    <mergeCell ref="AWO88:AYH89"/>
    <mergeCell ref="AC712:AG712"/>
    <mergeCell ref="F818:L818"/>
    <mergeCell ref="O721:S721"/>
    <mergeCell ref="J781:N781"/>
    <mergeCell ref="AM705:AO705"/>
    <mergeCell ref="R412:S412"/>
    <mergeCell ref="O715:S715"/>
    <mergeCell ref="Z561:AD561"/>
    <mergeCell ref="DC612:DG612"/>
    <mergeCell ref="J783:N783"/>
    <mergeCell ref="AG659:AH659"/>
    <mergeCell ref="HW88:JP89"/>
    <mergeCell ref="SM88:UF89"/>
    <mergeCell ref="R413:S413"/>
    <mergeCell ref="AM706:AO706"/>
    <mergeCell ref="DM602:DQ602"/>
    <mergeCell ref="UMC88:UNV89"/>
    <mergeCell ref="CJM88:CLF89"/>
    <mergeCell ref="CUC88:CVV89"/>
    <mergeCell ref="MZM59:NBF63"/>
    <mergeCell ref="K733:N733"/>
    <mergeCell ref="DM632:DQ632"/>
    <mergeCell ref="DC607:DG607"/>
    <mergeCell ref="UBM59:UDF63"/>
    <mergeCell ref="SFS88:SHL89"/>
    <mergeCell ref="SQI88:SSB89"/>
    <mergeCell ref="Q390:U390"/>
    <mergeCell ref="H17:AJ17"/>
    <mergeCell ref="G571:R571"/>
    <mergeCell ref="AC699:AG702"/>
    <mergeCell ref="N373:Q373"/>
    <mergeCell ref="S378:T378"/>
    <mergeCell ref="O734:S734"/>
    <mergeCell ref="AI599:AK599"/>
    <mergeCell ref="J770:N773"/>
    <mergeCell ref="QUO59:QWH63"/>
    <mergeCell ref="CS609:CW609"/>
    <mergeCell ref="CS603:CW603"/>
    <mergeCell ref="CH638:CL638"/>
    <mergeCell ref="Z575:AE575"/>
    <mergeCell ref="DC625:DG625"/>
    <mergeCell ref="OYU88:PAN89"/>
    <mergeCell ref="JLM64:JNF64"/>
    <mergeCell ref="W560:Y560"/>
    <mergeCell ref="AH714:AL714"/>
    <mergeCell ref="CH631:CL631"/>
    <mergeCell ref="BK630:BL630"/>
    <mergeCell ref="NUS88:NWL89"/>
    <mergeCell ref="DH602:DL602"/>
    <mergeCell ref="AE557:AH557"/>
    <mergeCell ref="EOC64:EPV64"/>
    <mergeCell ref="BI606:BJ606"/>
    <mergeCell ref="AI390:AJ390"/>
    <mergeCell ref="O756:S759"/>
    <mergeCell ref="AA650:AK650"/>
    <mergeCell ref="BE624:BF624"/>
    <mergeCell ref="ZO88:ABH89"/>
    <mergeCell ref="CX616:DB616"/>
    <mergeCell ref="Z665:AE665"/>
    <mergeCell ref="WXU64:WZN64"/>
    <mergeCell ref="SQI64:SSB64"/>
    <mergeCell ref="JJS59:JLL63"/>
    <mergeCell ref="JUI59:JWB63"/>
    <mergeCell ref="DC626:DG626"/>
    <mergeCell ref="AH716:AL716"/>
    <mergeCell ref="CH633:CL633"/>
    <mergeCell ref="BK631:BL631"/>
    <mergeCell ref="BK625:BL625"/>
    <mergeCell ref="H342:M342"/>
    <mergeCell ref="EMI88:EOB89"/>
    <mergeCell ref="RBQ64:RDJ64"/>
    <mergeCell ref="CM638:CQ638"/>
    <mergeCell ref="IFQ59:IHJ63"/>
    <mergeCell ref="AH711:AL711"/>
    <mergeCell ref="Y121:AK121"/>
    <mergeCell ref="P599:R599"/>
    <mergeCell ref="AA302:AF302"/>
    <mergeCell ref="OOE59:OPX63"/>
    <mergeCell ref="OYU59:PAN63"/>
    <mergeCell ref="DR613:DV613"/>
    <mergeCell ref="WNE64:WOX64"/>
    <mergeCell ref="STW64:SVP64"/>
    <mergeCell ref="WQS88:WSL89"/>
    <mergeCell ref="DKA88:DLT89"/>
    <mergeCell ref="CH604:CL604"/>
    <mergeCell ref="QRA59:QST63"/>
    <mergeCell ref="A81:AT83"/>
    <mergeCell ref="AC629:AE629"/>
    <mergeCell ref="WJQ59:WLJ63"/>
    <mergeCell ref="UUY59:UWR63"/>
    <mergeCell ref="IKY59:IMR63"/>
    <mergeCell ref="OXA59:OYT63"/>
    <mergeCell ref="B703:F703"/>
    <mergeCell ref="ARG64:ASZ64"/>
    <mergeCell ref="CH611:CL611"/>
    <mergeCell ref="EVE59:EWX63"/>
    <mergeCell ref="AF1010:AI1010"/>
    <mergeCell ref="AH727:AL727"/>
    <mergeCell ref="AM569:AS569"/>
    <mergeCell ref="BS616:BW616"/>
    <mergeCell ref="AC506:AF506"/>
    <mergeCell ref="MXS88:MZL89"/>
    <mergeCell ref="D974:Q974"/>
    <mergeCell ref="AF1005:AI1006"/>
    <mergeCell ref="FJI59:FLB63"/>
    <mergeCell ref="M499:P499"/>
    <mergeCell ref="BN607:BR607"/>
    <mergeCell ref="A107:AT108"/>
    <mergeCell ref="L947:S947"/>
    <mergeCell ref="G732:J732"/>
    <mergeCell ref="M815:P815"/>
    <mergeCell ref="AM717:AO717"/>
    <mergeCell ref="AA931:AF931"/>
    <mergeCell ref="DBE59:DCX63"/>
    <mergeCell ref="DLU59:DNN63"/>
    <mergeCell ref="LVK59:LXD63"/>
    <mergeCell ref="EMI64:EOB64"/>
    <mergeCell ref="Z633:AB633"/>
    <mergeCell ref="AC634:AE634"/>
    <mergeCell ref="NKC88:NLV89"/>
    <mergeCell ref="Y710:AB710"/>
    <mergeCell ref="AC726:AG726"/>
    <mergeCell ref="JJS64:JLL64"/>
    <mergeCell ref="D1068:AP1070"/>
    <mergeCell ref="GYA64:GZT64"/>
    <mergeCell ref="HIQ64:HKJ64"/>
    <mergeCell ref="CQO64:CSH64"/>
    <mergeCell ref="LMO59:LOH63"/>
    <mergeCell ref="LXE59:LYX63"/>
    <mergeCell ref="AD178:AH178"/>
    <mergeCell ref="BE600:BF600"/>
    <mergeCell ref="AJ1004:AQ1008"/>
    <mergeCell ref="BK612:BL612"/>
    <mergeCell ref="DM633:DQ633"/>
    <mergeCell ref="N609:O609"/>
    <mergeCell ref="CH622:CL622"/>
    <mergeCell ref="CH618:CL618"/>
    <mergeCell ref="AJ978:AQ984"/>
    <mergeCell ref="AG985:AH985"/>
    <mergeCell ref="W838:AC838"/>
    <mergeCell ref="GBA88:GCT89"/>
    <mergeCell ref="AC504:AF504"/>
    <mergeCell ref="KWQ59:KYJ63"/>
    <mergeCell ref="D448:AF448"/>
    <mergeCell ref="BK629:BL629"/>
    <mergeCell ref="C637:L637"/>
    <mergeCell ref="O226:P226"/>
    <mergeCell ref="BS643:BW643"/>
    <mergeCell ref="W834:AC834"/>
    <mergeCell ref="G615:L615"/>
    <mergeCell ref="AG819:AJ819"/>
    <mergeCell ref="Z689:AE689"/>
    <mergeCell ref="AJ970:AQ970"/>
    <mergeCell ref="T705:X705"/>
    <mergeCell ref="I933:T933"/>
    <mergeCell ref="H15:AJ15"/>
    <mergeCell ref="FZG59:GAZ63"/>
    <mergeCell ref="GJW59:GLP63"/>
    <mergeCell ref="T778:W778"/>
    <mergeCell ref="H592:R592"/>
    <mergeCell ref="T195:U195"/>
    <mergeCell ref="CS605:CW605"/>
    <mergeCell ref="BX612:CB612"/>
    <mergeCell ref="O732:S732"/>
    <mergeCell ref="AH508:AK508"/>
    <mergeCell ref="W203:AB203"/>
    <mergeCell ref="CH603:CL603"/>
    <mergeCell ref="H600:R600"/>
    <mergeCell ref="C742:AN743"/>
    <mergeCell ref="DH635:DL635"/>
    <mergeCell ref="G649:L649"/>
    <mergeCell ref="AM732:AO732"/>
    <mergeCell ref="T197:U197"/>
    <mergeCell ref="W198:X198"/>
    <mergeCell ref="A88:AT89"/>
    <mergeCell ref="CC640:CG640"/>
    <mergeCell ref="O33:P33"/>
    <mergeCell ref="BI624:BJ624"/>
    <mergeCell ref="K731:N731"/>
    <mergeCell ref="J386:U386"/>
    <mergeCell ref="CH627:CL627"/>
    <mergeCell ref="AH526:AK526"/>
    <mergeCell ref="M25:Q25"/>
    <mergeCell ref="T756:W759"/>
    <mergeCell ref="AM723:AO723"/>
    <mergeCell ref="X777:AB777"/>
    <mergeCell ref="A169:AT170"/>
    <mergeCell ref="RBQ59:RDJ63"/>
    <mergeCell ref="Q635:S635"/>
    <mergeCell ref="S393:U393"/>
    <mergeCell ref="Q629:S629"/>
    <mergeCell ref="AG444:AJ444"/>
    <mergeCell ref="OVG88:OWZ89"/>
    <mergeCell ref="PFW88:PHP89"/>
    <mergeCell ref="JHY64:JJR64"/>
    <mergeCell ref="VTS59:VVL63"/>
    <mergeCell ref="AC372:AF372"/>
    <mergeCell ref="UIO88:UKH89"/>
    <mergeCell ref="UTE88:UUX89"/>
    <mergeCell ref="OVG64:OWZ64"/>
    <mergeCell ref="PFW64:PHP64"/>
    <mergeCell ref="O730:S730"/>
    <mergeCell ref="AE568:AH568"/>
    <mergeCell ref="AH729:AL729"/>
    <mergeCell ref="T633:V633"/>
    <mergeCell ref="RYQ59:SAJ63"/>
    <mergeCell ref="SJG59:SKZ63"/>
    <mergeCell ref="AA330:AK330"/>
    <mergeCell ref="AA305:AK305"/>
    <mergeCell ref="SXK88:SZD89"/>
    <mergeCell ref="CM607:CQ607"/>
    <mergeCell ref="UIO59:UKH63"/>
    <mergeCell ref="UTE59:UUX63"/>
    <mergeCell ref="UKI88:UMB89"/>
    <mergeCell ref="COU59:CQN63"/>
    <mergeCell ref="CZK59:DBD63"/>
    <mergeCell ref="BI604:BJ604"/>
    <mergeCell ref="ATA88:AUT89"/>
    <mergeCell ref="BDQ88:BFJ89"/>
    <mergeCell ref="WCO64:WEH64"/>
    <mergeCell ref="M253:AE253"/>
    <mergeCell ref="K712:N712"/>
    <mergeCell ref="AO640:AS640"/>
    <mergeCell ref="Y719:AB719"/>
    <mergeCell ref="AI567:AL567"/>
    <mergeCell ref="AC539:AF539"/>
    <mergeCell ref="C824:AJ824"/>
    <mergeCell ref="DH631:DL631"/>
    <mergeCell ref="DH606:DL606"/>
    <mergeCell ref="W839:AC839"/>
    <mergeCell ref="BI622:BJ622"/>
    <mergeCell ref="AK632:AN632"/>
    <mergeCell ref="LVK88:LXD89"/>
    <mergeCell ref="DR622:DV622"/>
    <mergeCell ref="BS651:BW651"/>
    <mergeCell ref="JHY88:JJR89"/>
    <mergeCell ref="JSO88:JUH89"/>
    <mergeCell ref="H326:M326"/>
    <mergeCell ref="SMU88:SON89"/>
    <mergeCell ref="B735:F735"/>
    <mergeCell ref="BN652:BR652"/>
    <mergeCell ref="AM716:AO716"/>
    <mergeCell ref="J756:N759"/>
    <mergeCell ref="Z744:AB744"/>
    <mergeCell ref="B721:F721"/>
    <mergeCell ref="VAG88:VBZ89"/>
    <mergeCell ref="PMY64:POR64"/>
    <mergeCell ref="J178:K178"/>
    <mergeCell ref="K722:N722"/>
    <mergeCell ref="CM646:CQ646"/>
    <mergeCell ref="I419:K419"/>
    <mergeCell ref="SCE88:SDX89"/>
    <mergeCell ref="BS607:BW607"/>
    <mergeCell ref="BK634:BL634"/>
    <mergeCell ref="MOW64:MQP64"/>
    <mergeCell ref="CC623:CG623"/>
    <mergeCell ref="AC631:AE631"/>
    <mergeCell ref="CX629:DB629"/>
    <mergeCell ref="GIC88:GJV89"/>
    <mergeCell ref="BG612:BH612"/>
    <mergeCell ref="W557:Y557"/>
    <mergeCell ref="CC601:CG601"/>
    <mergeCell ref="EIU88:EKN89"/>
    <mergeCell ref="ETK88:EVD89"/>
    <mergeCell ref="D475:V475"/>
    <mergeCell ref="CX627:DB627"/>
    <mergeCell ref="OY88:QR89"/>
    <mergeCell ref="BX611:CB611"/>
    <mergeCell ref="AG448:AJ448"/>
    <mergeCell ref="BN618:BR618"/>
    <mergeCell ref="IDW64:IFP64"/>
    <mergeCell ref="IOM64:IQF64"/>
    <mergeCell ref="Q565:S565"/>
    <mergeCell ref="AH523:AK523"/>
    <mergeCell ref="JLM88:JNF89"/>
    <mergeCell ref="E421:AJ421"/>
    <mergeCell ref="DC609:DG609"/>
    <mergeCell ref="DM631:DQ631"/>
    <mergeCell ref="DR609:DV609"/>
    <mergeCell ref="CS618:CW618"/>
    <mergeCell ref="OXA88:OYT89"/>
    <mergeCell ref="IZC64:JAV64"/>
    <mergeCell ref="NRE64:NSX64"/>
    <mergeCell ref="SVQ64:SXJ64"/>
    <mergeCell ref="TGG64:THZ64"/>
    <mergeCell ref="EVE64:EWX64"/>
    <mergeCell ref="P422:R422"/>
    <mergeCell ref="JQU59:JSN63"/>
    <mergeCell ref="KBK59:KDD63"/>
    <mergeCell ref="WNE88:WOX89"/>
    <mergeCell ref="U915:Z915"/>
    <mergeCell ref="U909:Z909"/>
    <mergeCell ref="QZW64:RBP64"/>
    <mergeCell ref="AG667:AH667"/>
    <mergeCell ref="DGM88:DIF89"/>
    <mergeCell ref="CX635:DB635"/>
    <mergeCell ref="O532:AA532"/>
    <mergeCell ref="F910:T910"/>
    <mergeCell ref="AF633:AJ633"/>
    <mergeCell ref="U175:V175"/>
    <mergeCell ref="BX624:CB624"/>
    <mergeCell ref="IKY64:IMR64"/>
    <mergeCell ref="CH615:CL615"/>
    <mergeCell ref="B706:F706"/>
    <mergeCell ref="WGC88:WHV89"/>
    <mergeCell ref="AH718:AL718"/>
    <mergeCell ref="Y818:AB818"/>
    <mergeCell ref="AC776:AG776"/>
    <mergeCell ref="T723:X723"/>
    <mergeCell ref="AM708:AO708"/>
    <mergeCell ref="HME64:HNX64"/>
    <mergeCell ref="IAI64:ICB64"/>
    <mergeCell ref="H318:M318"/>
    <mergeCell ref="T763:W763"/>
    <mergeCell ref="AA666:AK666"/>
    <mergeCell ref="D1055:AP1058"/>
    <mergeCell ref="BE606:BF606"/>
    <mergeCell ref="G704:J704"/>
    <mergeCell ref="H319:R319"/>
    <mergeCell ref="V278:W278"/>
    <mergeCell ref="P689:R689"/>
    <mergeCell ref="T707:X707"/>
    <mergeCell ref="U908:Z908"/>
    <mergeCell ref="K730:N730"/>
    <mergeCell ref="F905:T905"/>
    <mergeCell ref="M952:S952"/>
    <mergeCell ref="D979:AE982"/>
    <mergeCell ref="AJ985:AQ990"/>
    <mergeCell ref="AH734:AL734"/>
    <mergeCell ref="F931:H931"/>
    <mergeCell ref="D969:Q969"/>
    <mergeCell ref="AE942:AK942"/>
    <mergeCell ref="Q561:S561"/>
    <mergeCell ref="W568:Y568"/>
    <mergeCell ref="AG446:AJ446"/>
    <mergeCell ref="AJ1016:AQ1019"/>
    <mergeCell ref="AA956:AG956"/>
    <mergeCell ref="AA926:AF926"/>
    <mergeCell ref="D985:AE985"/>
    <mergeCell ref="AH733:AL733"/>
    <mergeCell ref="AF635:AJ635"/>
    <mergeCell ref="D1016:AE1016"/>
    <mergeCell ref="F934:H934"/>
    <mergeCell ref="Z804:AE804"/>
    <mergeCell ref="R970:AA970"/>
    <mergeCell ref="AC774:AG774"/>
    <mergeCell ref="T721:X721"/>
    <mergeCell ref="A19:AL19"/>
    <mergeCell ref="G115:H115"/>
    <mergeCell ref="AC633:AE633"/>
    <mergeCell ref="Z572:AK572"/>
    <mergeCell ref="AC881:AH881"/>
    <mergeCell ref="AC878:AH878"/>
    <mergeCell ref="R972:AA972"/>
    <mergeCell ref="D1013:AE1013"/>
    <mergeCell ref="AB972:AI972"/>
    <mergeCell ref="D995:AE995"/>
    <mergeCell ref="AB974:AI974"/>
    <mergeCell ref="D1000:AE1000"/>
    <mergeCell ref="AJ1025:AQ1028"/>
    <mergeCell ref="A29:AT31"/>
    <mergeCell ref="G711:J711"/>
    <mergeCell ref="H315:R315"/>
    <mergeCell ref="AC880:AH880"/>
    <mergeCell ref="Y716:AB716"/>
    <mergeCell ref="G730:J730"/>
    <mergeCell ref="U935:Z935"/>
    <mergeCell ref="M864:V864"/>
    <mergeCell ref="G672:R672"/>
    <mergeCell ref="X775:AB775"/>
    <mergeCell ref="AC876:AH876"/>
    <mergeCell ref="B554:L556"/>
    <mergeCell ref="M813:P813"/>
    <mergeCell ref="E881:AB881"/>
    <mergeCell ref="AA341:AF341"/>
    <mergeCell ref="D469:V469"/>
    <mergeCell ref="AG455:AJ455"/>
    <mergeCell ref="AA251:AK251"/>
    <mergeCell ref="T565:V565"/>
    <mergeCell ref="SMU59:SON63"/>
    <mergeCell ref="BE633:BF633"/>
    <mergeCell ref="BE608:BF608"/>
    <mergeCell ref="CX631:DB631"/>
    <mergeCell ref="CC638:CG638"/>
    <mergeCell ref="CX625:DB625"/>
    <mergeCell ref="AC512:AF512"/>
    <mergeCell ref="M955:S955"/>
    <mergeCell ref="CM629:CQ629"/>
    <mergeCell ref="D1050:AP1053"/>
    <mergeCell ref="W634:Y634"/>
    <mergeCell ref="Z574:AK574"/>
    <mergeCell ref="K737:N737"/>
    <mergeCell ref="A91:AT100"/>
    <mergeCell ref="W637:Y637"/>
    <mergeCell ref="U933:Z933"/>
    <mergeCell ref="T776:W776"/>
    <mergeCell ref="BS634:BW634"/>
    <mergeCell ref="T708:X708"/>
    <mergeCell ref="D1014:AE1015"/>
    <mergeCell ref="B975:AA975"/>
    <mergeCell ref="M957:S957"/>
    <mergeCell ref="B717:F717"/>
    <mergeCell ref="QIE59:QJX63"/>
    <mergeCell ref="QSU59:QUN63"/>
    <mergeCell ref="AH529:AK529"/>
    <mergeCell ref="Q493:R494"/>
    <mergeCell ref="N659:O659"/>
    <mergeCell ref="AC640:AE640"/>
    <mergeCell ref="Y736:AB736"/>
    <mergeCell ref="G664:R664"/>
    <mergeCell ref="U912:Z912"/>
    <mergeCell ref="UGU64:UIN64"/>
    <mergeCell ref="URK64:UTD64"/>
    <mergeCell ref="Z587:AK587"/>
    <mergeCell ref="AC727:AG727"/>
    <mergeCell ref="BN616:BR616"/>
    <mergeCell ref="BVI64:BXB64"/>
    <mergeCell ref="FHO88:FJH89"/>
    <mergeCell ref="FSE88:FTX89"/>
    <mergeCell ref="KKG88:KLZ89"/>
    <mergeCell ref="UPQ59:URJ63"/>
    <mergeCell ref="CC652:CG652"/>
    <mergeCell ref="T706:X706"/>
    <mergeCell ref="AC735:AG735"/>
    <mergeCell ref="F926:T926"/>
    <mergeCell ref="AO626:AS628"/>
    <mergeCell ref="A284:AT285"/>
    <mergeCell ref="F919:T919"/>
    <mergeCell ref="SM59:UF63"/>
    <mergeCell ref="UPQ64:URJ64"/>
    <mergeCell ref="CXQ64:CZJ64"/>
    <mergeCell ref="AH719:AL719"/>
    <mergeCell ref="U812:X812"/>
    <mergeCell ref="RTI88:RVB89"/>
    <mergeCell ref="MGA59:MHT63"/>
    <mergeCell ref="QYC59:QZV63"/>
    <mergeCell ref="RIS59:RKL63"/>
    <mergeCell ref="D211:P211"/>
    <mergeCell ref="SMU64:SON64"/>
    <mergeCell ref="W860:AC860"/>
    <mergeCell ref="CM630:CQ630"/>
    <mergeCell ref="AA343:AK343"/>
    <mergeCell ref="KUW88:KWP89"/>
    <mergeCell ref="TSQ59:TUJ63"/>
    <mergeCell ref="DM615:DQ615"/>
    <mergeCell ref="T847:V847"/>
    <mergeCell ref="F918:T918"/>
    <mergeCell ref="DM614:DQ614"/>
    <mergeCell ref="SHM88:SJF89"/>
    <mergeCell ref="PCI59:PEB63"/>
    <mergeCell ref="AG402:AJ402"/>
    <mergeCell ref="A1075:B1075"/>
    <mergeCell ref="M562:P562"/>
    <mergeCell ref="G588:R588"/>
    <mergeCell ref="AA303:AK303"/>
    <mergeCell ref="CM611:CQ611"/>
    <mergeCell ref="G582:R582"/>
    <mergeCell ref="AC219:AM219"/>
    <mergeCell ref="AA929:AF929"/>
    <mergeCell ref="M953:S953"/>
    <mergeCell ref="D992:AE994"/>
    <mergeCell ref="AA924:AF924"/>
    <mergeCell ref="AA916:AF916"/>
    <mergeCell ref="AE567:AH567"/>
    <mergeCell ref="AH728:AL728"/>
    <mergeCell ref="W633:Y633"/>
    <mergeCell ref="RGY64:RIR64"/>
    <mergeCell ref="RRO64:RTH64"/>
    <mergeCell ref="G705:J705"/>
    <mergeCell ref="BO833:BU833"/>
    <mergeCell ref="AC522:AF522"/>
    <mergeCell ref="DZY64:EBR64"/>
    <mergeCell ref="FFU59:FHN63"/>
    <mergeCell ref="F908:T908"/>
    <mergeCell ref="AM559:AS559"/>
    <mergeCell ref="XEW88:XFD89"/>
    <mergeCell ref="G728:J728"/>
    <mergeCell ref="BE602:BF602"/>
    <mergeCell ref="T729:X729"/>
    <mergeCell ref="AA332:AK332"/>
    <mergeCell ref="AU88:CN89"/>
    <mergeCell ref="AA298:AK298"/>
    <mergeCell ref="HKK88:HMD89"/>
    <mergeCell ref="HVA88:HWT89"/>
    <mergeCell ref="BE604:BF604"/>
    <mergeCell ref="CC609:CG609"/>
    <mergeCell ref="AC508:AF508"/>
    <mergeCell ref="GPE64:GQX64"/>
    <mergeCell ref="GZU64:HBN64"/>
    <mergeCell ref="P317:R317"/>
    <mergeCell ref="LDS59:LFL63"/>
    <mergeCell ref="Z803:AE803"/>
    <mergeCell ref="AG577:AH577"/>
    <mergeCell ref="PJK64:PLD64"/>
    <mergeCell ref="OFI59:OHB63"/>
    <mergeCell ref="CC611:CG611"/>
    <mergeCell ref="AE566:AH566"/>
    <mergeCell ref="Z653:AK653"/>
    <mergeCell ref="AC386:AJ386"/>
    <mergeCell ref="WOY59:WQR63"/>
    <mergeCell ref="WZO59:XBH63"/>
    <mergeCell ref="DM634:DQ634"/>
    <mergeCell ref="T568:V568"/>
    <mergeCell ref="Q567:S567"/>
    <mergeCell ref="CC604:CG604"/>
    <mergeCell ref="AH726:AL726"/>
    <mergeCell ref="Z654:AK654"/>
    <mergeCell ref="VVM59:VXF63"/>
    <mergeCell ref="AA932:AF932"/>
    <mergeCell ref="DSW59:DUP63"/>
    <mergeCell ref="T563:V563"/>
    <mergeCell ref="H298:R298"/>
    <mergeCell ref="TZS88:UBL89"/>
    <mergeCell ref="B976:AI976"/>
    <mergeCell ref="CHS88:CJL89"/>
    <mergeCell ref="G713:J713"/>
    <mergeCell ref="BS632:BW632"/>
    <mergeCell ref="OMK64:OOD64"/>
    <mergeCell ref="TEM64:TGF64"/>
    <mergeCell ref="XBI88:XDB89"/>
    <mergeCell ref="FQK59:FSD63"/>
    <mergeCell ref="AA917:AF917"/>
    <mergeCell ref="AM557:AS557"/>
    <mergeCell ref="Z581:AK581"/>
    <mergeCell ref="H327:R327"/>
    <mergeCell ref="BS631:BW631"/>
    <mergeCell ref="FOQ64:FQJ64"/>
    <mergeCell ref="CC622:CG622"/>
    <mergeCell ref="AC521:AF521"/>
    <mergeCell ref="M635:P635"/>
    <mergeCell ref="AC819:AF819"/>
    <mergeCell ref="H299:R299"/>
    <mergeCell ref="G738:J738"/>
    <mergeCell ref="BS633:BW633"/>
    <mergeCell ref="AC523:AF523"/>
    <mergeCell ref="M637:P637"/>
    <mergeCell ref="AB278:AD278"/>
    <mergeCell ref="AA914:AF914"/>
    <mergeCell ref="D447:AF447"/>
    <mergeCell ref="D1079:AP1081"/>
    <mergeCell ref="BK627:BL627"/>
    <mergeCell ref="T957:Z957"/>
    <mergeCell ref="EHA59:EIT63"/>
    <mergeCell ref="HRM64:HTF64"/>
    <mergeCell ref="Z634:AB634"/>
    <mergeCell ref="AJ969:AQ969"/>
    <mergeCell ref="K728:N728"/>
    <mergeCell ref="CO59:EH63"/>
    <mergeCell ref="DH616:DL616"/>
    <mergeCell ref="K721:N721"/>
    <mergeCell ref="DR600:DV600"/>
    <mergeCell ref="AB971:AI971"/>
    <mergeCell ref="AUU59:AWN63"/>
    <mergeCell ref="AH708:AL708"/>
    <mergeCell ref="BQA59:BRT63"/>
    <mergeCell ref="O777:S777"/>
    <mergeCell ref="AE944:AK944"/>
    <mergeCell ref="AA907:AF907"/>
    <mergeCell ref="DBE64:DCX64"/>
    <mergeCell ref="Z677:AK677"/>
    <mergeCell ref="AA321:AK321"/>
    <mergeCell ref="X272:AC272"/>
    <mergeCell ref="BG629:BH629"/>
    <mergeCell ref="FXM64:FZF64"/>
    <mergeCell ref="GIC64:GJV64"/>
    <mergeCell ref="CX617:DB617"/>
    <mergeCell ref="AC707:AG707"/>
    <mergeCell ref="AM568:AS568"/>
    <mergeCell ref="AE940:AK940"/>
    <mergeCell ref="Y712:AB712"/>
    <mergeCell ref="ETK64:EVD64"/>
    <mergeCell ref="A1064:B1064"/>
    <mergeCell ref="BN620:BR620"/>
    <mergeCell ref="AH540:AK540"/>
    <mergeCell ref="DR611:DV611"/>
    <mergeCell ref="T710:X710"/>
    <mergeCell ref="AA297:AK297"/>
    <mergeCell ref="T631:V631"/>
    <mergeCell ref="AB973:AI973"/>
    <mergeCell ref="LMO88:LOH89"/>
    <mergeCell ref="F928:T928"/>
    <mergeCell ref="D1035:AK1037"/>
    <mergeCell ref="AA923:AF923"/>
    <mergeCell ref="U913:Z913"/>
    <mergeCell ref="AA960:AG960"/>
    <mergeCell ref="AC719:AG719"/>
    <mergeCell ref="AI583:AK583"/>
    <mergeCell ref="DM612:DQ612"/>
    <mergeCell ref="W840:AC840"/>
    <mergeCell ref="AM561:AS561"/>
    <mergeCell ref="U934:Z934"/>
    <mergeCell ref="BK613:BL613"/>
    <mergeCell ref="AUU88:AWN89"/>
    <mergeCell ref="CM626:CQ626"/>
    <mergeCell ref="G597:R597"/>
    <mergeCell ref="DM625:DQ625"/>
    <mergeCell ref="T559:V559"/>
    <mergeCell ref="BK615:BL615"/>
    <mergeCell ref="AC728:AG728"/>
    <mergeCell ref="CC650:CG650"/>
    <mergeCell ref="D449:AF449"/>
    <mergeCell ref="L115:N115"/>
    <mergeCell ref="CH630:CL630"/>
    <mergeCell ref="TPC59:TQV63"/>
    <mergeCell ref="S406:AJ406"/>
    <mergeCell ref="AF638:AJ638"/>
    <mergeCell ref="O163:T163"/>
    <mergeCell ref="AG1000:AH1000"/>
    <mergeCell ref="BN599:BR599"/>
    <mergeCell ref="Y699:AB702"/>
    <mergeCell ref="DC606:DG606"/>
    <mergeCell ref="BG605:BH605"/>
    <mergeCell ref="Z888:AE888"/>
    <mergeCell ref="D983:AE983"/>
    <mergeCell ref="IFQ88:IHJ89"/>
    <mergeCell ref="CS617:CW617"/>
    <mergeCell ref="A484:AT485"/>
    <mergeCell ref="DC608:DG608"/>
    <mergeCell ref="DM630:DQ630"/>
    <mergeCell ref="AG995:AH995"/>
    <mergeCell ref="I411:AD411"/>
    <mergeCell ref="QPG88:QQZ89"/>
    <mergeCell ref="QZW88:RBP89"/>
    <mergeCell ref="BN653:BR653"/>
    <mergeCell ref="CC600:CG600"/>
    <mergeCell ref="LBY64:LDR64"/>
    <mergeCell ref="LMO64:LOH64"/>
    <mergeCell ref="CS619:CW619"/>
    <mergeCell ref="H292:R292"/>
    <mergeCell ref="AC733:AG733"/>
    <mergeCell ref="AM722:AO722"/>
    <mergeCell ref="DH634:DL634"/>
    <mergeCell ref="M812:P812"/>
    <mergeCell ref="W859:AC859"/>
    <mergeCell ref="BK610:BL610"/>
    <mergeCell ref="W851:AC851"/>
    <mergeCell ref="DC602:DG602"/>
    <mergeCell ref="O713:S713"/>
    <mergeCell ref="AC810:AF811"/>
    <mergeCell ref="Y280:AD280"/>
    <mergeCell ref="ANS88:APL89"/>
    <mergeCell ref="AC510:AF510"/>
    <mergeCell ref="QS64:SL64"/>
    <mergeCell ref="CH649:CL649"/>
    <mergeCell ref="BS653:BW653"/>
    <mergeCell ref="CH600:CL600"/>
    <mergeCell ref="BG625:BH625"/>
    <mergeCell ref="CS628:CW628"/>
    <mergeCell ref="AH706:AL706"/>
    <mergeCell ref="NE88:OX89"/>
    <mergeCell ref="XU88:ZN89"/>
    <mergeCell ref="CH632:CL632"/>
    <mergeCell ref="BI634:BJ634"/>
    <mergeCell ref="BK609:BL609"/>
    <mergeCell ref="AF634:AJ634"/>
    <mergeCell ref="BX625:CB625"/>
    <mergeCell ref="AH516:AK516"/>
    <mergeCell ref="AE426:AF426"/>
    <mergeCell ref="G477:V477"/>
    <mergeCell ref="CH626:CL626"/>
    <mergeCell ref="AG456:AJ456"/>
    <mergeCell ref="Z599:AE599"/>
    <mergeCell ref="BG614:BH614"/>
    <mergeCell ref="G657:L657"/>
    <mergeCell ref="BS646:BW646"/>
    <mergeCell ref="N601:O601"/>
    <mergeCell ref="AC737:AG737"/>
    <mergeCell ref="WA59:XT63"/>
    <mergeCell ref="EOC59:EPV63"/>
    <mergeCell ref="AGQ59:AIJ63"/>
    <mergeCell ref="AC716:AG716"/>
    <mergeCell ref="IOM88:IQF89"/>
    <mergeCell ref="IZC88:JAV89"/>
    <mergeCell ref="P309:R309"/>
    <mergeCell ref="JSO64:JUH64"/>
    <mergeCell ref="BX630:CB630"/>
    <mergeCell ref="AC388:AJ388"/>
    <mergeCell ref="Q491:AK491"/>
    <mergeCell ref="AO632:AS632"/>
    <mergeCell ref="Q812:T812"/>
    <mergeCell ref="U810:X811"/>
    <mergeCell ref="AC812:AF812"/>
    <mergeCell ref="AC730:AG730"/>
    <mergeCell ref="Y812:AB812"/>
    <mergeCell ref="DES64:DGL64"/>
    <mergeCell ref="GSS59:GUL63"/>
    <mergeCell ref="CHS59:CJL63"/>
    <mergeCell ref="AEW59:AGP63"/>
    <mergeCell ref="APM59:ARF63"/>
    <mergeCell ref="CQO59:CSH63"/>
    <mergeCell ref="CFY59:CHR63"/>
    <mergeCell ref="DPI64:DRB64"/>
    <mergeCell ref="EBS59:EDL63"/>
    <mergeCell ref="CJM59:CLF63"/>
    <mergeCell ref="ADC59:AEV63"/>
    <mergeCell ref="ANS59:APL63"/>
    <mergeCell ref="FQK88:FSD89"/>
    <mergeCell ref="DNO88:DPH89"/>
    <mergeCell ref="A74:AT75"/>
    <mergeCell ref="IJE64:IKX64"/>
    <mergeCell ref="CH641:CL641"/>
    <mergeCell ref="AA307:AK307"/>
    <mergeCell ref="CM640:CQ640"/>
    <mergeCell ref="OIW59:OKP63"/>
    <mergeCell ref="JJS88:JLL89"/>
    <mergeCell ref="O724:S724"/>
    <mergeCell ref="CH601:CL601"/>
    <mergeCell ref="Q497:AK497"/>
    <mergeCell ref="W833:AC833"/>
    <mergeCell ref="X776:AB776"/>
    <mergeCell ref="AM724:AO724"/>
    <mergeCell ref="BG611:BH611"/>
    <mergeCell ref="H616:R616"/>
    <mergeCell ref="G665:L665"/>
    <mergeCell ref="Z558:AD558"/>
    <mergeCell ref="OTM59:OVF63"/>
    <mergeCell ref="OMK88:OOD89"/>
    <mergeCell ref="GIC59:GJV63"/>
    <mergeCell ref="ANS64:APL64"/>
    <mergeCell ref="AU59:CN63"/>
    <mergeCell ref="LK59:ND63"/>
    <mergeCell ref="BBW64:BDP64"/>
    <mergeCell ref="O158:AH158"/>
    <mergeCell ref="HW59:JP63"/>
    <mergeCell ref="BI633:BJ633"/>
    <mergeCell ref="BI608:BJ608"/>
    <mergeCell ref="DR608:DV608"/>
    <mergeCell ref="BS629:BW629"/>
    <mergeCell ref="Z567:AD567"/>
    <mergeCell ref="BX623:CB623"/>
    <mergeCell ref="CH620:CL620"/>
    <mergeCell ref="CH647:CL647"/>
    <mergeCell ref="DC634:DG634"/>
    <mergeCell ref="CS607:CW607"/>
    <mergeCell ref="O762:S762"/>
    <mergeCell ref="H666:R666"/>
    <mergeCell ref="AH538:AK538"/>
    <mergeCell ref="P426:Q426"/>
    <mergeCell ref="AE564:AH564"/>
    <mergeCell ref="MXS59:MZL63"/>
    <mergeCell ref="BX644:CB644"/>
    <mergeCell ref="LBY88:LDR89"/>
    <mergeCell ref="IQG59:IRZ63"/>
    <mergeCell ref="IVO64:IXH64"/>
    <mergeCell ref="MCM64:MEF64"/>
    <mergeCell ref="MNC64:MOV64"/>
    <mergeCell ref="LKU64:LMN64"/>
    <mergeCell ref="LVK64:LXD64"/>
    <mergeCell ref="COU64:CQN64"/>
    <mergeCell ref="DM635:DQ635"/>
    <mergeCell ref="DM604:DQ604"/>
    <mergeCell ref="DH604:DL604"/>
    <mergeCell ref="CX610:DB610"/>
    <mergeCell ref="CX600:DB600"/>
    <mergeCell ref="M258:AE258"/>
    <mergeCell ref="EDM88:EFF89"/>
    <mergeCell ref="IVO88:IXH89"/>
    <mergeCell ref="JGE88:JHX89"/>
    <mergeCell ref="BDQ64:BFJ64"/>
    <mergeCell ref="LTQ64:LVJ64"/>
    <mergeCell ref="MVY64:MXR64"/>
    <mergeCell ref="BK622:BL622"/>
    <mergeCell ref="JEK88:JGD89"/>
    <mergeCell ref="Z669:AK669"/>
    <mergeCell ref="BX631:CB631"/>
    <mergeCell ref="BG616:BH616"/>
    <mergeCell ref="G707:J707"/>
    <mergeCell ref="B704:F704"/>
    <mergeCell ref="W477:Y477"/>
    <mergeCell ref="BK605:BL605"/>
    <mergeCell ref="N365:O365"/>
    <mergeCell ref="W263:X263"/>
    <mergeCell ref="M568:P568"/>
    <mergeCell ref="CX619:DB619"/>
    <mergeCell ref="B626:L628"/>
    <mergeCell ref="Q632:S632"/>
    <mergeCell ref="G685:R685"/>
    <mergeCell ref="O157:AH157"/>
    <mergeCell ref="W857:AC857"/>
    <mergeCell ref="HTG88:HUZ89"/>
    <mergeCell ref="B641:AN641"/>
    <mergeCell ref="AH534:AK534"/>
    <mergeCell ref="S403:U403"/>
    <mergeCell ref="G678:R678"/>
    <mergeCell ref="CC641:CG641"/>
    <mergeCell ref="B507:H516"/>
    <mergeCell ref="Z678:AK678"/>
    <mergeCell ref="C564:L564"/>
    <mergeCell ref="DR626:DV626"/>
    <mergeCell ref="M560:P560"/>
    <mergeCell ref="P293:R293"/>
    <mergeCell ref="AG609:AH609"/>
    <mergeCell ref="BX659:CB659"/>
    <mergeCell ref="Z687:AK687"/>
    <mergeCell ref="AA294:AF294"/>
    <mergeCell ref="WAU64:WCN64"/>
    <mergeCell ref="URK88:UTD89"/>
    <mergeCell ref="COU88:CQN89"/>
    <mergeCell ref="CZK88:DBD89"/>
    <mergeCell ref="AI649:AK649"/>
    <mergeCell ref="UIO64:UKH64"/>
    <mergeCell ref="AF261:AK261"/>
    <mergeCell ref="H306:R306"/>
    <mergeCell ref="JQU88:JSN89"/>
    <mergeCell ref="KBK88:KDD89"/>
    <mergeCell ref="M631:P631"/>
    <mergeCell ref="AE403:AJ403"/>
    <mergeCell ref="AG585:AH585"/>
    <mergeCell ref="FZG64:GAZ64"/>
    <mergeCell ref="G591:L591"/>
    <mergeCell ref="M633:P633"/>
    <mergeCell ref="CS630:CW630"/>
    <mergeCell ref="OIW64:OKP64"/>
    <mergeCell ref="CM648:CQ648"/>
    <mergeCell ref="CC615:CG615"/>
    <mergeCell ref="TXY64:TZR64"/>
    <mergeCell ref="AO642:AS642"/>
    <mergeCell ref="CS633:CW633"/>
    <mergeCell ref="AI566:AL566"/>
    <mergeCell ref="CX608:DB608"/>
    <mergeCell ref="E217:Z217"/>
    <mergeCell ref="O227:P227"/>
    <mergeCell ref="BS644:BW644"/>
    <mergeCell ref="DC604:DG604"/>
    <mergeCell ref="GEO88:GGH89"/>
    <mergeCell ref="KTC88:KUV89"/>
    <mergeCell ref="JNG64:JOZ64"/>
    <mergeCell ref="WEI88:WGB89"/>
    <mergeCell ref="HVA59:HWT63"/>
    <mergeCell ref="CXQ88:CZJ89"/>
    <mergeCell ref="CC648:CG648"/>
    <mergeCell ref="BI621:BJ621"/>
    <mergeCell ref="FZG88:GAZ89"/>
    <mergeCell ref="GJW88:GLP89"/>
    <mergeCell ref="QEQ59:QGJ63"/>
    <mergeCell ref="N585:O585"/>
    <mergeCell ref="AA325:AF325"/>
    <mergeCell ref="ALY64:ANR64"/>
    <mergeCell ref="AWO64:AYH64"/>
    <mergeCell ref="O225:P225"/>
    <mergeCell ref="VRY59:VTR63"/>
    <mergeCell ref="RWW59:RYP63"/>
    <mergeCell ref="FMW59:FOP63"/>
    <mergeCell ref="FXM59:FZF63"/>
    <mergeCell ref="TZS59:UBL63"/>
    <mergeCell ref="TWE59:TXX63"/>
    <mergeCell ref="ARG88:ASZ89"/>
    <mergeCell ref="BX640:CB640"/>
    <mergeCell ref="M267:T267"/>
    <mergeCell ref="RFE64:RGX64"/>
    <mergeCell ref="RPU64:RRN64"/>
    <mergeCell ref="PMY88:POR89"/>
    <mergeCell ref="PXO88:PZH89"/>
    <mergeCell ref="JZQ64:KBJ64"/>
    <mergeCell ref="KKG64:KLZ64"/>
    <mergeCell ref="RTI59:RVB63"/>
    <mergeCell ref="SDY59:SFR63"/>
    <mergeCell ref="OTM88:OVF89"/>
    <mergeCell ref="DM617:DQ617"/>
    <mergeCell ref="QPG59:QQZ63"/>
    <mergeCell ref="QZW59:RBP63"/>
    <mergeCell ref="DR621:DV621"/>
    <mergeCell ref="AA922:AF922"/>
    <mergeCell ref="ERQ88:ETJ89"/>
    <mergeCell ref="O711:S711"/>
    <mergeCell ref="QRA88:QST89"/>
    <mergeCell ref="OMK59:OOD63"/>
    <mergeCell ref="L946:S946"/>
    <mergeCell ref="T561:V561"/>
    <mergeCell ref="P345:Z345"/>
    <mergeCell ref="CS635:CW635"/>
    <mergeCell ref="CZK64:DBD64"/>
    <mergeCell ref="M848:V848"/>
    <mergeCell ref="CS606:CW606"/>
    <mergeCell ref="CS631:CW631"/>
    <mergeCell ref="LJA64:LKT64"/>
    <mergeCell ref="AK640:AN640"/>
    <mergeCell ref="BI603:BJ603"/>
    <mergeCell ref="L281:AD281"/>
    <mergeCell ref="AA313:AK313"/>
    <mergeCell ref="DR603:DV603"/>
    <mergeCell ref="PEC88:PFV89"/>
    <mergeCell ref="AH736:AL736"/>
    <mergeCell ref="Z801:AE801"/>
    <mergeCell ref="JQU64:JSN64"/>
    <mergeCell ref="AG447:AJ447"/>
    <mergeCell ref="H576:R576"/>
    <mergeCell ref="DC603:DG603"/>
    <mergeCell ref="M866:V866"/>
    <mergeCell ref="O710:S710"/>
    <mergeCell ref="HTG64:HUZ64"/>
    <mergeCell ref="VTS88:VVL89"/>
    <mergeCell ref="AG1013:AH1013"/>
    <mergeCell ref="J1008:AE1008"/>
    <mergeCell ref="CH602:CL602"/>
    <mergeCell ref="Q634:S634"/>
    <mergeCell ref="M241:T241"/>
    <mergeCell ref="F906:T906"/>
    <mergeCell ref="CX628:DB628"/>
    <mergeCell ref="H300:R300"/>
    <mergeCell ref="W853:AC853"/>
    <mergeCell ref="BK611:BL611"/>
    <mergeCell ref="AO641:AS641"/>
    <mergeCell ref="ICC88:IDV89"/>
    <mergeCell ref="CM659:CQ659"/>
    <mergeCell ref="BS618:BW618"/>
    <mergeCell ref="HWU88:HYN89"/>
    <mergeCell ref="IHK88:IJD89"/>
    <mergeCell ref="CC634:CG634"/>
    <mergeCell ref="F925:T925"/>
    <mergeCell ref="AF1011:AI1012"/>
    <mergeCell ref="QYC88:QZV89"/>
    <mergeCell ref="RIS88:RKL89"/>
    <mergeCell ref="RGY88:RIR89"/>
    <mergeCell ref="Z611:AK611"/>
    <mergeCell ref="AM721:AO721"/>
    <mergeCell ref="DC624:DG624"/>
    <mergeCell ref="CS600:CW600"/>
    <mergeCell ref="Y728:AB728"/>
    <mergeCell ref="AM567:AS567"/>
    <mergeCell ref="AC875:AH875"/>
    <mergeCell ref="H650:R650"/>
    <mergeCell ref="BS650:BW650"/>
    <mergeCell ref="Y725:AB725"/>
    <mergeCell ref="F428:AH429"/>
    <mergeCell ref="H341:M341"/>
    <mergeCell ref="FVS64:FXL64"/>
    <mergeCell ref="O779:S779"/>
    <mergeCell ref="T567:V567"/>
    <mergeCell ref="X761:AB761"/>
    <mergeCell ref="FFU88:FHN89"/>
    <mergeCell ref="D451:AF451"/>
    <mergeCell ref="X774:AB774"/>
    <mergeCell ref="Y810:AB811"/>
    <mergeCell ref="K705:N705"/>
    <mergeCell ref="EI64:GB64"/>
    <mergeCell ref="OY64:QR64"/>
    <mergeCell ref="G680:R680"/>
    <mergeCell ref="Q430:R430"/>
    <mergeCell ref="CH616:CL616"/>
    <mergeCell ref="J784:N784"/>
    <mergeCell ref="AC714:AG714"/>
    <mergeCell ref="AC708:AG708"/>
    <mergeCell ref="G662:R662"/>
    <mergeCell ref="DR635:DV635"/>
    <mergeCell ref="DH612:DL612"/>
    <mergeCell ref="Y717:AB717"/>
    <mergeCell ref="CFY88:CHR89"/>
    <mergeCell ref="CQO88:CSH89"/>
    <mergeCell ref="G687:R687"/>
    <mergeCell ref="B642:AN642"/>
    <mergeCell ref="CX621:DB621"/>
    <mergeCell ref="Y703:AB703"/>
    <mergeCell ref="AA318:AF318"/>
    <mergeCell ref="B715:F715"/>
    <mergeCell ref="SAK64:SCD64"/>
    <mergeCell ref="SLA64:SMT64"/>
    <mergeCell ref="F933:H933"/>
    <mergeCell ref="Z794:AE794"/>
    <mergeCell ref="Z639:AB639"/>
    <mergeCell ref="EMI59:EOB63"/>
    <mergeCell ref="EWY59:EYR63"/>
    <mergeCell ref="AG449:AJ449"/>
    <mergeCell ref="AA958:AG958"/>
    <mergeCell ref="AG816:AJ816"/>
    <mergeCell ref="P349:U349"/>
    <mergeCell ref="DR610:DV610"/>
    <mergeCell ref="CC602:CG602"/>
    <mergeCell ref="O709:S709"/>
    <mergeCell ref="W640:Y640"/>
    <mergeCell ref="AK638:AN638"/>
    <mergeCell ref="DH621:DL621"/>
    <mergeCell ref="K726:N726"/>
    <mergeCell ref="LTQ88:LVJ89"/>
    <mergeCell ref="MEG88:MFZ89"/>
    <mergeCell ref="T726:X726"/>
    <mergeCell ref="T720:X720"/>
    <mergeCell ref="BOG59:BPZ63"/>
    <mergeCell ref="H316:R316"/>
    <mergeCell ref="EKO64:EMH64"/>
    <mergeCell ref="M250:AE250"/>
    <mergeCell ref="AC626:AE628"/>
    <mergeCell ref="GQY59:GSR63"/>
    <mergeCell ref="LQC64:LRV64"/>
    <mergeCell ref="KMA59:KNT63"/>
    <mergeCell ref="F907:T907"/>
    <mergeCell ref="M178:N178"/>
    <mergeCell ref="TGG59:THZ63"/>
    <mergeCell ref="TQW59:TSP63"/>
    <mergeCell ref="UGU59:UIN63"/>
    <mergeCell ref="W849:AC849"/>
    <mergeCell ref="W468:Y468"/>
    <mergeCell ref="BI632:BJ632"/>
    <mergeCell ref="CH619:CL619"/>
    <mergeCell ref="BI631:BJ631"/>
    <mergeCell ref="H293:M293"/>
    <mergeCell ref="SLA88:SMT89"/>
    <mergeCell ref="O727:S727"/>
    <mergeCell ref="H297:R297"/>
    <mergeCell ref="AC371:AF371"/>
    <mergeCell ref="G688:R688"/>
    <mergeCell ref="T775:W775"/>
    <mergeCell ref="H291:R291"/>
    <mergeCell ref="UG59:VZ63"/>
    <mergeCell ref="BX609:CB609"/>
    <mergeCell ref="IMS88:IOL89"/>
    <mergeCell ref="C817:H817"/>
    <mergeCell ref="AH499:AK499"/>
    <mergeCell ref="T194:U194"/>
    <mergeCell ref="K729:N729"/>
    <mergeCell ref="AC715:AG715"/>
    <mergeCell ref="CC632:CG632"/>
    <mergeCell ref="G669:R669"/>
    <mergeCell ref="CH628:CL628"/>
    <mergeCell ref="ORS64:OTL64"/>
    <mergeCell ref="DM610:DQ610"/>
    <mergeCell ref="CS604:CW604"/>
    <mergeCell ref="ISA64:ITT64"/>
    <mergeCell ref="CM639:CQ639"/>
    <mergeCell ref="VZA59:WAT63"/>
    <mergeCell ref="BX622:CB622"/>
    <mergeCell ref="BG613:BH613"/>
    <mergeCell ref="AH518:AK518"/>
    <mergeCell ref="GGI64:GIB64"/>
    <mergeCell ref="AI615:AK615"/>
    <mergeCell ref="W247:X247"/>
    <mergeCell ref="B716:F716"/>
    <mergeCell ref="UNW88:UPP89"/>
    <mergeCell ref="C568:L568"/>
    <mergeCell ref="BN633:BR633"/>
    <mergeCell ref="OPY64:ORR64"/>
    <mergeCell ref="PAO64:PCH64"/>
    <mergeCell ref="BG615:BH615"/>
    <mergeCell ref="T190:AE190"/>
    <mergeCell ref="BMM59:BOF63"/>
    <mergeCell ref="BXC59:BYV63"/>
    <mergeCell ref="D208:M208"/>
    <mergeCell ref="SCE64:SDX64"/>
    <mergeCell ref="M236:AE236"/>
    <mergeCell ref="P615:R615"/>
    <mergeCell ref="JXW88:JZP89"/>
    <mergeCell ref="CX614:DB614"/>
    <mergeCell ref="CM643:CQ643"/>
    <mergeCell ref="M563:P563"/>
    <mergeCell ref="G614:R614"/>
    <mergeCell ref="EI88:GB89"/>
    <mergeCell ref="NPK88:NRD89"/>
    <mergeCell ref="OKQ64:OMJ64"/>
    <mergeCell ref="M565:P565"/>
    <mergeCell ref="D444:AF444"/>
    <mergeCell ref="DM623:DQ623"/>
    <mergeCell ref="W848:AC848"/>
    <mergeCell ref="AM699:AO702"/>
    <mergeCell ref="CS614:CW614"/>
    <mergeCell ref="AB969:AI969"/>
    <mergeCell ref="BS648:BW648"/>
    <mergeCell ref="WQS59:WSL63"/>
    <mergeCell ref="DR617:DV617"/>
    <mergeCell ref="CH639:CL639"/>
    <mergeCell ref="AH513:AK513"/>
    <mergeCell ref="AA292:AK292"/>
    <mergeCell ref="AI673:AK673"/>
    <mergeCell ref="AH732:AL732"/>
    <mergeCell ref="AI333:AK333"/>
    <mergeCell ref="SAK59:SCD63"/>
    <mergeCell ref="BX650:CB650"/>
    <mergeCell ref="AA600:AK600"/>
    <mergeCell ref="DR619:DV619"/>
    <mergeCell ref="Z433:AA433"/>
    <mergeCell ref="WLK88:WND89"/>
    <mergeCell ref="AA592:AK592"/>
    <mergeCell ref="QYC64:QZV64"/>
    <mergeCell ref="RIS64:RKL64"/>
    <mergeCell ref="BN651:BR651"/>
    <mergeCell ref="BOG88:BPZ89"/>
    <mergeCell ref="QLS59:QNL63"/>
    <mergeCell ref="GQY88:GSR89"/>
    <mergeCell ref="QWI59:QYB63"/>
    <mergeCell ref="MEG59:MFZ63"/>
    <mergeCell ref="CM599:CQ599"/>
    <mergeCell ref="PZI59:QBB63"/>
    <mergeCell ref="UFA64:UGT64"/>
    <mergeCell ref="ODO88:OFH89"/>
    <mergeCell ref="R974:AA974"/>
    <mergeCell ref="AC541:AF541"/>
    <mergeCell ref="J836:V836"/>
    <mergeCell ref="BN605:BR605"/>
    <mergeCell ref="AC783:AG783"/>
    <mergeCell ref="I190:N190"/>
    <mergeCell ref="CC619:CG619"/>
    <mergeCell ref="ADC64:AEV64"/>
    <mergeCell ref="D972:Q972"/>
    <mergeCell ref="AC533:AF533"/>
    <mergeCell ref="C566:L566"/>
    <mergeCell ref="D970:Q970"/>
    <mergeCell ref="U924:Z924"/>
    <mergeCell ref="W836:AC836"/>
    <mergeCell ref="L945:S945"/>
    <mergeCell ref="F921:T921"/>
    <mergeCell ref="K404:AJ404"/>
    <mergeCell ref="AH511:AK511"/>
    <mergeCell ref="AC816:AF816"/>
    <mergeCell ref="CH610:CL610"/>
    <mergeCell ref="Z595:AK595"/>
    <mergeCell ref="BX621:CB621"/>
    <mergeCell ref="F932:H932"/>
    <mergeCell ref="M954:S954"/>
    <mergeCell ref="AM737:AO737"/>
    <mergeCell ref="BA827:BB827"/>
    <mergeCell ref="BG602:BH602"/>
    <mergeCell ref="BE631:BF631"/>
    <mergeCell ref="AC784:AG784"/>
    <mergeCell ref="AC518:AF518"/>
    <mergeCell ref="Y737:AB737"/>
    <mergeCell ref="F902:T903"/>
    <mergeCell ref="Y714:AB714"/>
    <mergeCell ref="Z636:AB636"/>
    <mergeCell ref="LDS88:LFL89"/>
    <mergeCell ref="JGE64:JHX64"/>
    <mergeCell ref="BN603:BR603"/>
    <mergeCell ref="BE634:BF634"/>
    <mergeCell ref="HBO88:HDH89"/>
    <mergeCell ref="DR601:DV601"/>
    <mergeCell ref="BN646:BR646"/>
    <mergeCell ref="CH617:CL617"/>
    <mergeCell ref="M240:AE240"/>
    <mergeCell ref="BG634:BH634"/>
    <mergeCell ref="BG627:BH627"/>
    <mergeCell ref="BS599:BW599"/>
    <mergeCell ref="CC621:CG621"/>
    <mergeCell ref="CM618:CQ618"/>
    <mergeCell ref="BX651:CB651"/>
    <mergeCell ref="AC703:AG703"/>
    <mergeCell ref="BG628:BH628"/>
    <mergeCell ref="A110:AT111"/>
    <mergeCell ref="Q568:S568"/>
    <mergeCell ref="W630:Y630"/>
    <mergeCell ref="UG88:VZ89"/>
    <mergeCell ref="BI601:BJ601"/>
    <mergeCell ref="AA193:AC193"/>
    <mergeCell ref="CM622:CQ622"/>
    <mergeCell ref="H302:M302"/>
    <mergeCell ref="Z557:AD557"/>
    <mergeCell ref="AC509:AF509"/>
    <mergeCell ref="A77:AT79"/>
    <mergeCell ref="AH532:AK532"/>
    <mergeCell ref="BI602:BJ602"/>
    <mergeCell ref="D1089:AK1091"/>
    <mergeCell ref="O764:S764"/>
    <mergeCell ref="F909:T909"/>
    <mergeCell ref="C567:L567"/>
    <mergeCell ref="C561:L561"/>
    <mergeCell ref="DM601:DQ601"/>
    <mergeCell ref="Y735:AB735"/>
    <mergeCell ref="NSY59:NUR63"/>
    <mergeCell ref="ODO59:OFH63"/>
    <mergeCell ref="AF419:AH419"/>
    <mergeCell ref="B705:F705"/>
    <mergeCell ref="O162:T162"/>
    <mergeCell ref="BS659:BW659"/>
    <mergeCell ref="D167:Y167"/>
    <mergeCell ref="B724:F724"/>
    <mergeCell ref="A896:AT897"/>
    <mergeCell ref="CC630:CG630"/>
    <mergeCell ref="AC529:AF529"/>
    <mergeCell ref="CM627:CQ627"/>
    <mergeCell ref="ABI59:ADB63"/>
    <mergeCell ref="CNA59:COT63"/>
    <mergeCell ref="ZO59:ABH63"/>
    <mergeCell ref="AKE59:ALX63"/>
    <mergeCell ref="G589:R589"/>
    <mergeCell ref="Z640:AB640"/>
    <mergeCell ref="BX641:CB641"/>
    <mergeCell ref="CH659:CL659"/>
    <mergeCell ref="X763:AB763"/>
    <mergeCell ref="AA331:AK331"/>
    <mergeCell ref="OAA88:OBT89"/>
    <mergeCell ref="CM637:CQ637"/>
    <mergeCell ref="C631:L631"/>
    <mergeCell ref="D998:AE999"/>
    <mergeCell ref="T737:X737"/>
    <mergeCell ref="U819:X819"/>
    <mergeCell ref="I931:T931"/>
    <mergeCell ref="VKW59:VMP63"/>
    <mergeCell ref="AM558:AS558"/>
    <mergeCell ref="U931:Z931"/>
    <mergeCell ref="W475:Y475"/>
    <mergeCell ref="AM703:AO703"/>
    <mergeCell ref="J779:N779"/>
    <mergeCell ref="AJ358:AK358"/>
    <mergeCell ref="KPO64:KRH64"/>
    <mergeCell ref="M634:P634"/>
    <mergeCell ref="AK626:AN628"/>
    <mergeCell ref="J389:U389"/>
    <mergeCell ref="TPC88:TQV89"/>
    <mergeCell ref="BTO59:BVH63"/>
    <mergeCell ref="CEE59:CFX63"/>
    <mergeCell ref="Y726:AB726"/>
    <mergeCell ref="HNY64:HPR64"/>
    <mergeCell ref="HYO64:IAH64"/>
    <mergeCell ref="AM728:AO728"/>
    <mergeCell ref="I184:AE184"/>
    <mergeCell ref="QGK59:QID63"/>
    <mergeCell ref="PVU59:PXN63"/>
    <mergeCell ref="CX612:DB612"/>
    <mergeCell ref="CM624:CQ624"/>
    <mergeCell ref="MVY88:MXR89"/>
    <mergeCell ref="MVY59:MXR63"/>
    <mergeCell ref="ITU64:IVN64"/>
    <mergeCell ref="N691:O691"/>
    <mergeCell ref="AA315:AK315"/>
    <mergeCell ref="A12:AT13"/>
    <mergeCell ref="BN644:BR644"/>
    <mergeCell ref="DH619:DL619"/>
    <mergeCell ref="TCS64:TEL64"/>
    <mergeCell ref="BAC64:BBV64"/>
    <mergeCell ref="WZO88:XBH89"/>
    <mergeCell ref="FEA59:FFT63"/>
    <mergeCell ref="FOQ59:FQJ63"/>
    <mergeCell ref="BK604:BL604"/>
    <mergeCell ref="AA311:AK311"/>
    <mergeCell ref="Z607:AE607"/>
    <mergeCell ref="G598:R598"/>
    <mergeCell ref="T735:X735"/>
    <mergeCell ref="U257:W257"/>
    <mergeCell ref="LK64:ND64"/>
    <mergeCell ref="WA64:XT64"/>
    <mergeCell ref="VKW88:VMP89"/>
    <mergeCell ref="DZY59:EBR63"/>
    <mergeCell ref="AI562:AL562"/>
    <mergeCell ref="CC617:CG617"/>
    <mergeCell ref="HBO59:HDH63"/>
    <mergeCell ref="IQG64:IRZ64"/>
    <mergeCell ref="HME59:HNX63"/>
    <mergeCell ref="CM614:CQ614"/>
    <mergeCell ref="CX604:DB604"/>
    <mergeCell ref="DH601:DL601"/>
    <mergeCell ref="CM608:CQ608"/>
    <mergeCell ref="P325:R325"/>
    <mergeCell ref="AC505:AF505"/>
    <mergeCell ref="P351:Z351"/>
    <mergeCell ref="ZO64:ABH64"/>
    <mergeCell ref="VAG59:VBZ63"/>
    <mergeCell ref="TNI59:TPB63"/>
    <mergeCell ref="WXU59:WZN63"/>
    <mergeCell ref="DM628:DQ628"/>
    <mergeCell ref="AIK88:AKD89"/>
    <mergeCell ref="BN613:BR613"/>
    <mergeCell ref="W476:Y476"/>
    <mergeCell ref="AC734:AG734"/>
    <mergeCell ref="DM600:DQ600"/>
    <mergeCell ref="OAA59:OBT63"/>
    <mergeCell ref="M629:P629"/>
    <mergeCell ref="SAK88:SCD89"/>
    <mergeCell ref="BN615:BR615"/>
    <mergeCell ref="AC736:AG736"/>
    <mergeCell ref="Q633:S633"/>
    <mergeCell ref="DC631:DG631"/>
    <mergeCell ref="AH721:AL721"/>
    <mergeCell ref="DM622:DQ622"/>
    <mergeCell ref="O161:R161"/>
    <mergeCell ref="NNQ88:NPJ89"/>
    <mergeCell ref="WNE59:WOX63"/>
    <mergeCell ref="M247:T247"/>
    <mergeCell ref="BX648:CB648"/>
    <mergeCell ref="H329:R329"/>
    <mergeCell ref="BG622:BH622"/>
    <mergeCell ref="M264:AE264"/>
    <mergeCell ref="MOW59:MQP63"/>
    <mergeCell ref="AH537:AK537"/>
    <mergeCell ref="H331:R331"/>
    <mergeCell ref="QIE88:QJX89"/>
    <mergeCell ref="AC632:AE632"/>
    <mergeCell ref="G721:J721"/>
    <mergeCell ref="BS615:BW615"/>
    <mergeCell ref="TXY59:TZR63"/>
    <mergeCell ref="D476:V476"/>
    <mergeCell ref="AA682:AK682"/>
    <mergeCell ref="AKE88:ALX89"/>
    <mergeCell ref="CCK64:CED64"/>
    <mergeCell ref="KYK59:LAD63"/>
    <mergeCell ref="BDQ59:BFJ63"/>
    <mergeCell ref="FVS59:FXL63"/>
    <mergeCell ref="SDY64:SFR64"/>
    <mergeCell ref="Q498:AK498"/>
    <mergeCell ref="AG396:AJ396"/>
    <mergeCell ref="RRO59:RTH63"/>
    <mergeCell ref="BE603:BF603"/>
    <mergeCell ref="BS611:BW611"/>
    <mergeCell ref="XU59:ZN63"/>
    <mergeCell ref="AE563:AH563"/>
    <mergeCell ref="C633:L633"/>
    <mergeCell ref="KIM59:KKF63"/>
    <mergeCell ref="KTC59:KUV63"/>
    <mergeCell ref="RVC59:RWV63"/>
    <mergeCell ref="FLC59:FMV63"/>
    <mergeCell ref="AF626:AJ628"/>
    <mergeCell ref="DC623:DG623"/>
    <mergeCell ref="BK626:BL626"/>
    <mergeCell ref="AKE64:ALX64"/>
    <mergeCell ref="ICC64:IDV64"/>
    <mergeCell ref="FMW88:FOP89"/>
    <mergeCell ref="BK623:BL623"/>
    <mergeCell ref="D214:J214"/>
    <mergeCell ref="T634:V634"/>
    <mergeCell ref="IAI88:ICB89"/>
    <mergeCell ref="NBG88:NCZ89"/>
    <mergeCell ref="VRY88:VTR89"/>
    <mergeCell ref="DWK59:DYD63"/>
    <mergeCell ref="M561:P561"/>
    <mergeCell ref="AC780:AG780"/>
    <mergeCell ref="BK621:BL621"/>
    <mergeCell ref="UMC64:UNV64"/>
    <mergeCell ref="UWS64:UYL64"/>
    <mergeCell ref="QEQ64:QGJ64"/>
    <mergeCell ref="Y118:AK118"/>
    <mergeCell ref="GYA59:GZT63"/>
    <mergeCell ref="HIQ59:HKJ63"/>
    <mergeCell ref="G580:R580"/>
    <mergeCell ref="AH707:AL707"/>
    <mergeCell ref="AA295:AK295"/>
    <mergeCell ref="PXO59:PZH63"/>
    <mergeCell ref="DC615:DG615"/>
    <mergeCell ref="AH527:AK527"/>
    <mergeCell ref="BK618:BL618"/>
    <mergeCell ref="O780:S780"/>
    <mergeCell ref="PLE88:PMX89"/>
    <mergeCell ref="PVU88:PXN89"/>
    <mergeCell ref="CH648:CL648"/>
    <mergeCell ref="AC710:AG710"/>
    <mergeCell ref="HWU64:HYN64"/>
    <mergeCell ref="IHK64:IJD64"/>
    <mergeCell ref="QWI88:QYB89"/>
    <mergeCell ref="W566:Y566"/>
    <mergeCell ref="BX638:CB638"/>
    <mergeCell ref="AC713:AG713"/>
    <mergeCell ref="AC770:AG773"/>
    <mergeCell ref="VHI64:VJB64"/>
    <mergeCell ref="Z568:AD568"/>
    <mergeCell ref="TNI64:TPB64"/>
    <mergeCell ref="T632:V632"/>
    <mergeCell ref="FVS88:FXL89"/>
    <mergeCell ref="TUK88:TWD89"/>
    <mergeCell ref="CJM64:CLF64"/>
    <mergeCell ref="CUC64:CVV64"/>
    <mergeCell ref="NE64:OX64"/>
    <mergeCell ref="SVQ88:SXJ89"/>
    <mergeCell ref="DCY64:DER64"/>
    <mergeCell ref="AC536:AF536"/>
    <mergeCell ref="CVW64:CXP64"/>
    <mergeCell ref="DGM64:DIF64"/>
    <mergeCell ref="BI630:BJ630"/>
    <mergeCell ref="G654:R654"/>
    <mergeCell ref="CS612:CW612"/>
    <mergeCell ref="BX619:CB619"/>
    <mergeCell ref="NLW88:NNP89"/>
    <mergeCell ref="AO630:AS630"/>
    <mergeCell ref="QPG64:QQZ64"/>
    <mergeCell ref="Q489:AK489"/>
    <mergeCell ref="EFG64:EGZ64"/>
    <mergeCell ref="CS615:CW615"/>
    <mergeCell ref="QGK88:QID89"/>
    <mergeCell ref="HIQ88:HKJ89"/>
    <mergeCell ref="OKQ88:OMJ89"/>
    <mergeCell ref="IXI64:IZB64"/>
    <mergeCell ref="NPK64:NRD64"/>
    <mergeCell ref="CM609:CQ609"/>
    <mergeCell ref="GC64:HV64"/>
    <mergeCell ref="AE565:AH565"/>
    <mergeCell ref="AG451:AJ451"/>
    <mergeCell ref="BK602:BL602"/>
    <mergeCell ref="AF977:AI977"/>
    <mergeCell ref="H290:R290"/>
    <mergeCell ref="AM720:AO720"/>
    <mergeCell ref="D1004:AE1005"/>
    <mergeCell ref="DH632:DL632"/>
    <mergeCell ref="AA334:AF334"/>
    <mergeCell ref="DR605:DV605"/>
    <mergeCell ref="G681:L681"/>
    <mergeCell ref="BG621:BH621"/>
    <mergeCell ref="AC782:AG782"/>
    <mergeCell ref="C785:AN786"/>
    <mergeCell ref="G583:L583"/>
    <mergeCell ref="C558:L558"/>
    <mergeCell ref="J776:N776"/>
    <mergeCell ref="G699:J702"/>
    <mergeCell ref="AC630:AE630"/>
    <mergeCell ref="AA324:AK324"/>
    <mergeCell ref="Z800:AE800"/>
    <mergeCell ref="O736:S736"/>
    <mergeCell ref="Y727:AB727"/>
    <mergeCell ref="AJ971:AQ971"/>
    <mergeCell ref="U921:Z921"/>
    <mergeCell ref="AA905:AF905"/>
    <mergeCell ref="D1001:AE1003"/>
    <mergeCell ref="CM652:CQ652"/>
    <mergeCell ref="DC635:DG635"/>
    <mergeCell ref="AE558:AH558"/>
    <mergeCell ref="AH725:AL725"/>
    <mergeCell ref="O735:S735"/>
    <mergeCell ref="M357:N357"/>
    <mergeCell ref="O737:S737"/>
    <mergeCell ref="AA954:AG954"/>
    <mergeCell ref="D1060:AP1062"/>
    <mergeCell ref="Z615:AE615"/>
    <mergeCell ref="BG630:BH630"/>
    <mergeCell ref="BX639:CB639"/>
    <mergeCell ref="D1047:AP1048"/>
    <mergeCell ref="AI657:AK657"/>
    <mergeCell ref="CO64:EH64"/>
    <mergeCell ref="BS645:BW645"/>
    <mergeCell ref="P203:U203"/>
    <mergeCell ref="CM641:CQ641"/>
    <mergeCell ref="J173:S173"/>
    <mergeCell ref="AA930:AF930"/>
    <mergeCell ref="L940:S940"/>
    <mergeCell ref="AJ997:AQ999"/>
    <mergeCell ref="O741:R741"/>
    <mergeCell ref="BE630:BF630"/>
    <mergeCell ref="T780:W780"/>
    <mergeCell ref="BE632:BF632"/>
    <mergeCell ref="T782:W782"/>
    <mergeCell ref="AB975:AI975"/>
    <mergeCell ref="AF998:AI999"/>
    <mergeCell ref="BE623:BF623"/>
    <mergeCell ref="AK629:AN629"/>
    <mergeCell ref="AI564:AL564"/>
    <mergeCell ref="S402:U402"/>
    <mergeCell ref="W564:Y564"/>
    <mergeCell ref="BN623:BR623"/>
    <mergeCell ref="S493:AK494"/>
    <mergeCell ref="T193:U193"/>
    <mergeCell ref="AA921:AF921"/>
    <mergeCell ref="U905:Z905"/>
    <mergeCell ref="BK619:BL619"/>
    <mergeCell ref="A1072:B1072"/>
    <mergeCell ref="EIU64:EKN64"/>
    <mergeCell ref="M559:P559"/>
    <mergeCell ref="H682:R682"/>
    <mergeCell ref="H340:R340"/>
    <mergeCell ref="AA300:AK300"/>
    <mergeCell ref="DM613:DQ613"/>
    <mergeCell ref="BK628:BL628"/>
    <mergeCell ref="N379:P379"/>
    <mergeCell ref="CM605:CQ605"/>
    <mergeCell ref="A1060:B1060"/>
    <mergeCell ref="BX602:CB602"/>
    <mergeCell ref="A1055:B1055"/>
    <mergeCell ref="DRC88:DSV89"/>
    <mergeCell ref="EBS88:EDL89"/>
    <mergeCell ref="D1010:AE1012"/>
    <mergeCell ref="U916:Z916"/>
    <mergeCell ref="U922:Z922"/>
    <mergeCell ref="CC639:CG639"/>
    <mergeCell ref="AC538:AF538"/>
    <mergeCell ref="AC882:AH882"/>
    <mergeCell ref="D971:Q971"/>
    <mergeCell ref="AB970:AI970"/>
    <mergeCell ref="B714:F714"/>
    <mergeCell ref="O775:S775"/>
    <mergeCell ref="BN631:BR631"/>
    <mergeCell ref="F920:T920"/>
    <mergeCell ref="A619:AT620"/>
    <mergeCell ref="BX632:CB632"/>
    <mergeCell ref="DR607:DV607"/>
    <mergeCell ref="CH629:CL629"/>
    <mergeCell ref="BG623:BH623"/>
    <mergeCell ref="PMY59:POR63"/>
    <mergeCell ref="WWA64:WXT64"/>
    <mergeCell ref="BS625:BW625"/>
    <mergeCell ref="OKQ59:OMJ63"/>
    <mergeCell ref="G653:R653"/>
    <mergeCell ref="AA310:AF310"/>
    <mergeCell ref="AJ991:AQ994"/>
    <mergeCell ref="WUG59:WVZ63"/>
    <mergeCell ref="D1025:AE1025"/>
    <mergeCell ref="K710:N710"/>
    <mergeCell ref="G646:R646"/>
    <mergeCell ref="O726:S726"/>
    <mergeCell ref="G731:J731"/>
    <mergeCell ref="F924:T924"/>
    <mergeCell ref="AI591:AK591"/>
    <mergeCell ref="G648:R648"/>
    <mergeCell ref="AM718:AO718"/>
    <mergeCell ref="CH605:CL605"/>
    <mergeCell ref="U901:Z903"/>
    <mergeCell ref="AM712:AO712"/>
    <mergeCell ref="G677:R677"/>
    <mergeCell ref="O728:S728"/>
    <mergeCell ref="BX600:CB600"/>
    <mergeCell ref="MUE64:MVX64"/>
    <mergeCell ref="AA326:AF326"/>
    <mergeCell ref="LKU88:LMN89"/>
    <mergeCell ref="VQE59:VRX63"/>
    <mergeCell ref="U907:Z907"/>
    <mergeCell ref="AJ359:AK359"/>
    <mergeCell ref="CH614:CL614"/>
    <mergeCell ref="DC601:DG601"/>
    <mergeCell ref="WCO88:WEH89"/>
    <mergeCell ref="AO636:AS636"/>
    <mergeCell ref="Z239:AE239"/>
    <mergeCell ref="CNA64:COT64"/>
    <mergeCell ref="DM621:DQ621"/>
    <mergeCell ref="LTQ59:LVJ63"/>
    <mergeCell ref="HGW59:HIP63"/>
    <mergeCell ref="HRM59:HTF63"/>
    <mergeCell ref="IVO59:IXH63"/>
    <mergeCell ref="DM607:DQ607"/>
    <mergeCell ref="CEE64:CFX64"/>
    <mergeCell ref="NGO88:NIH89"/>
    <mergeCell ref="BS613:BW613"/>
    <mergeCell ref="AC534:AF534"/>
    <mergeCell ref="FCG64:FDZ64"/>
    <mergeCell ref="FMW64:FOP64"/>
    <mergeCell ref="DC621:DG621"/>
    <mergeCell ref="LHG64:LIZ64"/>
    <mergeCell ref="LRW64:LTP64"/>
    <mergeCell ref="MLI59:MNB63"/>
    <mergeCell ref="DRC59:DSV63"/>
    <mergeCell ref="BE621:BF621"/>
    <mergeCell ref="DR632:DV632"/>
    <mergeCell ref="CX613:DB613"/>
    <mergeCell ref="AI565:AL565"/>
    <mergeCell ref="ITU88:IVN89"/>
    <mergeCell ref="CH599:CL599"/>
    <mergeCell ref="LJA59:LKT63"/>
    <mergeCell ref="Z598:AK598"/>
    <mergeCell ref="AH512:AK512"/>
    <mergeCell ref="AH506:AK506"/>
    <mergeCell ref="BK607:BL607"/>
    <mergeCell ref="AH520:AK520"/>
    <mergeCell ref="J387:U387"/>
    <mergeCell ref="P607:R607"/>
    <mergeCell ref="BS621:BW621"/>
    <mergeCell ref="AF630:AJ630"/>
    <mergeCell ref="ORS88:OTL89"/>
    <mergeCell ref="PCI88:PEB89"/>
    <mergeCell ref="W554:Y556"/>
    <mergeCell ref="CS616:CW616"/>
    <mergeCell ref="JEK64:JGD64"/>
    <mergeCell ref="JPA64:JQT64"/>
    <mergeCell ref="AF632:AJ632"/>
    <mergeCell ref="U239:W239"/>
    <mergeCell ref="AIK59:AKD63"/>
    <mergeCell ref="BG632:BH632"/>
    <mergeCell ref="DR616:DV616"/>
    <mergeCell ref="AH519:AK519"/>
    <mergeCell ref="Z614:AK614"/>
    <mergeCell ref="DH603:DL603"/>
    <mergeCell ref="OTM64:OVF64"/>
    <mergeCell ref="BG619:BH619"/>
    <mergeCell ref="CH625:CL625"/>
    <mergeCell ref="IDW88:IFP89"/>
    <mergeCell ref="CX626:DB626"/>
    <mergeCell ref="CX611:DB611"/>
    <mergeCell ref="DH608:DL608"/>
    <mergeCell ref="BS614:BW614"/>
    <mergeCell ref="DH623:DL623"/>
    <mergeCell ref="AI554:AL556"/>
    <mergeCell ref="OBU59:ODN63"/>
    <mergeCell ref="NEU88:NGN89"/>
    <mergeCell ref="NGO64:NIH64"/>
    <mergeCell ref="AI563:AL563"/>
    <mergeCell ref="W863:AC863"/>
    <mergeCell ref="D443:AF443"/>
    <mergeCell ref="W846:AC846"/>
    <mergeCell ref="AC872:AH872"/>
    <mergeCell ref="D1083:AP1084"/>
    <mergeCell ref="AA920:AF920"/>
    <mergeCell ref="Y816:AB816"/>
    <mergeCell ref="BK632:BL632"/>
    <mergeCell ref="CX602:DB602"/>
    <mergeCell ref="CO88:EH89"/>
    <mergeCell ref="G727:J727"/>
    <mergeCell ref="M256:AE256"/>
    <mergeCell ref="U910:Z910"/>
    <mergeCell ref="Y731:AB731"/>
    <mergeCell ref="G670:R670"/>
    <mergeCell ref="D1026:AE1028"/>
    <mergeCell ref="AJ1013:AQ1015"/>
    <mergeCell ref="AF1001:AI1003"/>
    <mergeCell ref="AG1009:AH1009"/>
    <mergeCell ref="AH528:AK528"/>
    <mergeCell ref="AG997:AH997"/>
    <mergeCell ref="D1064:AP1066"/>
    <mergeCell ref="AC639:AE639"/>
    <mergeCell ref="Q630:S630"/>
    <mergeCell ref="M237:T237"/>
    <mergeCell ref="AM715:AO715"/>
    <mergeCell ref="BK617:BL617"/>
    <mergeCell ref="L943:S943"/>
    <mergeCell ref="DC633:DG633"/>
    <mergeCell ref="DH600:DL600"/>
    <mergeCell ref="AF245:AK245"/>
    <mergeCell ref="AH731:AL731"/>
    <mergeCell ref="WEI59:WGB63"/>
    <mergeCell ref="QJY59:QLR63"/>
    <mergeCell ref="APM64:ARF64"/>
    <mergeCell ref="JPA88:JQT89"/>
    <mergeCell ref="G723:J723"/>
    <mergeCell ref="AGQ64:AIJ64"/>
    <mergeCell ref="BG603:BH603"/>
    <mergeCell ref="G663:R663"/>
    <mergeCell ref="Y817:AB817"/>
    <mergeCell ref="AC387:AJ387"/>
    <mergeCell ref="AC247:AE247"/>
    <mergeCell ref="U818:X818"/>
    <mergeCell ref="FSE64:FTX64"/>
    <mergeCell ref="AC874:AH874"/>
    <mergeCell ref="P657:R657"/>
    <mergeCell ref="O716:S716"/>
    <mergeCell ref="W829:AC829"/>
    <mergeCell ref="G726:J726"/>
    <mergeCell ref="AG814:AJ814"/>
    <mergeCell ref="BX603:CB603"/>
    <mergeCell ref="G673:L673"/>
    <mergeCell ref="K699:N702"/>
    <mergeCell ref="AC725:AG725"/>
    <mergeCell ref="JQ64:LJ64"/>
    <mergeCell ref="AA299:AK299"/>
    <mergeCell ref="BX610:CB610"/>
    <mergeCell ref="BG626:BH626"/>
    <mergeCell ref="Y819:AB819"/>
    <mergeCell ref="T189:AE189"/>
    <mergeCell ref="M266:AE266"/>
    <mergeCell ref="AA293:AF293"/>
    <mergeCell ref="V215:W215"/>
    <mergeCell ref="JWC64:JXV64"/>
    <mergeCell ref="CC647:CG647"/>
    <mergeCell ref="O729:S729"/>
    <mergeCell ref="BN619:BR619"/>
    <mergeCell ref="XDC64:XEV64"/>
    <mergeCell ref="BI618:BJ618"/>
    <mergeCell ref="A547:AT548"/>
    <mergeCell ref="OHC59:OIV63"/>
    <mergeCell ref="D1075:AP1077"/>
    <mergeCell ref="AC537:AF537"/>
    <mergeCell ref="W626:Y628"/>
    <mergeCell ref="K709:N709"/>
    <mergeCell ref="BI620:BJ620"/>
    <mergeCell ref="K703:N703"/>
    <mergeCell ref="NEU64:NGN64"/>
    <mergeCell ref="W830:AC830"/>
    <mergeCell ref="VOK64:VQD64"/>
    <mergeCell ref="VZA64:WAT64"/>
    <mergeCell ref="B517:H519"/>
    <mergeCell ref="AE554:AH556"/>
    <mergeCell ref="K711:N711"/>
    <mergeCell ref="BI613:BJ613"/>
    <mergeCell ref="AA317:AF317"/>
    <mergeCell ref="AJ995:AQ996"/>
    <mergeCell ref="TWE64:TXX64"/>
    <mergeCell ref="BN650:BR650"/>
    <mergeCell ref="LAE59:LBX63"/>
    <mergeCell ref="O959:P959"/>
    <mergeCell ref="AA909:AF909"/>
    <mergeCell ref="AG991:AH991"/>
    <mergeCell ref="O763:S763"/>
    <mergeCell ref="M862:V862"/>
    <mergeCell ref="A20:AL20"/>
    <mergeCell ref="BI609:BJ609"/>
    <mergeCell ref="T554:V556"/>
    <mergeCell ref="T400:AJ400"/>
    <mergeCell ref="K707:N707"/>
    <mergeCell ref="STW59:SVP63"/>
    <mergeCell ref="X1034:AC1034"/>
    <mergeCell ref="DR620:DV620"/>
    <mergeCell ref="BI611:BJ611"/>
    <mergeCell ref="AJ977:AQ977"/>
    <mergeCell ref="AG813:AJ813"/>
    <mergeCell ref="T761:W761"/>
    <mergeCell ref="O706:S706"/>
    <mergeCell ref="NBG64:NCZ64"/>
    <mergeCell ref="Z793:AE793"/>
    <mergeCell ref="AG815:AJ815"/>
    <mergeCell ref="AK635:AN635"/>
    <mergeCell ref="OYU64:PAN64"/>
    <mergeCell ref="U932:Z932"/>
    <mergeCell ref="W867:AC867"/>
    <mergeCell ref="F922:T922"/>
    <mergeCell ref="F915:T915"/>
    <mergeCell ref="B699:F702"/>
    <mergeCell ref="BS612:BW612"/>
    <mergeCell ref="HFC64:HGV64"/>
    <mergeCell ref="HPS64:HRL64"/>
    <mergeCell ref="CC603:CG603"/>
    <mergeCell ref="O160:X160"/>
    <mergeCell ref="W832:AC832"/>
    <mergeCell ref="BI615:BJ615"/>
    <mergeCell ref="FTY64:FVR64"/>
    <mergeCell ref="GEO64:GGH64"/>
    <mergeCell ref="U929:Z929"/>
    <mergeCell ref="CH607:CL607"/>
    <mergeCell ref="X782:AB782"/>
    <mergeCell ref="W841:AC841"/>
    <mergeCell ref="BX606:CB606"/>
    <mergeCell ref="Q33:AT33"/>
    <mergeCell ref="C814:H814"/>
    <mergeCell ref="BXC88:BYV89"/>
    <mergeCell ref="MCM59:MEF63"/>
    <mergeCell ref="MNC59:MOV63"/>
    <mergeCell ref="F458:AB459"/>
    <mergeCell ref="T774:W774"/>
    <mergeCell ref="BN617:BR617"/>
    <mergeCell ref="KRI88:KTB89"/>
    <mergeCell ref="BX608:CB608"/>
    <mergeCell ref="FEA64:FFT64"/>
    <mergeCell ref="N651:O651"/>
    <mergeCell ref="G613:R613"/>
    <mergeCell ref="AI341:AK341"/>
    <mergeCell ref="AM735:AO735"/>
    <mergeCell ref="A39:AT46"/>
    <mergeCell ref="K732:N732"/>
    <mergeCell ref="M626:P628"/>
    <mergeCell ref="Q490:AK490"/>
    <mergeCell ref="AG817:AJ817"/>
    <mergeCell ref="P350:U350"/>
    <mergeCell ref="AI398:AJ398"/>
    <mergeCell ref="BS623:BW623"/>
    <mergeCell ref="LKU59:LMN63"/>
    <mergeCell ref="BN630:BR630"/>
    <mergeCell ref="CH653:CL653"/>
    <mergeCell ref="BN632:BR632"/>
    <mergeCell ref="O725:S725"/>
    <mergeCell ref="J766:K766"/>
    <mergeCell ref="Y734:AB734"/>
    <mergeCell ref="O712:S712"/>
    <mergeCell ref="AG651:AH651"/>
    <mergeCell ref="Y708:AB708"/>
    <mergeCell ref="Z802:AE802"/>
    <mergeCell ref="BS641:BW641"/>
    <mergeCell ref="A22:AT23"/>
    <mergeCell ref="A48:AT49"/>
    <mergeCell ref="DC600:DG600"/>
    <mergeCell ref="J388:U388"/>
    <mergeCell ref="H324:R324"/>
    <mergeCell ref="AC731:AG731"/>
    <mergeCell ref="OBU88:ODN89"/>
    <mergeCell ref="AH705:AL705"/>
    <mergeCell ref="WJQ88:WLJ89"/>
    <mergeCell ref="K720:N720"/>
    <mergeCell ref="DH615:DL615"/>
    <mergeCell ref="BE622:BF622"/>
    <mergeCell ref="PEC59:PFV63"/>
    <mergeCell ref="VZA88:WAT89"/>
    <mergeCell ref="VXG59:VYZ63"/>
    <mergeCell ref="TWE88:TXX89"/>
    <mergeCell ref="UGU88:UIN89"/>
    <mergeCell ref="SXK59:SZD63"/>
    <mergeCell ref="QUO88:QWH89"/>
    <mergeCell ref="RFE88:RGX89"/>
    <mergeCell ref="TUK59:TWD63"/>
    <mergeCell ref="SVQ59:SXJ63"/>
    <mergeCell ref="DR614:DV614"/>
    <mergeCell ref="AA327:AK327"/>
    <mergeCell ref="A1045:B1045"/>
    <mergeCell ref="GPE59:GQX63"/>
    <mergeCell ref="GZU59:HBN63"/>
    <mergeCell ref="F917:T917"/>
    <mergeCell ref="BG610:BH610"/>
    <mergeCell ref="FEA88:FFT89"/>
    <mergeCell ref="FOQ88:FQJ89"/>
    <mergeCell ref="PJK59:PLD63"/>
    <mergeCell ref="PUA59:PVT63"/>
    <mergeCell ref="ABI64:ADB64"/>
    <mergeCell ref="B713:F713"/>
    <mergeCell ref="CH651:CL651"/>
    <mergeCell ref="O774:S774"/>
    <mergeCell ref="AA952:AG952"/>
    <mergeCell ref="AA904:AF904"/>
    <mergeCell ref="CC610:CG610"/>
    <mergeCell ref="CS629:CW629"/>
    <mergeCell ref="BKS59:BML63"/>
    <mergeCell ref="BVI59:BXB63"/>
    <mergeCell ref="GBA64:GCT64"/>
    <mergeCell ref="NGO59:NIH63"/>
    <mergeCell ref="NRE59:NSX63"/>
    <mergeCell ref="ERQ59:ETJ63"/>
    <mergeCell ref="CC599:CG599"/>
    <mergeCell ref="ITU59:IVN63"/>
    <mergeCell ref="Z889:AE889"/>
    <mergeCell ref="X756:AB759"/>
    <mergeCell ref="OPY88:ORR89"/>
    <mergeCell ref="LHG88:LIZ89"/>
    <mergeCell ref="LRW88:LTP89"/>
    <mergeCell ref="GZU88:HBN89"/>
    <mergeCell ref="B722:F722"/>
    <mergeCell ref="AG1020:AH1020"/>
    <mergeCell ref="AH722:AL722"/>
    <mergeCell ref="AG450:AJ450"/>
    <mergeCell ref="D1009:AE1009"/>
    <mergeCell ref="B745:AL746"/>
    <mergeCell ref="CM653:CQ653"/>
    <mergeCell ref="W858:AC858"/>
    <mergeCell ref="T704:X704"/>
    <mergeCell ref="B712:F712"/>
    <mergeCell ref="AI575:AK575"/>
    <mergeCell ref="AK639:AN639"/>
    <mergeCell ref="U816:X816"/>
    <mergeCell ref="B737:F737"/>
    <mergeCell ref="W562:Y562"/>
    <mergeCell ref="CC649:CG649"/>
    <mergeCell ref="BN612:BR612"/>
    <mergeCell ref="AC873:AH873"/>
    <mergeCell ref="U920:Z920"/>
    <mergeCell ref="X783:AB783"/>
    <mergeCell ref="E873:AB873"/>
    <mergeCell ref="C557:L557"/>
    <mergeCell ref="P803:Y803"/>
    <mergeCell ref="P575:R575"/>
    <mergeCell ref="BK603:BL603"/>
    <mergeCell ref="CH640:CL640"/>
    <mergeCell ref="AC732:AG732"/>
    <mergeCell ref="Z603:AK603"/>
    <mergeCell ref="O719:S719"/>
    <mergeCell ref="Z886:AE886"/>
    <mergeCell ref="F923:T923"/>
    <mergeCell ref="AC762:AG762"/>
    <mergeCell ref="U930:Z930"/>
    <mergeCell ref="X1033:AC1033"/>
    <mergeCell ref="T718:X718"/>
    <mergeCell ref="CC607:CG607"/>
    <mergeCell ref="T712:X712"/>
    <mergeCell ref="Z655:AK655"/>
    <mergeCell ref="AO639:AS639"/>
    <mergeCell ref="BN621:BR621"/>
    <mergeCell ref="AG378:AH378"/>
    <mergeCell ref="Q819:T819"/>
    <mergeCell ref="BX637:CB637"/>
    <mergeCell ref="O703:S703"/>
    <mergeCell ref="CX624:DB624"/>
    <mergeCell ref="X780:AB780"/>
    <mergeCell ref="CH609:CL609"/>
    <mergeCell ref="Y733:AB733"/>
    <mergeCell ref="B505:H506"/>
    <mergeCell ref="AC711:AG711"/>
    <mergeCell ref="CM625:CQ625"/>
    <mergeCell ref="CC628:CG628"/>
    <mergeCell ref="C813:H813"/>
    <mergeCell ref="O708:S708"/>
    <mergeCell ref="BI617:BJ617"/>
    <mergeCell ref="Z686:AK686"/>
    <mergeCell ref="AC526:AF526"/>
    <mergeCell ref="G720:J720"/>
    <mergeCell ref="CC627:CG627"/>
    <mergeCell ref="AG601:AH601"/>
    <mergeCell ref="BS638:BW638"/>
    <mergeCell ref="BI619:BJ619"/>
    <mergeCell ref="CC629:CG629"/>
    <mergeCell ref="AC528:AF528"/>
    <mergeCell ref="G737:J737"/>
    <mergeCell ref="WLK59:WND63"/>
    <mergeCell ref="T714:X714"/>
    <mergeCell ref="KRI59:KTB63"/>
    <mergeCell ref="Z645:AK645"/>
    <mergeCell ref="AM730:AO730"/>
    <mergeCell ref="CM621:CQ621"/>
    <mergeCell ref="DM626:DQ626"/>
    <mergeCell ref="T560:V560"/>
    <mergeCell ref="TAY59:TCR63"/>
    <mergeCell ref="TLO59:TNH63"/>
    <mergeCell ref="BN649:BR649"/>
    <mergeCell ref="D223:AI223"/>
    <mergeCell ref="T716:X716"/>
    <mergeCell ref="CM623:CQ623"/>
    <mergeCell ref="D407:AJ408"/>
    <mergeCell ref="T562:V562"/>
    <mergeCell ref="X175:Y175"/>
    <mergeCell ref="H294:M294"/>
    <mergeCell ref="DWK88:DYD89"/>
    <mergeCell ref="EHA88:EIT89"/>
    <mergeCell ref="JZQ59:KBJ63"/>
    <mergeCell ref="KKG59:KLZ63"/>
    <mergeCell ref="H330:R330"/>
    <mergeCell ref="JAW64:JCP64"/>
    <mergeCell ref="HPS88:HRL89"/>
    <mergeCell ref="AM713:AO713"/>
    <mergeCell ref="EPW88:ERP89"/>
    <mergeCell ref="AM554:AS556"/>
    <mergeCell ref="H309:M309"/>
    <mergeCell ref="M630:P630"/>
    <mergeCell ref="Q395:U395"/>
    <mergeCell ref="AG445:AJ445"/>
    <mergeCell ref="GWG59:GXZ63"/>
    <mergeCell ref="AC532:AF532"/>
    <mergeCell ref="AC255:AE255"/>
    <mergeCell ref="QLS64:QNL64"/>
    <mergeCell ref="QWI64:QYB64"/>
    <mergeCell ref="CS627:CW627"/>
    <mergeCell ref="AH530:AK530"/>
    <mergeCell ref="AA259:AK259"/>
    <mergeCell ref="HVA64:HWT64"/>
    <mergeCell ref="SCE59:SDX63"/>
    <mergeCell ref="JCQ64:JEJ64"/>
    <mergeCell ref="NKC59:NLV63"/>
    <mergeCell ref="QNM59:QPF63"/>
    <mergeCell ref="QCW59:QEP63"/>
    <mergeCell ref="VJC88:VKV89"/>
    <mergeCell ref="UDG64:UEZ64"/>
    <mergeCell ref="UNW64:UPP64"/>
    <mergeCell ref="CM620:CQ620"/>
    <mergeCell ref="CNA88:COT89"/>
    <mergeCell ref="CS625:CW625"/>
    <mergeCell ref="M235:AK235"/>
    <mergeCell ref="A353:AT354"/>
    <mergeCell ref="AA308:AK308"/>
    <mergeCell ref="CM616:CQ616"/>
    <mergeCell ref="FLC88:FMV89"/>
    <mergeCell ref="LAE88:LBX89"/>
    <mergeCell ref="DM611:DQ611"/>
    <mergeCell ref="BI623:BJ623"/>
    <mergeCell ref="DZY88:EBR89"/>
    <mergeCell ref="KRI64:KTB64"/>
    <mergeCell ref="Q559:S559"/>
    <mergeCell ref="NII88:NKB89"/>
    <mergeCell ref="WWA59:WXT63"/>
    <mergeCell ref="G709:J709"/>
    <mergeCell ref="ETK59:EVD63"/>
    <mergeCell ref="G703:J703"/>
    <mergeCell ref="CC653:CG653"/>
    <mergeCell ref="BI626:BJ626"/>
    <mergeCell ref="AK636:AN636"/>
    <mergeCell ref="AA616:AK616"/>
    <mergeCell ref="BG607:BH607"/>
    <mergeCell ref="BX616:CB616"/>
    <mergeCell ref="W635:Y635"/>
    <mergeCell ref="W629:Y629"/>
    <mergeCell ref="KGS64:KIL64"/>
    <mergeCell ref="DGM59:DIF63"/>
    <mergeCell ref="W558:Y558"/>
    <mergeCell ref="L277:AD277"/>
    <mergeCell ref="BKS88:BML89"/>
    <mergeCell ref="BVI88:BXB89"/>
    <mergeCell ref="UKI64:UMB64"/>
    <mergeCell ref="L280:Q280"/>
    <mergeCell ref="OFI88:OHB89"/>
    <mergeCell ref="G596:R596"/>
    <mergeCell ref="T564:V564"/>
    <mergeCell ref="T558:V558"/>
    <mergeCell ref="DH609:DL609"/>
    <mergeCell ref="W419:Y419"/>
    <mergeCell ref="D474:V474"/>
    <mergeCell ref="W636:Y636"/>
    <mergeCell ref="HGW88:HIP89"/>
    <mergeCell ref="HRM88:HTF89"/>
    <mergeCell ref="WUG88:WVZ89"/>
    <mergeCell ref="AM562:AS562"/>
    <mergeCell ref="VHI59:VJB63"/>
    <mergeCell ref="Z579:AK579"/>
    <mergeCell ref="DES59:DGL63"/>
    <mergeCell ref="DPI59:DRB63"/>
    <mergeCell ref="CC645:CG645"/>
    <mergeCell ref="CC620:CG620"/>
    <mergeCell ref="BE615:BF615"/>
    <mergeCell ref="AC519:AF519"/>
    <mergeCell ref="T958:Z958"/>
    <mergeCell ref="Y704:AB704"/>
    <mergeCell ref="G718:J718"/>
    <mergeCell ref="XU64:ZN64"/>
    <mergeCell ref="AIK64:AKD64"/>
    <mergeCell ref="F913:T913"/>
    <mergeCell ref="H313:R313"/>
    <mergeCell ref="AM564:AS564"/>
    <mergeCell ref="H307:R307"/>
    <mergeCell ref="QJY88:QLR89"/>
    <mergeCell ref="UYM59:VAF63"/>
    <mergeCell ref="BE618:BF618"/>
    <mergeCell ref="DR629:DV629"/>
    <mergeCell ref="BHE59:BIX63"/>
    <mergeCell ref="BRU59:BTN63"/>
    <mergeCell ref="W473:Y473"/>
    <mergeCell ref="SHM64:SJF64"/>
    <mergeCell ref="AA314:AK314"/>
    <mergeCell ref="BTO88:BVH89"/>
    <mergeCell ref="CEE88:CFX89"/>
    <mergeCell ref="MJO59:MLH63"/>
    <mergeCell ref="CX606:DB606"/>
    <mergeCell ref="AE425:AF425"/>
    <mergeCell ref="DH622:DL622"/>
    <mergeCell ref="X770:AB773"/>
    <mergeCell ref="D203:M203"/>
    <mergeCell ref="DR631:DV631"/>
    <mergeCell ref="M554:P556"/>
    <mergeCell ref="AV875:AY875"/>
    <mergeCell ref="AA913:AF913"/>
    <mergeCell ref="AC638:AE638"/>
    <mergeCell ref="H323:R323"/>
    <mergeCell ref="BE613:BF613"/>
    <mergeCell ref="CC618:CG618"/>
    <mergeCell ref="M960:S960"/>
    <mergeCell ref="AC517:AF517"/>
    <mergeCell ref="AG617:AH617"/>
    <mergeCell ref="RYQ88:SAJ89"/>
    <mergeCell ref="MAS64:MCL64"/>
    <mergeCell ref="I185:AE185"/>
    <mergeCell ref="QSU64:QUN64"/>
    <mergeCell ref="RDK64:RFD64"/>
    <mergeCell ref="T699:X702"/>
    <mergeCell ref="OIW88:OKP89"/>
    <mergeCell ref="BTO64:BVH64"/>
    <mergeCell ref="ROA64:RPT64"/>
    <mergeCell ref="Z647:AK647"/>
    <mergeCell ref="AA919:AF919"/>
    <mergeCell ref="AC883:AH883"/>
    <mergeCell ref="AA912:AF912"/>
    <mergeCell ref="Y788:AC788"/>
    <mergeCell ref="AM734:AO734"/>
    <mergeCell ref="AC817:AF817"/>
    <mergeCell ref="T738:X738"/>
    <mergeCell ref="T733:X733"/>
    <mergeCell ref="Y723:AB723"/>
    <mergeCell ref="WXU88:WZN89"/>
    <mergeCell ref="U911:Z911"/>
    <mergeCell ref="Y713:AB713"/>
    <mergeCell ref="D445:AF445"/>
    <mergeCell ref="FAM64:FCF64"/>
    <mergeCell ref="C634:L634"/>
    <mergeCell ref="X764:AB764"/>
    <mergeCell ref="CX633:DB633"/>
    <mergeCell ref="AC237:AE237"/>
    <mergeCell ref="Y706:AB706"/>
    <mergeCell ref="T781:W781"/>
    <mergeCell ref="L512:AB512"/>
    <mergeCell ref="PZI64:QBB64"/>
    <mergeCell ref="QCW88:QEP89"/>
    <mergeCell ref="Z257:AE257"/>
    <mergeCell ref="DR606:DV606"/>
    <mergeCell ref="Y732:AB732"/>
    <mergeCell ref="WGC64:WHV64"/>
    <mergeCell ref="DM619:DQ619"/>
    <mergeCell ref="KWQ64:KYJ64"/>
    <mergeCell ref="AG691:AH691"/>
    <mergeCell ref="B728:F728"/>
    <mergeCell ref="KYK88:LAD89"/>
    <mergeCell ref="LJA88:LKT89"/>
    <mergeCell ref="EOC88:EPV89"/>
    <mergeCell ref="AU64:CN64"/>
    <mergeCell ref="RWW64:RYP64"/>
    <mergeCell ref="AA290:AK290"/>
    <mergeCell ref="AH536:AK536"/>
    <mergeCell ref="O714:S714"/>
    <mergeCell ref="K706:N706"/>
    <mergeCell ref="R199:AB199"/>
    <mergeCell ref="TCS59:TEL63"/>
    <mergeCell ref="N191:AE192"/>
    <mergeCell ref="C815:H815"/>
    <mergeCell ref="CHS64:CJL64"/>
    <mergeCell ref="VDU59:VFN63"/>
    <mergeCell ref="C632:L632"/>
    <mergeCell ref="AC763:AG763"/>
    <mergeCell ref="G595:R595"/>
    <mergeCell ref="AA337:AK337"/>
    <mergeCell ref="AM726:AO726"/>
    <mergeCell ref="VJC59:VKV63"/>
    <mergeCell ref="AA608:AK608"/>
    <mergeCell ref="QLS88:QNL89"/>
    <mergeCell ref="T557:V557"/>
    <mergeCell ref="KYK64:LAD64"/>
    <mergeCell ref="Z663:AK663"/>
    <mergeCell ref="DC622:DG622"/>
    <mergeCell ref="TNI88:TPB89"/>
    <mergeCell ref="TXY88:TZR89"/>
    <mergeCell ref="CCK59:CED63"/>
    <mergeCell ref="T736:X736"/>
    <mergeCell ref="OAA64:OBT64"/>
    <mergeCell ref="CC614:CG614"/>
    <mergeCell ref="DH611:DL611"/>
    <mergeCell ref="UYM88:VAF89"/>
    <mergeCell ref="AK637:AN637"/>
    <mergeCell ref="AJ357:AK357"/>
    <mergeCell ref="W638:Y638"/>
    <mergeCell ref="G710:J710"/>
    <mergeCell ref="TJU64:TLN64"/>
    <mergeCell ref="B569:AL569"/>
    <mergeCell ref="SLA59:SMT63"/>
    <mergeCell ref="A1083:B1083"/>
    <mergeCell ref="WJQ64:WLJ64"/>
    <mergeCell ref="WUG64:WVZ64"/>
    <mergeCell ref="D446:AF446"/>
    <mergeCell ref="NNQ59:NPJ63"/>
    <mergeCell ref="NYG59:NZZ63"/>
    <mergeCell ref="CC616:CG616"/>
    <mergeCell ref="U249:W249"/>
    <mergeCell ref="Z664:AK664"/>
    <mergeCell ref="T727:X727"/>
    <mergeCell ref="P930:T930"/>
    <mergeCell ref="AC813:AF813"/>
    <mergeCell ref="O164:AH164"/>
    <mergeCell ref="D439:AF439"/>
    <mergeCell ref="WSM59:WUF63"/>
    <mergeCell ref="CM606:CQ606"/>
    <mergeCell ref="AC815:AF815"/>
    <mergeCell ref="AC781:AG781"/>
    <mergeCell ref="VQE64:VRX64"/>
    <mergeCell ref="D441:AF441"/>
    <mergeCell ref="C630:L630"/>
    <mergeCell ref="DYE64:DZX64"/>
    <mergeCell ref="CVW59:CXP63"/>
    <mergeCell ref="Z630:AB630"/>
    <mergeCell ref="NPK59:NRD63"/>
    <mergeCell ref="RGY59:RIR63"/>
    <mergeCell ref="KGS59:KIL63"/>
    <mergeCell ref="TEM59:TGF63"/>
    <mergeCell ref="SSC59:STV63"/>
    <mergeCell ref="RPU59:RRN63"/>
    <mergeCell ref="NII59:NKB63"/>
    <mergeCell ref="BRU88:BTN89"/>
    <mergeCell ref="RFE59:RGX63"/>
    <mergeCell ref="CS613:CW613"/>
    <mergeCell ref="BX626:CB626"/>
    <mergeCell ref="BX620:CB620"/>
    <mergeCell ref="P591:R591"/>
    <mergeCell ref="BIY59:BKR63"/>
    <mergeCell ref="AYI59:BAB63"/>
    <mergeCell ref="AH717:AL717"/>
    <mergeCell ref="NDA88:NET89"/>
    <mergeCell ref="CH608:CL608"/>
    <mergeCell ref="AH507:AK507"/>
    <mergeCell ref="O718:S718"/>
    <mergeCell ref="BX607:CB607"/>
    <mergeCell ref="QCW64:QEP64"/>
    <mergeCell ref="QNM64:QPF64"/>
    <mergeCell ref="T717:X717"/>
    <mergeCell ref="B731:F731"/>
    <mergeCell ref="AI665:AK665"/>
    <mergeCell ref="G722:J722"/>
    <mergeCell ref="DWK64:DYD64"/>
    <mergeCell ref="EHA64:EIT64"/>
    <mergeCell ref="MLI88:MNB89"/>
    <mergeCell ref="AM566:AS566"/>
    <mergeCell ref="AC530:AF530"/>
    <mergeCell ref="T630:V630"/>
    <mergeCell ref="G606:R606"/>
    <mergeCell ref="BS610:BW610"/>
    <mergeCell ref="GPE88:GQX89"/>
    <mergeCell ref="M254:AE254"/>
    <mergeCell ref="AA674:AK674"/>
    <mergeCell ref="BS627:BW627"/>
    <mergeCell ref="DH617:DL617"/>
    <mergeCell ref="Z637:AB637"/>
    <mergeCell ref="CC651:CG651"/>
    <mergeCell ref="AI309:AK309"/>
    <mergeCell ref="DM609:DQ609"/>
    <mergeCell ref="A10:AT10"/>
    <mergeCell ref="KNU59:KPN63"/>
    <mergeCell ref="Q817:T817"/>
    <mergeCell ref="DC618:DG618"/>
    <mergeCell ref="AC761:AG761"/>
    <mergeCell ref="AO638:AS638"/>
    <mergeCell ref="QUO64:QWH64"/>
    <mergeCell ref="JNG59:JOZ63"/>
    <mergeCell ref="JXW59:JZP63"/>
    <mergeCell ref="DH626:DL626"/>
    <mergeCell ref="H301:M301"/>
    <mergeCell ref="E187:AE188"/>
    <mergeCell ref="AG441:AJ441"/>
    <mergeCell ref="W255:X255"/>
    <mergeCell ref="T783:W783"/>
    <mergeCell ref="J763:N763"/>
    <mergeCell ref="B520:H522"/>
    <mergeCell ref="V389:AJ389"/>
    <mergeCell ref="AG443:AJ443"/>
    <mergeCell ref="AH724:AL724"/>
    <mergeCell ref="Q558:S558"/>
    <mergeCell ref="Z635:AB635"/>
    <mergeCell ref="EDM64:EFF64"/>
    <mergeCell ref="G661:R661"/>
    <mergeCell ref="FLC64:FMV64"/>
    <mergeCell ref="AM560:AS560"/>
    <mergeCell ref="M238:AE238"/>
    <mergeCell ref="AA690:AK690"/>
    <mergeCell ref="CS608:CW608"/>
    <mergeCell ref="M640:P640"/>
    <mergeCell ref="AA267:AK267"/>
    <mergeCell ref="BHE88:BIX89"/>
    <mergeCell ref="A51:AT55"/>
    <mergeCell ref="N593:O593"/>
    <mergeCell ref="M27:Q27"/>
    <mergeCell ref="M818:P818"/>
    <mergeCell ref="O760:S760"/>
    <mergeCell ref="BAC59:BBV63"/>
    <mergeCell ref="X781:AB781"/>
    <mergeCell ref="AI325:AK325"/>
    <mergeCell ref="BX617:CB617"/>
    <mergeCell ref="DR633:DV633"/>
    <mergeCell ref="BX618:CB618"/>
    <mergeCell ref="AH514:AK514"/>
    <mergeCell ref="P583:R583"/>
    <mergeCell ref="T770:W773"/>
    <mergeCell ref="L276:AJ276"/>
    <mergeCell ref="CS610:CW610"/>
    <mergeCell ref="LK88:ND89"/>
    <mergeCell ref="AI301:AK301"/>
    <mergeCell ref="CC605:CG605"/>
    <mergeCell ref="AA584:AK584"/>
    <mergeCell ref="T399:AJ399"/>
    <mergeCell ref="Z672:AK672"/>
    <mergeCell ref="Q557:S557"/>
    <mergeCell ref="AG439:AJ439"/>
    <mergeCell ref="AC503:AK503"/>
    <mergeCell ref="WA88:XT89"/>
    <mergeCell ref="Z657:AE657"/>
    <mergeCell ref="AA339:AK339"/>
    <mergeCell ref="Q495:AK495"/>
    <mergeCell ref="WHW88:WJP89"/>
    <mergeCell ref="WEI64:WGB64"/>
    <mergeCell ref="C562:L562"/>
    <mergeCell ref="XBI64:XDB64"/>
    <mergeCell ref="BG609:BH609"/>
    <mergeCell ref="W865:AC865"/>
    <mergeCell ref="Q818:T818"/>
    <mergeCell ref="DC620:DG620"/>
    <mergeCell ref="M263:T263"/>
    <mergeCell ref="W831:AC831"/>
    <mergeCell ref="CVW88:CXP89"/>
    <mergeCell ref="HNY88:HPR89"/>
    <mergeCell ref="HYO88:IAH89"/>
    <mergeCell ref="CAQ64:CCJ64"/>
    <mergeCell ref="CLG64:CMZ64"/>
    <mergeCell ref="DC613:DG613"/>
    <mergeCell ref="AH709:AL709"/>
    <mergeCell ref="AC636:AE636"/>
    <mergeCell ref="DNO64:DPH64"/>
    <mergeCell ref="PJK88:PLD89"/>
    <mergeCell ref="NWM64:NYF64"/>
    <mergeCell ref="OHC64:OIV64"/>
    <mergeCell ref="VQE88:VRX89"/>
    <mergeCell ref="WAU88:WCN89"/>
    <mergeCell ref="W856:AC856"/>
    <mergeCell ref="RYQ64:SAJ64"/>
    <mergeCell ref="TQW64:TSP64"/>
    <mergeCell ref="OOE64:OPX64"/>
    <mergeCell ref="MZM64:NBF64"/>
    <mergeCell ref="DM629:DQ629"/>
    <mergeCell ref="GYA88:GZT89"/>
    <mergeCell ref="GUM88:GWF89"/>
    <mergeCell ref="KPO88:KRH89"/>
    <mergeCell ref="DC605:DG605"/>
    <mergeCell ref="QNM88:QPF89"/>
    <mergeCell ref="XDC59:XEV63"/>
    <mergeCell ref="CM604:CQ604"/>
    <mergeCell ref="CM631:CQ631"/>
    <mergeCell ref="AH704:AL704"/>
    <mergeCell ref="AC779:AG779"/>
    <mergeCell ref="BS606:BW606"/>
    <mergeCell ref="D991:AE991"/>
    <mergeCell ref="BK620:BL620"/>
    <mergeCell ref="O538:AA538"/>
    <mergeCell ref="N372:Q372"/>
    <mergeCell ref="BS608:BW608"/>
    <mergeCell ref="MSK64:MUD64"/>
    <mergeCell ref="NDA64:NET64"/>
    <mergeCell ref="AH543:AK543"/>
    <mergeCell ref="Z688:AK688"/>
    <mergeCell ref="VMQ64:VOJ64"/>
    <mergeCell ref="CAQ88:CCJ89"/>
    <mergeCell ref="CLG88:CMZ89"/>
    <mergeCell ref="MQQ59:MSJ63"/>
    <mergeCell ref="AH545:AK545"/>
    <mergeCell ref="BS609:BW609"/>
    <mergeCell ref="QJY64:QLR64"/>
    <mergeCell ref="KIM88:KKF89"/>
    <mergeCell ref="HDI59:HFB63"/>
    <mergeCell ref="HNY59:HPR63"/>
    <mergeCell ref="MNC88:MOV89"/>
    <mergeCell ref="DM606:DQ606"/>
    <mergeCell ref="DC611:DG611"/>
    <mergeCell ref="CC644:CG644"/>
    <mergeCell ref="W470:Y470"/>
    <mergeCell ref="Z571:AK571"/>
    <mergeCell ref="DM624:DQ624"/>
    <mergeCell ref="VXG64:VYZ64"/>
    <mergeCell ref="IJE59:IKX63"/>
    <mergeCell ref="AH509:AK509"/>
    <mergeCell ref="AG978:AH978"/>
    <mergeCell ref="K735:N735"/>
    <mergeCell ref="AM710:AO710"/>
    <mergeCell ref="O720:S720"/>
    <mergeCell ref="Q816:T816"/>
    <mergeCell ref="DH628:DL628"/>
    <mergeCell ref="BN647:BR647"/>
    <mergeCell ref="CH606:CL606"/>
    <mergeCell ref="AH505:AK505"/>
    <mergeCell ref="AH713:AL713"/>
    <mergeCell ref="STW88:SVP89"/>
    <mergeCell ref="F904:T904"/>
    <mergeCell ref="AJ973:AQ973"/>
    <mergeCell ref="AJ975:AQ975"/>
    <mergeCell ref="F960:L960"/>
    <mergeCell ref="U926:Z926"/>
    <mergeCell ref="AA910:AF910"/>
    <mergeCell ref="AA928:AF928"/>
    <mergeCell ref="AI557:AL557"/>
    <mergeCell ref="AA927:AF927"/>
    <mergeCell ref="MUE59:MVX63"/>
    <mergeCell ref="M817:P817"/>
    <mergeCell ref="AM736:AO736"/>
    <mergeCell ref="G679:R679"/>
    <mergeCell ref="KGS88:KIL89"/>
    <mergeCell ref="Y366:Z366"/>
    <mergeCell ref="FHO64:FJH64"/>
    <mergeCell ref="DH613:DL613"/>
    <mergeCell ref="BG601:BH601"/>
    <mergeCell ref="AG812:AJ812"/>
    <mergeCell ref="CC631:CG631"/>
    <mergeCell ref="O784:S784"/>
    <mergeCell ref="T760:W760"/>
    <mergeCell ref="Q814:T814"/>
    <mergeCell ref="PQM88:PSF89"/>
    <mergeCell ref="QBC88:QCV89"/>
    <mergeCell ref="T636:V636"/>
    <mergeCell ref="D479:Y481"/>
    <mergeCell ref="Q566:S566"/>
    <mergeCell ref="MCM88:MEF89"/>
    <mergeCell ref="LFM88:LHF89"/>
    <mergeCell ref="CC633:CG633"/>
    <mergeCell ref="AK634:AN634"/>
    <mergeCell ref="AA338:AK338"/>
    <mergeCell ref="DUQ88:DWJ89"/>
    <mergeCell ref="C748:AM755"/>
    <mergeCell ref="AF640:AJ640"/>
    <mergeCell ref="AH715:AL715"/>
    <mergeCell ref="P425:Q425"/>
    <mergeCell ref="L282:AD282"/>
    <mergeCell ref="AG741:AJ741"/>
    <mergeCell ref="B732:F732"/>
    <mergeCell ref="G725:J725"/>
    <mergeCell ref="Z680:AK680"/>
    <mergeCell ref="G708:J708"/>
    <mergeCell ref="T566:V566"/>
    <mergeCell ref="G647:R647"/>
    <mergeCell ref="CX618:DB618"/>
    <mergeCell ref="BE601:BF601"/>
    <mergeCell ref="BS601:BW601"/>
    <mergeCell ref="NWM88:NYF89"/>
    <mergeCell ref="TEM88:TGF89"/>
    <mergeCell ref="EVE88:EWX89"/>
    <mergeCell ref="PLE59:PMX63"/>
    <mergeCell ref="CH624:CL624"/>
    <mergeCell ref="CX622:DB622"/>
    <mergeCell ref="AH510:AK510"/>
    <mergeCell ref="DR604:DV604"/>
    <mergeCell ref="KUW64:KWP64"/>
    <mergeCell ref="BRU64:BTN64"/>
    <mergeCell ref="QGK64:QID64"/>
    <mergeCell ref="QRA64:QST64"/>
    <mergeCell ref="LYY64:MAR64"/>
    <mergeCell ref="PAO59:PCH63"/>
    <mergeCell ref="PQM59:PSF63"/>
    <mergeCell ref="QBC59:QCV63"/>
    <mergeCell ref="LAE64:LBX64"/>
    <mergeCell ref="CM612:CQ612"/>
    <mergeCell ref="Q496:AK496"/>
    <mergeCell ref="NEU59:NGN63"/>
    <mergeCell ref="AA301:AF301"/>
    <mergeCell ref="OHC88:OIV89"/>
    <mergeCell ref="POS59:PQL63"/>
    <mergeCell ref="KEY59:KGR63"/>
    <mergeCell ref="KPO59:KRH63"/>
    <mergeCell ref="EYS88:FAL89"/>
    <mergeCell ref="DCY59:DER63"/>
    <mergeCell ref="FJI88:FLB89"/>
    <mergeCell ref="MAS59:MCL63"/>
    <mergeCell ref="T845:V845"/>
    <mergeCell ref="CX607:DB607"/>
    <mergeCell ref="B493:P494"/>
    <mergeCell ref="Q810:T811"/>
    <mergeCell ref="VXG88:VYZ89"/>
    <mergeCell ref="UWS88:UYL89"/>
    <mergeCell ref="UFA88:UGT89"/>
    <mergeCell ref="CH623:CL623"/>
    <mergeCell ref="GCU59:GEN63"/>
    <mergeCell ref="GNK59:GPD63"/>
    <mergeCell ref="AI393:AJ393"/>
    <mergeCell ref="DR618:DV618"/>
    <mergeCell ref="FCG88:FDZ89"/>
    <mergeCell ref="N617:O617"/>
    <mergeCell ref="A68:AT70"/>
    <mergeCell ref="CM615:CQ615"/>
    <mergeCell ref="VFO64:VHH64"/>
    <mergeCell ref="UDG88:UEZ89"/>
    <mergeCell ref="TSQ64:TUJ64"/>
    <mergeCell ref="M245:AE245"/>
    <mergeCell ref="AF629:AJ629"/>
    <mergeCell ref="RPU88:RRN89"/>
    <mergeCell ref="AA316:AK316"/>
    <mergeCell ref="AA342:AF342"/>
    <mergeCell ref="MSK88:MUD89"/>
    <mergeCell ref="P341:R341"/>
    <mergeCell ref="DH610:DL610"/>
    <mergeCell ref="BS602:BW602"/>
    <mergeCell ref="VFO59:VHH63"/>
    <mergeCell ref="VTS64:VVL64"/>
    <mergeCell ref="UFA59:UGT63"/>
    <mergeCell ref="PSG59:PTZ63"/>
    <mergeCell ref="M265:R265"/>
    <mergeCell ref="WCO59:WEH63"/>
    <mergeCell ref="EKO59:EMH63"/>
    <mergeCell ref="W563:Y563"/>
    <mergeCell ref="D1072:AP1073"/>
    <mergeCell ref="JUI88:JWB89"/>
    <mergeCell ref="KEY88:KGR89"/>
    <mergeCell ref="BE617:BF617"/>
    <mergeCell ref="DR628:DV628"/>
    <mergeCell ref="ERQ64:ETJ64"/>
    <mergeCell ref="CX609:DB609"/>
    <mergeCell ref="AI561:AL561"/>
    <mergeCell ref="AI681:AK681"/>
    <mergeCell ref="Q636:S636"/>
    <mergeCell ref="A231:AT232"/>
    <mergeCell ref="M246:AE246"/>
    <mergeCell ref="AI560:AL560"/>
    <mergeCell ref="AGQ88:AIJ89"/>
    <mergeCell ref="BE619:BF619"/>
    <mergeCell ref="M248:AE248"/>
    <mergeCell ref="UUY64:UWR64"/>
    <mergeCell ref="AH525:AK525"/>
    <mergeCell ref="BX629:CB629"/>
    <mergeCell ref="W565:Y565"/>
    <mergeCell ref="RVC64:RWV64"/>
    <mergeCell ref="BN640:BR640"/>
    <mergeCell ref="BK600:BL600"/>
    <mergeCell ref="AH737:AL737"/>
    <mergeCell ref="ISA88:ITT89"/>
    <mergeCell ref="JCQ88:JEJ89"/>
    <mergeCell ref="AA918:AF918"/>
    <mergeCell ref="U919:Z919"/>
    <mergeCell ref="BN609:BR609"/>
    <mergeCell ref="Z582:AK582"/>
    <mergeCell ref="C638:L638"/>
    <mergeCell ref="BE609:BF609"/>
    <mergeCell ref="WWA88:WXT89"/>
    <mergeCell ref="FAM59:FCF63"/>
    <mergeCell ref="Z435:AA435"/>
    <mergeCell ref="AD413:AE413"/>
    <mergeCell ref="CM633:CQ633"/>
    <mergeCell ref="ADC88:AEV89"/>
    <mergeCell ref="T728:X728"/>
    <mergeCell ref="VHI88:VJB89"/>
    <mergeCell ref="G612:R612"/>
    <mergeCell ref="PUA64:PVT64"/>
    <mergeCell ref="M262:AE262"/>
    <mergeCell ref="G605:R605"/>
    <mergeCell ref="PUA88:PVT89"/>
    <mergeCell ref="QEQ88:QGJ89"/>
    <mergeCell ref="DES88:DGL89"/>
    <mergeCell ref="H658:R658"/>
    <mergeCell ref="UBM64:UDF64"/>
    <mergeCell ref="AA329:AK329"/>
    <mergeCell ref="TUK64:TWD64"/>
    <mergeCell ref="HKK64:HMD64"/>
    <mergeCell ref="WLK64:WND64"/>
    <mergeCell ref="CS622:CW622"/>
    <mergeCell ref="BG620:BH620"/>
    <mergeCell ref="AE560:AH560"/>
    <mergeCell ref="BS600:BW600"/>
    <mergeCell ref="D473:V473"/>
    <mergeCell ref="PHQ59:PJJ63"/>
    <mergeCell ref="Z265:AE265"/>
    <mergeCell ref="B729:F729"/>
    <mergeCell ref="Q639:S639"/>
    <mergeCell ref="AM729:AO729"/>
    <mergeCell ref="AI293:AK293"/>
    <mergeCell ref="Z605:AK605"/>
    <mergeCell ref="Z626:AB628"/>
    <mergeCell ref="AD378:AE378"/>
    <mergeCell ref="Q626:S628"/>
    <mergeCell ref="M638:P638"/>
    <mergeCell ref="W632:Y632"/>
    <mergeCell ref="N683:O683"/>
    <mergeCell ref="DR624:DV624"/>
    <mergeCell ref="H289:R289"/>
    <mergeCell ref="CH643:CL643"/>
    <mergeCell ref="AH517:AK517"/>
    <mergeCell ref="Y180:Z180"/>
    <mergeCell ref="BG604:BH604"/>
    <mergeCell ref="AA658:AK658"/>
    <mergeCell ref="P419:R419"/>
    <mergeCell ref="AC540:AF540"/>
    <mergeCell ref="BK601:BL601"/>
    <mergeCell ref="J368:K368"/>
    <mergeCell ref="M242:AE242"/>
    <mergeCell ref="H343:R343"/>
    <mergeCell ref="AO631:AS631"/>
    <mergeCell ref="BX604:CB604"/>
    <mergeCell ref="BE628:BF628"/>
    <mergeCell ref="CX620:DB620"/>
    <mergeCell ref="Z580:AK580"/>
    <mergeCell ref="W559:Y559"/>
    <mergeCell ref="CC646:CG646"/>
    <mergeCell ref="AC545:AF545"/>
    <mergeCell ref="TAY64:TCR64"/>
    <mergeCell ref="TLO64:TNH64"/>
    <mergeCell ref="Y721:AB721"/>
    <mergeCell ref="B643:AN643"/>
    <mergeCell ref="AA340:AK340"/>
    <mergeCell ref="U928:Z928"/>
    <mergeCell ref="O156:AH156"/>
    <mergeCell ref="BS619:BW619"/>
    <mergeCell ref="Z573:AK573"/>
    <mergeCell ref="K736:N736"/>
    <mergeCell ref="Z562:AD562"/>
    <mergeCell ref="T640:V640"/>
    <mergeCell ref="Y705:AB705"/>
    <mergeCell ref="AC721:AG721"/>
    <mergeCell ref="F912:T912"/>
    <mergeCell ref="AM714:AO714"/>
    <mergeCell ref="AM563:AS563"/>
    <mergeCell ref="U813:X813"/>
    <mergeCell ref="K405:AJ405"/>
    <mergeCell ref="AC513:AF513"/>
    <mergeCell ref="W474:Y474"/>
    <mergeCell ref="O707:S707"/>
    <mergeCell ref="T719:X719"/>
    <mergeCell ref="K718:N718"/>
    <mergeCell ref="BS640:BW640"/>
    <mergeCell ref="CC624:CG624"/>
    <mergeCell ref="Q492:AK492"/>
    <mergeCell ref="MUE88:MVX89"/>
    <mergeCell ref="UG64:VZ64"/>
    <mergeCell ref="BKS64:BML64"/>
    <mergeCell ref="DYE88:DZX89"/>
    <mergeCell ref="H415:AJ416"/>
    <mergeCell ref="PQM64:PSF64"/>
    <mergeCell ref="H333:M333"/>
    <mergeCell ref="AJ1029:AQ1029"/>
    <mergeCell ref="H295:R295"/>
    <mergeCell ref="DR627:DV627"/>
    <mergeCell ref="GWG88:GXZ89"/>
    <mergeCell ref="J782:N782"/>
    <mergeCell ref="GLQ64:GNJ64"/>
    <mergeCell ref="GWG64:GXZ64"/>
    <mergeCell ref="BE626:BF626"/>
    <mergeCell ref="BG618:BH618"/>
    <mergeCell ref="BX627:CB627"/>
    <mergeCell ref="Y787:AC787"/>
    <mergeCell ref="DM616:DQ616"/>
    <mergeCell ref="M810:P811"/>
    <mergeCell ref="CS624:CW624"/>
    <mergeCell ref="M558:P558"/>
    <mergeCell ref="AC777:AG777"/>
    <mergeCell ref="AA576:AK576"/>
    <mergeCell ref="V382:W382"/>
    <mergeCell ref="DPI88:DRB89"/>
    <mergeCell ref="DC632:DG632"/>
    <mergeCell ref="HFC88:HGV89"/>
    <mergeCell ref="W844:AC844"/>
    <mergeCell ref="D996:AE996"/>
    <mergeCell ref="AP884:AS884"/>
    <mergeCell ref="Y815:AB815"/>
    <mergeCell ref="W862:AC862"/>
    <mergeCell ref="D442:AF442"/>
    <mergeCell ref="CC643:CG643"/>
    <mergeCell ref="CX630:DB630"/>
    <mergeCell ref="AA955:AG955"/>
    <mergeCell ref="UKI59:UMB63"/>
    <mergeCell ref="CS623:CW623"/>
    <mergeCell ref="B726:F726"/>
    <mergeCell ref="H317:M317"/>
    <mergeCell ref="BN643:BR643"/>
    <mergeCell ref="U904:Z904"/>
    <mergeCell ref="HGW64:HIP64"/>
    <mergeCell ref="Z646:AK646"/>
    <mergeCell ref="BK606:BL606"/>
    <mergeCell ref="ORS59:OTL63"/>
    <mergeCell ref="SOO59:SQH63"/>
    <mergeCell ref="SZE59:TAX63"/>
    <mergeCell ref="H321:R321"/>
    <mergeCell ref="QBC64:QCV64"/>
    <mergeCell ref="GUM59:GWF63"/>
    <mergeCell ref="HFC59:HGV63"/>
    <mergeCell ref="D471:V471"/>
    <mergeCell ref="AE561:AH561"/>
    <mergeCell ref="Z648:AK648"/>
    <mergeCell ref="Q631:S631"/>
    <mergeCell ref="W631:Y631"/>
    <mergeCell ref="Z649:AE649"/>
    <mergeCell ref="BX649:CB649"/>
    <mergeCell ref="Z673:AE673"/>
    <mergeCell ref="DM608:DQ608"/>
    <mergeCell ref="AK633:AN633"/>
    <mergeCell ref="Z629:AB629"/>
    <mergeCell ref="ROA88:RPT89"/>
    <mergeCell ref="AA241:AK241"/>
    <mergeCell ref="Y211:Z211"/>
    <mergeCell ref="CX615:DB615"/>
    <mergeCell ref="AC527:AF527"/>
    <mergeCell ref="OXA64:OYT64"/>
    <mergeCell ref="CH621:CL621"/>
    <mergeCell ref="BI612:BJ612"/>
    <mergeCell ref="AA911:AF911"/>
    <mergeCell ref="F916:T916"/>
    <mergeCell ref="DC617:DG617"/>
    <mergeCell ref="BN627:BR627"/>
    <mergeCell ref="RWW88:RYP89"/>
    <mergeCell ref="RKM59:RMF63"/>
    <mergeCell ref="AC722:AG722"/>
    <mergeCell ref="W561:Y561"/>
    <mergeCell ref="BN611:BR611"/>
    <mergeCell ref="AA306:AK306"/>
    <mergeCell ref="Z565:AD565"/>
    <mergeCell ref="W866:AC866"/>
    <mergeCell ref="CX634:DB634"/>
    <mergeCell ref="OBU64:ODN64"/>
    <mergeCell ref="AC516:AF516"/>
    <mergeCell ref="T762:W762"/>
    <mergeCell ref="AC814:AF814"/>
    <mergeCell ref="W162:X162"/>
    <mergeCell ref="DLU64:DNN64"/>
    <mergeCell ref="CCK88:CED89"/>
    <mergeCell ref="MHU59:MJN63"/>
    <mergeCell ref="U174:V174"/>
    <mergeCell ref="BS628:BW628"/>
    <mergeCell ref="HME88:HNX89"/>
    <mergeCell ref="IAI59:ICB63"/>
    <mergeCell ref="BN638:BR638"/>
    <mergeCell ref="CX623:DB623"/>
    <mergeCell ref="O529:AA529"/>
    <mergeCell ref="O523:AA523"/>
    <mergeCell ref="NYG64:NZZ64"/>
    <mergeCell ref="AC723:AG723"/>
    <mergeCell ref="FCG59:FDZ63"/>
    <mergeCell ref="F914:T914"/>
    <mergeCell ref="AJ1000:AQ1003"/>
    <mergeCell ref="D1020:AE1020"/>
    <mergeCell ref="AC511:AF511"/>
    <mergeCell ref="CM634:CQ634"/>
    <mergeCell ref="G734:J734"/>
    <mergeCell ref="J764:N764"/>
    <mergeCell ref="Z560:AD560"/>
    <mergeCell ref="T638:V638"/>
    <mergeCell ref="W639:Y639"/>
    <mergeCell ref="G735:J735"/>
    <mergeCell ref="D1017:AE1019"/>
    <mergeCell ref="BN614:BR614"/>
    <mergeCell ref="M816:P816"/>
    <mergeCell ref="AH535:AK535"/>
    <mergeCell ref="AA309:AF309"/>
    <mergeCell ref="BI610:BJ610"/>
    <mergeCell ref="DM627:DQ627"/>
    <mergeCell ref="DC630:DG630"/>
    <mergeCell ref="M819:P819"/>
    <mergeCell ref="O699:S702"/>
    <mergeCell ref="AUU64:AWN64"/>
    <mergeCell ref="U927:Z927"/>
    <mergeCell ref="AA953:AG953"/>
    <mergeCell ref="AJ974:AQ974"/>
    <mergeCell ref="D472:V472"/>
    <mergeCell ref="AE562:AH562"/>
    <mergeCell ref="GC59:HV63"/>
    <mergeCell ref="EDM59:EFF63"/>
    <mergeCell ref="A1068:B1068"/>
    <mergeCell ref="BN622:BR622"/>
    <mergeCell ref="AH542:AK542"/>
    <mergeCell ref="G581:R581"/>
    <mergeCell ref="BK624:BL624"/>
    <mergeCell ref="KMA88:KNT89"/>
    <mergeCell ref="KWQ88:KYJ89"/>
    <mergeCell ref="EYS64:FAL64"/>
    <mergeCell ref="FJI64:FLB64"/>
    <mergeCell ref="DH624:DL624"/>
    <mergeCell ref="M833:V833"/>
    <mergeCell ref="C812:H812"/>
    <mergeCell ref="Y814:AB814"/>
    <mergeCell ref="M958:S958"/>
    <mergeCell ref="F901:T901"/>
    <mergeCell ref="D984:AE984"/>
    <mergeCell ref="I393:N393"/>
    <mergeCell ref="P301:R301"/>
    <mergeCell ref="O783:S783"/>
    <mergeCell ref="Z631:AB631"/>
    <mergeCell ref="I935:T935"/>
    <mergeCell ref="J760:N760"/>
    <mergeCell ref="O770:S773"/>
    <mergeCell ref="U914:Z914"/>
    <mergeCell ref="B736:F736"/>
    <mergeCell ref="A1050:B1050"/>
    <mergeCell ref="AC724:AG724"/>
    <mergeCell ref="Z564:AD564"/>
    <mergeCell ref="A1041:AT1041"/>
    <mergeCell ref="BN604:BR604"/>
    <mergeCell ref="DH630:DL630"/>
    <mergeCell ref="T280:V280"/>
    <mergeCell ref="AG1025:AH1025"/>
    <mergeCell ref="AH544:AK544"/>
    <mergeCell ref="M557:P557"/>
    <mergeCell ref="DR615:DV615"/>
    <mergeCell ref="A964:AT965"/>
    <mergeCell ref="U817:X817"/>
    <mergeCell ref="N667:O667"/>
    <mergeCell ref="AA291:AK291"/>
    <mergeCell ref="AC778:AG778"/>
    <mergeCell ref="B738:F738"/>
    <mergeCell ref="P347:Z347"/>
    <mergeCell ref="W237:X237"/>
    <mergeCell ref="Z796:AE796"/>
    <mergeCell ref="DUQ64:DWJ64"/>
    <mergeCell ref="MJO88:MLH89"/>
    <mergeCell ref="MJO64:MLH64"/>
    <mergeCell ref="BX653:CB653"/>
    <mergeCell ref="F911:T911"/>
    <mergeCell ref="BN629:BR629"/>
    <mergeCell ref="DC619:DG619"/>
    <mergeCell ref="BS620:BW620"/>
    <mergeCell ref="AG1016:AH1016"/>
    <mergeCell ref="T713:X713"/>
    <mergeCell ref="B727:F727"/>
    <mergeCell ref="AG440:AJ440"/>
    <mergeCell ref="AH712:AL712"/>
    <mergeCell ref="L279:AD279"/>
    <mergeCell ref="O781:S781"/>
    <mergeCell ref="T715:X715"/>
    <mergeCell ref="AA908:AF908"/>
    <mergeCell ref="W842:AC842"/>
    <mergeCell ref="AH730:AL730"/>
    <mergeCell ref="A9:AT9"/>
    <mergeCell ref="BN648:BR648"/>
    <mergeCell ref="M564:P564"/>
    <mergeCell ref="DRC64:DSV64"/>
    <mergeCell ref="EBS64:EDL64"/>
    <mergeCell ref="DM618:DQ618"/>
    <mergeCell ref="MQQ88:MSJ89"/>
    <mergeCell ref="BK608:BL608"/>
    <mergeCell ref="BK633:BL633"/>
    <mergeCell ref="GSS64:GUL64"/>
    <mergeCell ref="HDI64:HFB64"/>
    <mergeCell ref="A11:AT11"/>
    <mergeCell ref="BBW88:BDP89"/>
    <mergeCell ref="LRW59:LTP63"/>
    <mergeCell ref="LHG59:LIZ63"/>
    <mergeCell ref="O526:AA526"/>
    <mergeCell ref="Z554:AD556"/>
    <mergeCell ref="M639:P639"/>
    <mergeCell ref="JEK59:JGD63"/>
    <mergeCell ref="AC637:AE637"/>
    <mergeCell ref="W469:Y469"/>
    <mergeCell ref="AE431:AF431"/>
    <mergeCell ref="BS626:BW626"/>
    <mergeCell ref="KDE64:KEX64"/>
    <mergeCell ref="CS621:CW621"/>
    <mergeCell ref="AF637:AJ637"/>
    <mergeCell ref="EFG88:EGZ89"/>
    <mergeCell ref="AC635:AE635"/>
    <mergeCell ref="FFU64:FHN64"/>
    <mergeCell ref="AE559:AH559"/>
    <mergeCell ref="BK635:BL635"/>
    <mergeCell ref="CC626:CG626"/>
    <mergeCell ref="WSM64:WUF64"/>
    <mergeCell ref="SSC88:STV89"/>
    <mergeCell ref="TCS88:TEL89"/>
    <mergeCell ref="G611:R611"/>
    <mergeCell ref="LFM64:LHF64"/>
    <mergeCell ref="MXS64:MZL64"/>
    <mergeCell ref="A694:AT696"/>
    <mergeCell ref="AC704:AG704"/>
    <mergeCell ref="BI625:BJ625"/>
    <mergeCell ref="O733:S733"/>
    <mergeCell ref="AM733:AO733"/>
    <mergeCell ref="BI627:BJ627"/>
    <mergeCell ref="GLQ88:GNJ89"/>
    <mergeCell ref="WHW64:WJP64"/>
    <mergeCell ref="BX628:CB628"/>
    <mergeCell ref="Z566:AD566"/>
    <mergeCell ref="B710:F710"/>
    <mergeCell ref="A59:AT64"/>
    <mergeCell ref="VDU88:VFN89"/>
    <mergeCell ref="VOK88:VQD89"/>
    <mergeCell ref="UNW59:UPP63"/>
    <mergeCell ref="WAU59:WCN63"/>
    <mergeCell ref="CM650:CQ650"/>
    <mergeCell ref="G706:J706"/>
    <mergeCell ref="C629:L629"/>
    <mergeCell ref="VOK59:VQD63"/>
    <mergeCell ref="CUC59:CVV63"/>
    <mergeCell ref="Q640:S640"/>
    <mergeCell ref="Z679:AK679"/>
    <mergeCell ref="K727:N727"/>
    <mergeCell ref="Q638:S638"/>
    <mergeCell ref="C117:K117"/>
    <mergeCell ref="A1079:B1079"/>
    <mergeCell ref="DM620:DQ620"/>
    <mergeCell ref="AA906:AF906"/>
    <mergeCell ref="D470:V470"/>
    <mergeCell ref="L941:S941"/>
    <mergeCell ref="AJ1020:AQ1024"/>
    <mergeCell ref="Z670:AK670"/>
    <mergeCell ref="Z805:AE805"/>
    <mergeCell ref="R973:AA973"/>
    <mergeCell ref="O159:AH159"/>
    <mergeCell ref="G587:R587"/>
    <mergeCell ref="CC613:CG613"/>
    <mergeCell ref="AC218:AM218"/>
    <mergeCell ref="C640:L640"/>
    <mergeCell ref="CH652:CL652"/>
    <mergeCell ref="Q391:U391"/>
    <mergeCell ref="T734:X734"/>
    <mergeCell ref="Z671:AK671"/>
    <mergeCell ref="AA933:AF933"/>
    <mergeCell ref="BS624:BW624"/>
    <mergeCell ref="CC606:CG606"/>
    <mergeCell ref="D1029:AI1029"/>
    <mergeCell ref="AG1004:AH1004"/>
    <mergeCell ref="AO637:AS637"/>
    <mergeCell ref="BG617:BH617"/>
    <mergeCell ref="R971:AA971"/>
    <mergeCell ref="DC610:DG610"/>
    <mergeCell ref="BN602:BR602"/>
    <mergeCell ref="BE610:BF610"/>
    <mergeCell ref="D440:AF440"/>
    <mergeCell ref="Z583:AE583"/>
    <mergeCell ref="AC514:AF514"/>
    <mergeCell ref="UDG59:UEZ63"/>
    <mergeCell ref="AC705:AG705"/>
    <mergeCell ref="GLQ59:GNJ63"/>
    <mergeCell ref="Q562:S562"/>
    <mergeCell ref="BG635:BH635"/>
    <mergeCell ref="AA323:AK323"/>
    <mergeCell ref="Y730:AB730"/>
    <mergeCell ref="HWU59:HYN63"/>
    <mergeCell ref="IHK59:IJD63"/>
    <mergeCell ref="W204:AB204"/>
    <mergeCell ref="Z613:AK613"/>
    <mergeCell ref="Z249:AE249"/>
    <mergeCell ref="PSG64:PTZ64"/>
    <mergeCell ref="AH531:AK531"/>
    <mergeCell ref="JQ59:LJ63"/>
    <mergeCell ref="JPA59:JQT63"/>
    <mergeCell ref="EYS59:FAL63"/>
    <mergeCell ref="G579:R579"/>
    <mergeCell ref="AM711:AO711"/>
    <mergeCell ref="AG391:AJ391"/>
    <mergeCell ref="AM709:AO709"/>
    <mergeCell ref="T629:V629"/>
    <mergeCell ref="DM605:DQ605"/>
    <mergeCell ref="BX645:CB645"/>
    <mergeCell ref="CS632:CW632"/>
    <mergeCell ref="AH710:AL710"/>
    <mergeCell ref="AG438:AJ438"/>
    <mergeCell ref="BN659:BR659"/>
    <mergeCell ref="MSK59:MUD63"/>
    <mergeCell ref="AC709:AG709"/>
    <mergeCell ref="H334:M334"/>
    <mergeCell ref="DNO59:DPH63"/>
    <mergeCell ref="WOY64:WQR64"/>
    <mergeCell ref="WZO64:XBH64"/>
    <mergeCell ref="AA333:AF333"/>
    <mergeCell ref="BI629:BJ629"/>
    <mergeCell ref="T626:V628"/>
    <mergeCell ref="Q637:S637"/>
    <mergeCell ref="G686:R686"/>
    <mergeCell ref="AO634:AS634"/>
    <mergeCell ref="AYI88:BAB89"/>
    <mergeCell ref="BIY88:BKR89"/>
    <mergeCell ref="C636:L636"/>
    <mergeCell ref="AH522:AK522"/>
    <mergeCell ref="OPY59:ORR63"/>
    <mergeCell ref="K719:N719"/>
    <mergeCell ref="AM725:AO725"/>
    <mergeCell ref="AYI64:BAB64"/>
    <mergeCell ref="FQK64:FSD64"/>
    <mergeCell ref="WSM88:WUF89"/>
    <mergeCell ref="G574:R574"/>
    <mergeCell ref="M359:N359"/>
    <mergeCell ref="AA289:AK289"/>
    <mergeCell ref="NLW59:NNP63"/>
    <mergeCell ref="UMC59:UNV63"/>
    <mergeCell ref="UWS59:UYL63"/>
    <mergeCell ref="SFS59:SHL63"/>
    <mergeCell ref="O704:S704"/>
    <mergeCell ref="IDW59:IFP63"/>
    <mergeCell ref="M632:P632"/>
    <mergeCell ref="JWC59:JXV63"/>
    <mergeCell ref="AK631:AN631"/>
    <mergeCell ref="AI607:AK607"/>
    <mergeCell ref="PHQ64:PJJ64"/>
    <mergeCell ref="XEW64:XFD64"/>
    <mergeCell ref="N577:O577"/>
    <mergeCell ref="NE59:OX63"/>
    <mergeCell ref="K723:N723"/>
    <mergeCell ref="D272:H272"/>
    <mergeCell ref="VKW64:VMP64"/>
    <mergeCell ref="VVM64:VXF64"/>
    <mergeCell ref="K717:N717"/>
    <mergeCell ref="DSW64:DUP64"/>
    <mergeCell ref="XDC88:XEV89"/>
    <mergeCell ref="VDU64:VFN64"/>
    <mergeCell ref="TJU59:TLN63"/>
    <mergeCell ref="RTI64:RVB64"/>
    <mergeCell ref="BOG64:BPZ64"/>
    <mergeCell ref="BYW64:CAP64"/>
    <mergeCell ref="JQ88:LJ89"/>
    <mergeCell ref="TIA64:TJT64"/>
    <mergeCell ref="FTY59:FVR63"/>
    <mergeCell ref="GEO59:GGH63"/>
    <mergeCell ref="DM603:DQ603"/>
    <mergeCell ref="AO629:AS629"/>
    <mergeCell ref="A85:AT86"/>
    <mergeCell ref="BI614:BJ614"/>
    <mergeCell ref="KNU64:KPN64"/>
    <mergeCell ref="AM565:AS565"/>
    <mergeCell ref="Z589:AK589"/>
    <mergeCell ref="NUS64:NWL64"/>
    <mergeCell ref="BS639:BW639"/>
    <mergeCell ref="DCY88:DER89"/>
    <mergeCell ref="BN628:BR628"/>
    <mergeCell ref="M566:P566"/>
    <mergeCell ref="NWM59:NYF63"/>
    <mergeCell ref="VRY64:VTR64"/>
    <mergeCell ref="SSC64:STV64"/>
    <mergeCell ref="TPC64:TQV64"/>
    <mergeCell ref="BX652:CB652"/>
    <mergeCell ref="BX646:CB646"/>
    <mergeCell ref="G572:R572"/>
    <mergeCell ref="A34:AT37"/>
    <mergeCell ref="BI616:BJ616"/>
    <mergeCell ref="AC525:AF525"/>
    <mergeCell ref="H303:R303"/>
    <mergeCell ref="LDS64:LFL64"/>
    <mergeCell ref="AG818:AJ818"/>
    <mergeCell ref="BS637:BW637"/>
    <mergeCell ref="U906:Z906"/>
    <mergeCell ref="G656:R656"/>
    <mergeCell ref="OFI64:OHB64"/>
    <mergeCell ref="L278:S278"/>
    <mergeCell ref="ARG59:ASZ63"/>
    <mergeCell ref="BBW59:BDP63"/>
    <mergeCell ref="G599:L599"/>
    <mergeCell ref="O705:S705"/>
    <mergeCell ref="AM707:AO707"/>
    <mergeCell ref="Z685:AK685"/>
    <mergeCell ref="N371:Q371"/>
    <mergeCell ref="NBG59:NCZ63"/>
    <mergeCell ref="O535:AA535"/>
    <mergeCell ref="AH703:AL703"/>
    <mergeCell ref="DKA59:DLT63"/>
    <mergeCell ref="DUQ59:DWJ63"/>
    <mergeCell ref="N374:AF375"/>
    <mergeCell ref="Y729:AB729"/>
    <mergeCell ref="BX647:CB647"/>
    <mergeCell ref="PXO64:PZH64"/>
    <mergeCell ref="QIE64:QJX64"/>
    <mergeCell ref="BG624:BH624"/>
    <mergeCell ref="R969:AA969"/>
    <mergeCell ref="CS626:CW626"/>
    <mergeCell ref="TIA88:TJT89"/>
    <mergeCell ref="TSQ88:TUJ89"/>
    <mergeCell ref="PAO88:PCH89"/>
    <mergeCell ref="BIY64:BKR64"/>
    <mergeCell ref="CH612:CL612"/>
    <mergeCell ref="JNG88:JOZ89"/>
    <mergeCell ref="D438:AF438"/>
    <mergeCell ref="CC608:CG608"/>
    <mergeCell ref="AC507:AF507"/>
    <mergeCell ref="Z656:AK656"/>
    <mergeCell ref="U917:Z917"/>
    <mergeCell ref="W854:AC854"/>
    <mergeCell ref="Q813:T813"/>
    <mergeCell ref="O717:S717"/>
    <mergeCell ref="CH646:CL646"/>
    <mergeCell ref="N675:O675"/>
    <mergeCell ref="K708:N708"/>
    <mergeCell ref="G729:J729"/>
    <mergeCell ref="G712:J712"/>
    <mergeCell ref="CS611:CW611"/>
    <mergeCell ref="CS634:CW634"/>
    <mergeCell ref="BI607:BJ607"/>
    <mergeCell ref="NYG88:NZZ89"/>
    <mergeCell ref="J778:N778"/>
    <mergeCell ref="J762:N762"/>
    <mergeCell ref="X779:AB779"/>
    <mergeCell ref="U815:X815"/>
    <mergeCell ref="QSU88:QUN89"/>
    <mergeCell ref="RDK88:RFD89"/>
    <mergeCell ref="Q554:S556"/>
    <mergeCell ref="AI559:AL559"/>
    <mergeCell ref="CX601:DB601"/>
    <mergeCell ref="G736:J736"/>
    <mergeCell ref="E369:AH370"/>
    <mergeCell ref="AC544:AF544"/>
    <mergeCell ref="K734:N734"/>
    <mergeCell ref="T732:X732"/>
    <mergeCell ref="AG394:AJ394"/>
    <mergeCell ref="IJE88:IKX89"/>
    <mergeCell ref="GC88:HV89"/>
    <mergeCell ref="VVM88:VXF89"/>
    <mergeCell ref="BK599:BL599"/>
    <mergeCell ref="AO635:AS635"/>
    <mergeCell ref="O761:S761"/>
    <mergeCell ref="H310:M310"/>
    <mergeCell ref="B734:F734"/>
    <mergeCell ref="TAY88:TCR89"/>
    <mergeCell ref="TLO88:TNH89"/>
    <mergeCell ref="K724:N724"/>
    <mergeCell ref="B730:F730"/>
    <mergeCell ref="CC637:CG637"/>
    <mergeCell ref="P204:U204"/>
    <mergeCell ref="BN600:BR600"/>
    <mergeCell ref="DH614:DL614"/>
    <mergeCell ref="G689:L689"/>
    <mergeCell ref="AC760:AG760"/>
    <mergeCell ref="AM727:AO727"/>
    <mergeCell ref="CS602:CW602"/>
    <mergeCell ref="BG600:BH600"/>
    <mergeCell ref="SZE88:TAX89"/>
    <mergeCell ref="DH625:DL625"/>
    <mergeCell ref="NLW64:NNP64"/>
    <mergeCell ref="WHW59:WJP63"/>
    <mergeCell ref="EFG59:EGZ63"/>
    <mergeCell ref="EPW59:ERP63"/>
    <mergeCell ref="AA957:AG957"/>
    <mergeCell ref="DH618:DL618"/>
    <mergeCell ref="H308:R308"/>
    <mergeCell ref="P649:R649"/>
    <mergeCell ref="JAW88:JCP89"/>
    <mergeCell ref="Y709:AB709"/>
    <mergeCell ref="G717:J717"/>
    <mergeCell ref="X760:AB760"/>
    <mergeCell ref="UUY88:UWR89"/>
    <mergeCell ref="VFO88:VHH89"/>
    <mergeCell ref="SOO64:SQH64"/>
    <mergeCell ref="W855:AC855"/>
    <mergeCell ref="AC877:AH877"/>
    <mergeCell ref="A102:AT105"/>
    <mergeCell ref="H325:M325"/>
    <mergeCell ref="C739:AH740"/>
    <mergeCell ref="BE616:BF616"/>
    <mergeCell ref="SM64:UF64"/>
    <mergeCell ref="IOM59:IQF63"/>
    <mergeCell ref="AH699:AL702"/>
    <mergeCell ref="SDY88:SFR89"/>
    <mergeCell ref="G573:R573"/>
    <mergeCell ref="AG392:AJ392"/>
    <mergeCell ref="MGA64:MHT64"/>
    <mergeCell ref="MQQ64:MSJ64"/>
    <mergeCell ref="GCU88:GEN89"/>
    <mergeCell ref="AJ1009:AQ1012"/>
    <mergeCell ref="AA934:AF934"/>
    <mergeCell ref="U925:Z925"/>
    <mergeCell ref="AG810:AJ811"/>
    <mergeCell ref="K714:N714"/>
    <mergeCell ref="Q394:U394"/>
    <mergeCell ref="AH738:AL738"/>
    <mergeCell ref="Q392:U392"/>
    <mergeCell ref="AH533:AK533"/>
    <mergeCell ref="D997:AE997"/>
    <mergeCell ref="BYW88:CAP89"/>
    <mergeCell ref="DBE88:DCX89"/>
    <mergeCell ref="CM644:CQ644"/>
    <mergeCell ref="CH637:CL637"/>
    <mergeCell ref="AO643:AS643"/>
    <mergeCell ref="Z638:AB638"/>
    <mergeCell ref="J775:N775"/>
    <mergeCell ref="AC729:AG729"/>
    <mergeCell ref="AF1007:AI1008"/>
    <mergeCell ref="W864:AC864"/>
    <mergeCell ref="AE946:AK946"/>
    <mergeCell ref="AJ976:AQ976"/>
    <mergeCell ref="AM738:AO738"/>
    <mergeCell ref="AF639:AJ639"/>
    <mergeCell ref="AC756:AG759"/>
    <mergeCell ref="M261:AE261"/>
    <mergeCell ref="K716:N716"/>
    <mergeCell ref="K715:N715"/>
    <mergeCell ref="BX605:CB605"/>
    <mergeCell ref="BX599:CB599"/>
    <mergeCell ref="BE611:BF611"/>
    <mergeCell ref="CX603:DB603"/>
    <mergeCell ref="BFK64:BHD64"/>
    <mergeCell ref="NSY88:NUR89"/>
    <mergeCell ref="IFQ64:IHJ64"/>
    <mergeCell ref="LYY59:MAR63"/>
    <mergeCell ref="G724:J724"/>
    <mergeCell ref="GSS88:GUL89"/>
    <mergeCell ref="EPW64:ERP64"/>
    <mergeCell ref="Q564:S564"/>
    <mergeCell ref="JAW59:JCP63"/>
    <mergeCell ref="JLM59:JNF63"/>
    <mergeCell ref="M865:V865"/>
    <mergeCell ref="AC871:AH871"/>
    <mergeCell ref="CH650:CL650"/>
    <mergeCell ref="HDI88:HFB89"/>
    <mergeCell ref="QS88:SL89"/>
    <mergeCell ref="ABI88:ADB89"/>
    <mergeCell ref="F935:H935"/>
    <mergeCell ref="B711:F711"/>
    <mergeCell ref="AC818:AF818"/>
    <mergeCell ref="GNK88:GPD89"/>
    <mergeCell ref="CSI64:CUB64"/>
    <mergeCell ref="HBO64:HDH64"/>
    <mergeCell ref="FAM88:FCF89"/>
    <mergeCell ref="D452:AJ453"/>
    <mergeCell ref="AC764:AG764"/>
    <mergeCell ref="CAQ59:CCJ63"/>
    <mergeCell ref="NNQ64:NPJ64"/>
    <mergeCell ref="CFY64:CHR64"/>
    <mergeCell ref="DYE59:DZX63"/>
    <mergeCell ref="O776:S776"/>
    <mergeCell ref="AN884:AO884"/>
    <mergeCell ref="X778:AB778"/>
    <mergeCell ref="AF636:AJ636"/>
    <mergeCell ref="SHM59:SJF63"/>
    <mergeCell ref="RKM64:RMF64"/>
    <mergeCell ref="KDE88:KEX89"/>
    <mergeCell ref="KNU88:KPN89"/>
    <mergeCell ref="O723:S723"/>
    <mergeCell ref="AM719:AO719"/>
    <mergeCell ref="W959:AG959"/>
    <mergeCell ref="BX643:CB643"/>
    <mergeCell ref="DR612:DV612"/>
    <mergeCell ref="OVG59:OWZ63"/>
    <mergeCell ref="PFW59:PHP63"/>
    <mergeCell ref="BE614:BF614"/>
    <mergeCell ref="DR625:DV625"/>
    <mergeCell ref="AI558:AL558"/>
    <mergeCell ref="G733:J733"/>
    <mergeCell ref="D454:AJ454"/>
    <mergeCell ref="AG442:AJ442"/>
    <mergeCell ref="AC520:AF520"/>
    <mergeCell ref="W472:Y472"/>
    <mergeCell ref="CX632:DB632"/>
    <mergeCell ref="DH629:DL629"/>
    <mergeCell ref="IQG88:IRZ89"/>
    <mergeCell ref="BN641:BR641"/>
    <mergeCell ref="JSO59:JUH63"/>
    <mergeCell ref="KDE59:KEX63"/>
    <mergeCell ref="DH607:DL607"/>
    <mergeCell ref="DH627:DL627"/>
    <mergeCell ref="CH634:CL634"/>
    <mergeCell ref="BFK88:BHD89"/>
    <mergeCell ref="M257:R257"/>
    <mergeCell ref="B709:F709"/>
    <mergeCell ref="ODO64:OFH64"/>
    <mergeCell ref="RMG59:RNZ63"/>
    <mergeCell ref="GBA59:GCT63"/>
    <mergeCell ref="DLU88:DNN89"/>
    <mergeCell ref="H305:R305"/>
    <mergeCell ref="LQC88:LRV89"/>
    <mergeCell ref="MAS88:MCL89"/>
    <mergeCell ref="M255:T255"/>
    <mergeCell ref="AH524:AK524"/>
    <mergeCell ref="H584:R584"/>
    <mergeCell ref="SOO88:SQH89"/>
    <mergeCell ref="BG633:BH633"/>
    <mergeCell ref="BG608:BH608"/>
    <mergeCell ref="CH645:CL645"/>
    <mergeCell ref="BMM88:BOF89"/>
    <mergeCell ref="U176:V176"/>
    <mergeCell ref="RDK59:RFD63"/>
    <mergeCell ref="ROA59:RPT63"/>
    <mergeCell ref="PHQ88:PJJ89"/>
    <mergeCell ref="PSG88:PTZ89"/>
    <mergeCell ref="BN639:BR639"/>
    <mergeCell ref="DR630:DV630"/>
    <mergeCell ref="JUI64:JWB64"/>
    <mergeCell ref="KEY64:KGR64"/>
    <mergeCell ref="DH605:DL605"/>
    <mergeCell ref="DR602:DV602"/>
    <mergeCell ref="M251:T251"/>
    <mergeCell ref="NDA59:NET63"/>
    <mergeCell ref="AO633:AS633"/>
    <mergeCell ref="BN626:BR626"/>
    <mergeCell ref="BG631:BH631"/>
    <mergeCell ref="BG606:BH606"/>
  </mergeCells>
  <conditionalFormatting sqref="B1038 B1040">
    <cfRule type="cellIs" dxfId="96" priority="46" stopIfTrue="1" operator="equal">
      <formula>#N/A</formula>
    </cfRule>
  </conditionalFormatting>
  <conditionalFormatting sqref="C557:C568 M557:M568 Q557:AS568 Q630:Q640 T630:T640 W630:W640 Z630:Z640 AC630:AS640">
    <cfRule type="expression" dxfId="95" priority="8">
      <formula>$AT557="!"</formula>
    </cfRule>
  </conditionalFormatting>
  <conditionalFormatting sqref="E218">
    <cfRule type="expression" dxfId="94" priority="34">
      <formula>NOT(OR($D$214="Seniors",$E$217="Seniors"))</formula>
    </cfRule>
  </conditionalFormatting>
  <conditionalFormatting sqref="E219">
    <cfRule type="expression" dxfId="93" priority="33">
      <formula>NOT($D$214="At-Risk")</formula>
    </cfRule>
  </conditionalFormatting>
  <conditionalFormatting sqref="E881:U882">
    <cfRule type="expression" dxfId="92" priority="17">
      <formula>AND(AC881&lt;&gt;"",OR(E881="Other (Specify):",E881=""))</formula>
    </cfRule>
  </conditionalFormatting>
  <conditionalFormatting sqref="E217:AA217">
    <cfRule type="expression" dxfId="91" priority="245">
      <formula>AND($V$215&lt;75%,$D$214="Special Needs")</formula>
    </cfRule>
  </conditionalFormatting>
  <conditionalFormatting sqref="E216:AI216">
    <cfRule type="expression" dxfId="90" priority="246">
      <formula>AND($V$215&lt;75%,$D$214="Special Needs")</formula>
    </cfRule>
  </conditionalFormatting>
  <conditionalFormatting sqref="F818:L818">
    <cfRule type="expression" dxfId="89" priority="23">
      <formula>AND(OR(M818&lt;&gt;"",$Q$818&lt;&gt;"",$U$818&lt;&gt;"",$Y$818&lt;&gt;"",$AC$818&lt;&gt;"",$AG$818&lt;&gt;""),OR(F818="(specify here)",F818=""))</formula>
    </cfRule>
  </conditionalFormatting>
  <conditionalFormatting sqref="G477:V477">
    <cfRule type="expression" dxfId="88" priority="3">
      <formula>AND($W$477&gt;0,$G$477="")</formula>
    </cfRule>
  </conditionalFormatting>
  <conditionalFormatting sqref="L512:AB512">
    <cfRule type="expression" dxfId="87" priority="31">
      <formula>AND(NOT(AC512="N/A"),AH512&lt;&gt;"",OR(L512="(specify here)",L512=""))</formula>
    </cfRule>
  </conditionalFormatting>
  <conditionalFormatting sqref="M833:V833">
    <cfRule type="expression" dxfId="86" priority="22">
      <formula>AND(W833&lt;&gt;"",OR(M833="(specify here)",M833=""))</formula>
    </cfRule>
  </conditionalFormatting>
  <conditionalFormatting sqref="M848:V848">
    <cfRule type="expression" dxfId="85" priority="21">
      <formula>AND(W848&lt;&gt;"",OR(M848="(specify here)",M848=""))</formula>
    </cfRule>
  </conditionalFormatting>
  <conditionalFormatting sqref="M859:V859">
    <cfRule type="expression" dxfId="84" priority="20">
      <formula>AND(W859&lt;&gt;"",OR(M859="(specify here)",M859=""))</formula>
    </cfRule>
  </conditionalFormatting>
  <conditionalFormatting sqref="M862:V866">
    <cfRule type="expression" dxfId="83" priority="19">
      <formula>AND(W862&lt;&gt;"",OR(M862="(specify here)",M862=""))</formula>
    </cfRule>
  </conditionalFormatting>
  <conditionalFormatting sqref="O523:AA523">
    <cfRule type="expression" dxfId="82" priority="30">
      <formula>AND(OR(AND(NOT(AC523="N/A"),AH523&lt;&gt;""),AND(NOT(AC524="N/A"),AH524&lt;&gt;""),AND(NOT(AC525="N/A"),AH525&lt;&gt;"")),OR(O523="(specify here)",O523=""))</formula>
    </cfRule>
  </conditionalFormatting>
  <conditionalFormatting sqref="O526:AA526">
    <cfRule type="expression" dxfId="81" priority="13">
      <formula>AND(OR(AND(NOT(AC526="N/A"),AH526&lt;&gt;""),AND(NOT(AC527="N/A"),AH527&lt;&gt;""),AND(NOT(AC528="N/A"),AH528&lt;&gt;"")),OR(O526="(specify here)",O526=""))</formula>
    </cfRule>
  </conditionalFormatting>
  <conditionalFormatting sqref="O529:AA529">
    <cfRule type="expression" dxfId="80" priority="12">
      <formula>AND(OR(AND(NOT(AC529="N/A"),AH529&lt;&gt;""),AND(NOT(AC530="N/A"),AH530&lt;&gt;""),AND(NOT(AC531="N/A"),AH531&lt;&gt;"")),OR(O529="(specify here)",O529=""))</formula>
    </cfRule>
  </conditionalFormatting>
  <conditionalFormatting sqref="O532:AA532">
    <cfRule type="expression" dxfId="79" priority="11">
      <formula>AND(OR(AND(NOT(AC532="N/A"),AH532&lt;&gt;""),AND(NOT(AC533="N/A"),AH533&lt;&gt;""),AND(NOT(AC534="N/A"),AH534&lt;&gt;"")),OR(O532="(specify here)",O532=""))</formula>
    </cfRule>
  </conditionalFormatting>
  <conditionalFormatting sqref="O535:AA535">
    <cfRule type="expression" dxfId="78" priority="10">
      <formula>AND(OR(AND(NOT(AC535="N/A"),AH535&lt;&gt;""),AND(NOT(AC536="N/A"),AH536&lt;&gt;""),AND(NOT(AC537="N/A"),AH537&lt;&gt;"")),OR(O535="(specify here)",O535=""))</formula>
    </cfRule>
  </conditionalFormatting>
  <conditionalFormatting sqref="O538:AA538">
    <cfRule type="expression" dxfId="77" priority="9">
      <formula>AND(OR(AND(NOT(AC538="N/A"),AH538&lt;&gt;""),AND(NOT(AC539="N/A"),AH539&lt;&gt;""),AND(NOT(AC540="N/A"),AH540&lt;&gt;"")),OR(O538="(specify here)",O538=""))</formula>
    </cfRule>
  </conditionalFormatting>
  <conditionalFormatting sqref="P803:Y803">
    <cfRule type="expression" dxfId="76" priority="24">
      <formula>AND(Z803&lt;&gt;"",OR(P803="(specify here)",P803=""))</formula>
    </cfRule>
  </conditionalFormatting>
  <conditionalFormatting sqref="V881:AB882">
    <cfRule type="expression" dxfId="75" priority="244">
      <formula>AND(AT871&lt;&gt;"",OR(V881="Other (Specify):",V881=""))</formula>
    </cfRule>
  </conditionalFormatting>
  <conditionalFormatting sqref="W959:AG959">
    <cfRule type="expression" dxfId="74" priority="14">
      <formula>AND($AA$960&lt;&gt;"",OR($W$959="",$W$959="(specify here)"))</formula>
    </cfRule>
  </conditionalFormatting>
  <conditionalFormatting sqref="AC218:AN218">
    <cfRule type="expression" dxfId="73" priority="35">
      <formula>NOT(OR($D$214="Seniors",$E$217="Seniors"))</formula>
    </cfRule>
  </conditionalFormatting>
  <conditionalFormatting sqref="AC219:AN219">
    <cfRule type="expression" dxfId="72" priority="32">
      <formula>NOT($D$214="At-Risk")</formula>
    </cfRule>
  </conditionalFormatting>
  <conditionalFormatting sqref="AF998">
    <cfRule type="cellIs" dxfId="71" priority="1" stopIfTrue="1" operator="equal">
      <formula>"Please Enter Amount:"</formula>
    </cfRule>
  </conditionalFormatting>
  <conditionalFormatting sqref="AF1001">
    <cfRule type="cellIs" dxfId="70" priority="2" stopIfTrue="1" operator="equal">
      <formula>"Please Enter Amount:"</formula>
    </cfRule>
  </conditionalFormatting>
  <conditionalFormatting sqref="AF1005">
    <cfRule type="cellIs" dxfId="69" priority="42" stopIfTrue="1" operator="equal">
      <formula>"Please Enter Amount:"</formula>
    </cfRule>
  </conditionalFormatting>
  <conditionalFormatting sqref="AF1010">
    <cfRule type="cellIs" dxfId="68" priority="40" stopIfTrue="1" operator="equal">
      <formula>"Please Enter Amount:"</formula>
    </cfRule>
  </conditionalFormatting>
  <conditionalFormatting sqref="AF1017">
    <cfRule type="cellIs" dxfId="67" priority="41" stopIfTrue="1" operator="equal">
      <formula>"Please Enter Amount:"</formula>
    </cfRule>
  </conditionalFormatting>
  <conditionalFormatting sqref="AG442:AJ442">
    <cfRule type="expression" dxfId="66" priority="48" stopIfTrue="1">
      <formula>"iserror(d31)"</formula>
    </cfRule>
  </conditionalFormatting>
  <dataValidations xWindow="329" yWindow="269" count="55">
    <dataValidation type="list" allowBlank="1" showInputMessage="1" showErrorMessage="1" sqref="A1045:B1045 A1047:B1047 A1050:B1050 A1055:B1055 A1060:B1060 A1064:B1064 A1068:B1068 A1072:B1072 A1075:B1075 A1079:B1079 A1083:B1083 M357:N360 R412:S413 S414:T414 AE426:AF426 AE430:AF430" xr:uid="{00000000-0002-0000-0300-000000000000}">
      <formula1>"N/A, Yes"</formula1>
    </dataValidation>
    <dataValidation type="list" allowBlank="1" showInputMessage="1" showErrorMessage="1" sqref="N577 N585 N593 N601 N609 N617 N651 N659 N667 N675 N683 N691 O33:P33 O959 T193:T197 U176 W198 Y180 Y211:Z211 AG577 AG585 AG593 AG601 AG609 AG617 AG651 AG659 AG667 AG675 AG683 AG691 AI194" xr:uid="{00000000-0002-0000-0300-000001000000}">
      <formula1>"Yes, No"</formula1>
    </dataValidation>
    <dataValidation type="list" allowBlank="1" showInputMessage="1" showErrorMessage="1" sqref="Q493 AG978 AG985 AG991 AG995 AG997 AG1000 AG1004 AG1009 AG1013 AG1016 AG1020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Q430:R430 Z433:AA433 AI390:AJ390 AI393:AJ393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J368:K368 N365:O365 Y366:Z366 AE431:AF431 AJ357:AK357 AJ359:AK359" xr:uid="{00000000-0002-0000-0300-000009000000}">
      <formula1>"N/A, Yes, No"</formula1>
    </dataValidation>
    <dataValidation type="list" allowBlank="1" showInputMessage="1" showErrorMessage="1" sqref="U904:U935"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1:T251 M259:T259" xr:uid="{00000000-0002-0000-0300-00000F000000}">
      <formula1>"(select one),Nonprofit, For Profit"</formula1>
    </dataValidation>
    <dataValidation type="list" allowBlank="1" showInputMessage="1" showErrorMessage="1" sqref="P930:T930 S402:U402"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7:S957" xr:uid="{00000000-0002-0000-0300-000012000000}">
      <formula1>"(select one),Project-based vouchers (PBVs),Project-based contract (PBC),RAD PBVs, RAD PBC"</formula1>
    </dataValidation>
    <dataValidation type="whole" allowBlank="1" showInputMessage="1" showErrorMessage="1" error="Please enter a number" sqref="O225:P227 AH199:AI200" xr:uid="{00000000-0002-0000-0300-000013000000}">
      <formula1>0</formula1>
      <formula2>999</formula2>
    </dataValidation>
    <dataValidation type="list" allowBlank="1" showInputMessage="1" showErrorMessage="1" sqref="M954:S954"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V382:W383 Z744:AB744 AG380:AH381" xr:uid="{00000000-0002-0000-0300-000016000000}">
      <formula1>"N/A,Yes,No"</formula1>
    </dataValidation>
    <dataValidation type="whole" operator="greaterThanOrEqual" allowBlank="1" showInputMessage="1" showErrorMessage="1" sqref="Q557:V568 Q629:V640 Z800:AE800 AC629:AE640 AE557:AH568 AG395:AJ395"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396:AJ397 AG402:AJ402"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B703:F737 J760:N763 J774:N783"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allowBlank="1" showInputMessage="1" showErrorMessage="1" sqref="T189:AE189" xr:uid="{00000000-0002-0000-0300-000027000000}">
      <formula1>$BT$156:$BT$214</formula1>
    </dataValidation>
    <dataValidation type="whole" operator="greaterThanOrEqual" allowBlank="1" showInputMessage="1" showErrorMessage="1" error="Enter a whole number greater than or equal to zero." sqref="AG741:AJ741" xr:uid="{00000000-0002-0000-0300-000028000000}">
      <formula1>0</formula1>
    </dataValidation>
    <dataValidation type="whole" operator="greaterThanOrEqual" allowBlank="1" showInputMessage="1" showErrorMessage="1" errorTitle="Whole numbers only" error="If not applicable, leave blank or enter zero (0)." sqref="S215:T215" xr:uid="{00000000-0002-0000-0300-000029000000}">
      <formula1>0</formula1>
    </dataValidation>
    <dataValidation type="whole" operator="greaterThan" allowBlank="1" showInputMessage="1" showErrorMessage="1" sqref="L947:S947 AE947:AK947" xr:uid="{00000000-0002-0000-0300-00002A000000}">
      <formula1>0</formula1>
    </dataValidation>
    <dataValidation type="list" allowBlank="1" showInputMessage="1" showErrorMessage="1" sqref="M557:P568 M629:P640" xr:uid="{00000000-0002-0000-0300-00002B000000}">
      <formula1>ListofSources</formula1>
    </dataValidation>
    <dataValidation type="decimal" operator="greaterThanOrEqual" allowBlank="1" showInputMessage="1" showErrorMessage="1" sqref="W557:Y568 W629:Y640 AF629:AS640 AI557:AS568" xr:uid="{00000000-0002-0000-0300-00002C000000}">
      <formula1>0</formula1>
    </dataValidation>
    <dataValidation type="list" allowBlank="1" showInputMessage="1" showErrorMessage="1" sqref="Z629:AB640" xr:uid="{00000000-0002-0000-0300-00002D000000}">
      <formula1>$BA$629:$BA$633</formula1>
    </dataValidation>
    <dataValidation type="whole" operator="greaterThanOrEqual" allowBlank="1" showInputMessage="1" showErrorMessage="1" error="Please enter a whole number. If none or N/A, enter 0." sqref="AJ358:AK358" xr:uid="{00000000-0002-0000-0300-00002E000000}">
      <formula1>0</formula1>
    </dataValidation>
    <dataValidation type="whole" operator="greaterThanOrEqual" allowBlank="1" showInputMessage="1" showErrorMessage="1" error="Input the number of units serving this population type. If not applicable, enter 0." sqref="W468:Y477" xr:uid="{00000000-0002-0000-0300-00002F000000}">
      <formula1>0</formula1>
    </dataValidation>
    <dataValidation type="decimal" allowBlank="1" showInputMessage="1" showErrorMessage="1" error="example: enter 30 for 30%, hit cancel and try again._x000a_" sqref="AH703:AH736 AH737:AL737 AI705:AL736" xr:uid="{00000000-0002-0000-0300-000030000000}">
      <formula1>0</formula1>
      <formula2>1</formula2>
    </dataValidation>
    <dataValidation type="list" allowBlank="1" showInputMessage="1" showErrorMessage="1" sqref="D211:P211" xr:uid="{00000000-0002-0000-0300-000031000000}">
      <formula1>$AX$194:$AX$205</formula1>
    </dataValidation>
    <dataValidation type="list" allowBlank="1" showInputMessage="1" showErrorMessage="1" sqref="E217:Z217" xr:uid="{00000000-0002-0000-0300-000032000000}">
      <formula1>$BH$189:$BH$193</formula1>
    </dataValidation>
    <dataValidation type="list" showInputMessage="1" showErrorMessage="1" promptTitle="TCAC/HCD Opportunity Map Zone" sqref="R199:AB199" xr:uid="{00000000-0002-0000-0300-000033000000}">
      <formula1>$AX$212:$AX$217</formula1>
    </dataValidation>
    <dataValidation type="decimal" operator="greaterThanOrEqual" allowBlank="1" showInputMessage="1" showErrorMessage="1" error="You may only enter a number value." sqref="AA904:AF935" xr:uid="{00000000-0002-0000-0300-000034000000}">
      <formula1>0</formula1>
    </dataValidation>
    <dataValidation type="whole" allowBlank="1" showInputMessage="1" showErrorMessage="1" sqref="V378:W378 AG378:AH378" xr:uid="{00000000-0002-0000-0300-000035000000}">
      <formula1>0</formula1>
      <formula2>999</formula2>
    </dataValidation>
    <dataValidation type="list" showInputMessage="1" showErrorMessage="1" sqref="D223:AI223" xr:uid="{00000000-0002-0000-0300-000036000000}">
      <formula1>$BC$197:$BC$210</formula1>
    </dataValidation>
  </dataValidations>
  <hyperlinks>
    <hyperlink ref="D167" r:id="rId1" display="https://www.treasurer.ca.gov/ctcac/2018/lra/contact.pdf" xr:uid="{00000000-0004-0000-0300-000000000000}"/>
    <hyperlink ref="AD200" r:id="rId2" xr:uid="{00000000-0004-0000-0300-000001000000}"/>
    <hyperlink ref="U229" r:id="rId3" xr:uid="{00000000-0004-0000-0300-000002000000}"/>
  </hyperlinks>
  <printOptions horizontalCentered="1"/>
  <pageMargins left="0.5" right="0.5" top="1" bottom="1" header="0.5" footer="0.5"/>
  <pageSetup scale="76" fitToHeight="26" orientation="portrait" useFirstPageNumber="1"/>
  <headerFooter alignWithMargins="0">
    <oddFooter>&amp;L&amp;8 &amp;C&amp;P&amp;R&amp;8 &amp;A</oddFooter>
  </headerFooter>
  <rowBreaks count="8" manualBreakCount="8">
    <brk id="155" max="45" man="1"/>
    <brk id="352" max="45" man="1"/>
    <brk id="416" max="45" man="1"/>
    <brk id="481" max="45" man="1"/>
    <brk id="868" max="45" man="1"/>
    <brk id="935" max="45" man="1"/>
    <brk id="1003" max="45" man="1"/>
    <brk id="1064" max="4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1"/>
  <sheetViews>
    <sheetView topLeftCell="A72" workbookViewId="0">
      <selection activeCell="Q91" sqref="Q91"/>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22" width="8.85546875" style="478" customWidth="1"/>
    <col min="23" max="16384" width="8.85546875" style="478"/>
  </cols>
  <sheetData>
    <row r="1" spans="1:21" s="198" customFormat="1" ht="13.5" customHeight="1">
      <c r="A1" s="262" t="s">
        <v>1590</v>
      </c>
      <c r="B1" s="225"/>
      <c r="C1" s="225"/>
      <c r="D1" s="225"/>
      <c r="E1" s="226"/>
      <c r="F1" s="1333" t="s">
        <v>1591</v>
      </c>
      <c r="G1" s="973"/>
      <c r="H1" s="973"/>
      <c r="I1" s="973"/>
      <c r="J1" s="973"/>
      <c r="K1" s="973"/>
      <c r="L1" s="973"/>
      <c r="M1" s="973"/>
      <c r="N1" s="973"/>
      <c r="O1" s="973"/>
      <c r="P1" s="973"/>
      <c r="Q1" s="973"/>
      <c r="R1" s="974"/>
      <c r="S1" s="200"/>
      <c r="T1" s="199"/>
      <c r="U1" s="201"/>
    </row>
    <row r="2" spans="1:21" s="230" customFormat="1" ht="60" customHeight="1">
      <c r="A2" s="229"/>
      <c r="B2" s="230" t="s">
        <v>1592</v>
      </c>
      <c r="C2" s="230" t="s">
        <v>1593</v>
      </c>
      <c r="D2" s="230" t="s">
        <v>1594</v>
      </c>
      <c r="E2" s="230" t="s">
        <v>1595</v>
      </c>
      <c r="F2" s="231" t="str">
        <f>Application!B629&amp;Application!C629</f>
        <v>1)Citi Bank Permanent Loan</v>
      </c>
      <c r="G2" s="231" t="str">
        <f>Application!B630&amp;Application!C630</f>
        <v>2)City of Santa Cruz Funds</v>
      </c>
      <c r="H2" s="231" t="str">
        <f>Application!B631&amp;Application!C631</f>
        <v>3)Deferred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1596</v>
      </c>
      <c r="S2" s="230" t="s">
        <v>1597</v>
      </c>
      <c r="T2" s="230" t="s">
        <v>1598</v>
      </c>
      <c r="U2" s="232"/>
    </row>
    <row r="3" spans="1:21" s="236" customFormat="1">
      <c r="A3" s="233" t="s">
        <v>1599</v>
      </c>
      <c r="B3" s="234"/>
      <c r="C3" s="234"/>
      <c r="D3" s="234"/>
      <c r="E3" s="234"/>
      <c r="F3" s="234"/>
      <c r="G3" s="234"/>
      <c r="H3" s="234"/>
      <c r="I3" s="234"/>
      <c r="J3" s="234"/>
      <c r="K3" s="234"/>
      <c r="L3" s="234"/>
      <c r="M3" s="234"/>
      <c r="N3" s="234"/>
      <c r="O3" s="234"/>
      <c r="P3" s="234"/>
      <c r="Q3" s="234"/>
      <c r="R3" s="234"/>
      <c r="S3" s="234"/>
      <c r="T3" s="234"/>
      <c r="U3" s="235"/>
    </row>
    <row r="4" spans="1:21" s="236" customFormat="1" ht="13.5" customHeight="1">
      <c r="A4" s="298" t="s">
        <v>1600</v>
      </c>
      <c r="B4" s="238">
        <f>SUM(C4+D4)</f>
        <v>4200000</v>
      </c>
      <c r="C4" s="239">
        <v>4200000</v>
      </c>
      <c r="D4" s="239"/>
      <c r="E4" s="239">
        <f>C4-SUM(F4:Q4)</f>
        <v>4200000</v>
      </c>
      <c r="F4" s="239"/>
      <c r="G4" s="239"/>
      <c r="H4" s="239"/>
      <c r="I4" s="239"/>
      <c r="J4" s="239"/>
      <c r="K4" s="239"/>
      <c r="L4" s="239"/>
      <c r="M4" s="239"/>
      <c r="N4" s="239"/>
      <c r="O4" s="239"/>
      <c r="P4" s="239"/>
      <c r="Q4" s="239"/>
      <c r="R4" s="239">
        <f>C4</f>
        <v>4200000</v>
      </c>
      <c r="S4" s="240"/>
      <c r="T4" s="240"/>
      <c r="U4" s="235"/>
    </row>
    <row r="5" spans="1:21" s="236" customFormat="1" ht="13.5" customHeight="1">
      <c r="A5" s="298" t="s">
        <v>1601</v>
      </c>
      <c r="B5" s="238">
        <f>SUM(C5+D5)</f>
        <v>0</v>
      </c>
      <c r="C5" s="239"/>
      <c r="D5" s="239"/>
      <c r="E5" s="239">
        <f>C5-SUM(F5:Q5)</f>
        <v>0</v>
      </c>
      <c r="F5" s="239"/>
      <c r="G5" s="239"/>
      <c r="H5" s="239"/>
      <c r="I5" s="239"/>
      <c r="J5" s="239"/>
      <c r="K5" s="239"/>
      <c r="L5" s="239"/>
      <c r="M5" s="239"/>
      <c r="N5" s="239"/>
      <c r="O5" s="239"/>
      <c r="P5" s="239"/>
      <c r="Q5" s="239"/>
      <c r="R5" s="239">
        <f>SUM(E5:Q5)</f>
        <v>0</v>
      </c>
      <c r="S5" s="240"/>
      <c r="T5" s="240"/>
      <c r="U5" s="235"/>
    </row>
    <row r="6" spans="1:21" s="236" customFormat="1">
      <c r="A6" s="237" t="s">
        <v>1602</v>
      </c>
      <c r="B6" s="238">
        <f>SUM(C6+D6)</f>
        <v>0</v>
      </c>
      <c r="C6" s="239"/>
      <c r="D6" s="239"/>
      <c r="E6" s="239">
        <f>C6-SUM(F6:Q6)</f>
        <v>0</v>
      </c>
      <c r="F6" s="239"/>
      <c r="G6" s="239"/>
      <c r="H6" s="239"/>
      <c r="I6" s="239"/>
      <c r="J6" s="239"/>
      <c r="K6" s="239"/>
      <c r="L6" s="239"/>
      <c r="M6" s="239"/>
      <c r="N6" s="239"/>
      <c r="O6" s="239"/>
      <c r="P6" s="239"/>
      <c r="Q6" s="239"/>
      <c r="R6" s="239">
        <f>SUM(E6:Q6)</f>
        <v>0</v>
      </c>
      <c r="S6" s="240"/>
      <c r="T6" s="240"/>
      <c r="U6" s="235"/>
    </row>
    <row r="7" spans="1:21" s="236" customFormat="1">
      <c r="A7" s="237" t="s">
        <v>1603</v>
      </c>
      <c r="B7" s="238">
        <f>SUM(C7+D7)</f>
        <v>0</v>
      </c>
      <c r="C7" s="239"/>
      <c r="D7" s="239"/>
      <c r="E7" s="239">
        <f>C7-SUM(F7:Q7)</f>
        <v>0</v>
      </c>
      <c r="F7" s="239"/>
      <c r="G7" s="239"/>
      <c r="H7" s="239"/>
      <c r="I7" s="239"/>
      <c r="J7" s="239"/>
      <c r="K7" s="239"/>
      <c r="L7" s="239"/>
      <c r="M7" s="239"/>
      <c r="N7" s="239"/>
      <c r="O7" s="239"/>
      <c r="P7" s="239"/>
      <c r="Q7" s="239"/>
      <c r="R7" s="239">
        <f>SUM(E7:Q7)</f>
        <v>0</v>
      </c>
      <c r="S7" s="240"/>
      <c r="T7" s="240"/>
      <c r="U7" s="235"/>
    </row>
    <row r="8" spans="1:21" s="236" customFormat="1" ht="13.5" customHeight="1">
      <c r="A8" s="299" t="s">
        <v>1604</v>
      </c>
      <c r="B8" s="238">
        <f>SUM(C8:D8)</f>
        <v>4200000</v>
      </c>
      <c r="C8" s="238">
        <f t="shared" ref="C8:R8" si="0">SUM(C4:C7)</f>
        <v>4200000</v>
      </c>
      <c r="D8" s="238">
        <f t="shared" si="0"/>
        <v>0</v>
      </c>
      <c r="E8" s="238">
        <f t="shared" si="0"/>
        <v>4200000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4200000</v>
      </c>
      <c r="S8" s="240"/>
      <c r="T8" s="240"/>
      <c r="U8" s="235"/>
    </row>
    <row r="9" spans="1:21" s="236" customFormat="1">
      <c r="A9" s="237" t="s">
        <v>1605</v>
      </c>
      <c r="B9" s="238">
        <f>SUM(C9+D9)</f>
        <v>0</v>
      </c>
      <c r="C9" s="239"/>
      <c r="D9" s="239"/>
      <c r="E9" s="239">
        <f>C9-SUM(F9:Q9)</f>
        <v>0</v>
      </c>
      <c r="F9" s="239"/>
      <c r="G9" s="239"/>
      <c r="H9" s="239"/>
      <c r="I9" s="239"/>
      <c r="J9" s="239"/>
      <c r="K9" s="239"/>
      <c r="L9" s="239"/>
      <c r="M9" s="239"/>
      <c r="N9" s="239"/>
      <c r="O9" s="239"/>
      <c r="P9" s="239"/>
      <c r="Q9" s="239"/>
      <c r="R9" s="239">
        <f>C9</f>
        <v>0</v>
      </c>
      <c r="S9" s="240"/>
      <c r="T9" s="239"/>
      <c r="U9" s="235"/>
    </row>
    <row r="10" spans="1:21" s="236" customFormat="1" ht="13.5" customHeight="1">
      <c r="A10" s="298" t="s">
        <v>1606</v>
      </c>
      <c r="B10" s="238">
        <f>SUM(C10+D10)</f>
        <v>0</v>
      </c>
      <c r="C10" s="239"/>
      <c r="D10" s="239"/>
      <c r="E10" s="239">
        <f>C10-SUM(F10:Q10)</f>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1607</v>
      </c>
      <c r="B11" s="238">
        <f>SUM(C11:D11)</f>
        <v>0</v>
      </c>
      <c r="C11" s="238">
        <f t="shared" ref="C11:R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SUM(T9:T10)</f>
        <v>0</v>
      </c>
      <c r="U11" s="235"/>
    </row>
    <row r="12" spans="1:21" s="236" customFormat="1">
      <c r="A12" s="241" t="s">
        <v>1608</v>
      </c>
      <c r="B12" s="238">
        <f t="shared" ref="B12:R12" si="2">SUM(B8+B11)</f>
        <v>4200000</v>
      </c>
      <c r="C12" s="238">
        <f t="shared" si="2"/>
        <v>4200000</v>
      </c>
      <c r="D12" s="238">
        <f t="shared" si="2"/>
        <v>0</v>
      </c>
      <c r="E12" s="238">
        <f t="shared" si="2"/>
        <v>4200000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4200000</v>
      </c>
      <c r="S12" s="240"/>
      <c r="T12" s="240"/>
      <c r="U12" s="235"/>
    </row>
    <row r="13" spans="1:21" s="236" customFormat="1">
      <c r="A13" s="453" t="s">
        <v>1609</v>
      </c>
      <c r="B13" s="238">
        <f>SUM(C13+D13)</f>
        <v>0</v>
      </c>
      <c r="C13" s="239"/>
      <c r="D13" s="239"/>
      <c r="E13" s="239">
        <f>C13-SUM(F13:Q13)</f>
        <v>0</v>
      </c>
      <c r="F13" s="239"/>
      <c r="G13" s="239"/>
      <c r="H13" s="239"/>
      <c r="I13" s="239"/>
      <c r="J13" s="239"/>
      <c r="K13" s="239"/>
      <c r="L13" s="239"/>
      <c r="M13" s="239"/>
      <c r="N13" s="239"/>
      <c r="O13" s="239"/>
      <c r="P13" s="239"/>
      <c r="Q13" s="239"/>
      <c r="R13" s="239">
        <f>SUM(E13:Q13)</f>
        <v>0</v>
      </c>
      <c r="S13" s="239"/>
      <c r="T13" s="239"/>
      <c r="U13" s="235"/>
    </row>
    <row r="14" spans="1:21" s="236" customFormat="1" ht="24" customHeight="1">
      <c r="A14" s="237" t="s">
        <v>1610</v>
      </c>
      <c r="B14" s="238">
        <f>SUM(C14+D14)</f>
        <v>0</v>
      </c>
      <c r="C14" s="239"/>
      <c r="D14" s="239"/>
      <c r="E14" s="239">
        <f>C14-SUM(F14:Q14)</f>
        <v>0</v>
      </c>
      <c r="F14" s="239"/>
      <c r="G14" s="239"/>
      <c r="H14" s="239"/>
      <c r="I14" s="239"/>
      <c r="J14" s="239"/>
      <c r="K14" s="239"/>
      <c r="L14" s="239"/>
      <c r="M14" s="239"/>
      <c r="N14" s="239"/>
      <c r="O14" s="239"/>
      <c r="P14" s="239"/>
      <c r="Q14" s="239"/>
      <c r="R14" s="239">
        <f>SUM(E14:Q14)</f>
        <v>0</v>
      </c>
      <c r="S14" s="239"/>
      <c r="T14" s="239"/>
      <c r="U14" s="235"/>
    </row>
    <row r="15" spans="1:21" s="236" customFormat="1">
      <c r="A15" s="237" t="s">
        <v>1611</v>
      </c>
      <c r="B15" s="238">
        <f>SUM(C15+D15)</f>
        <v>0</v>
      </c>
      <c r="C15" s="239"/>
      <c r="D15" s="239"/>
      <c r="E15" s="239">
        <f>C15-SUM(F15:Q15)</f>
        <v>0</v>
      </c>
      <c r="F15" s="239"/>
      <c r="G15" s="239"/>
      <c r="H15" s="239"/>
      <c r="I15" s="239"/>
      <c r="J15" s="239"/>
      <c r="K15" s="239"/>
      <c r="L15" s="239"/>
      <c r="M15" s="239"/>
      <c r="N15" s="239"/>
      <c r="O15" s="239"/>
      <c r="P15" s="239"/>
      <c r="Q15" s="239"/>
      <c r="R15" s="239">
        <f>SUM(E15:Q15)</f>
        <v>0</v>
      </c>
      <c r="S15" s="240"/>
      <c r="T15" s="240"/>
      <c r="U15" s="235"/>
    </row>
    <row r="16" spans="1:21" s="236" customFormat="1">
      <c r="A16" s="233" t="s">
        <v>1612</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1613</v>
      </c>
      <c r="B17" s="238">
        <f t="shared" ref="B17:B27" si="3">SUM(C17:D17)</f>
        <v>0</v>
      </c>
      <c r="C17" s="239"/>
      <c r="D17" s="239"/>
      <c r="E17" s="239">
        <f t="shared" ref="E17:E25" si="4">C17-SUM(F17:Q17)</f>
        <v>0</v>
      </c>
      <c r="F17" s="239"/>
      <c r="G17" s="239"/>
      <c r="H17" s="239"/>
      <c r="I17" s="239"/>
      <c r="J17" s="239"/>
      <c r="K17" s="239"/>
      <c r="L17" s="239"/>
      <c r="M17" s="239"/>
      <c r="N17" s="239"/>
      <c r="O17" s="239"/>
      <c r="P17" s="239"/>
      <c r="Q17" s="239"/>
      <c r="R17" s="239">
        <f t="shared" ref="R17:R25" si="5">SUM(E17:Q17)</f>
        <v>0</v>
      </c>
      <c r="S17" s="239"/>
      <c r="T17" s="239"/>
      <c r="U17" s="235"/>
    </row>
    <row r="18" spans="1:21" s="236" customFormat="1">
      <c r="A18" s="237" t="s">
        <v>1614</v>
      </c>
      <c r="B18" s="238">
        <f t="shared" si="3"/>
        <v>0</v>
      </c>
      <c r="C18" s="239"/>
      <c r="D18" s="239"/>
      <c r="E18" s="239">
        <f t="shared" si="4"/>
        <v>0</v>
      </c>
      <c r="F18" s="239"/>
      <c r="G18" s="239"/>
      <c r="H18" s="239"/>
      <c r="I18" s="239"/>
      <c r="J18" s="239"/>
      <c r="K18" s="239"/>
      <c r="L18" s="239"/>
      <c r="M18" s="239"/>
      <c r="N18" s="239"/>
      <c r="O18" s="239"/>
      <c r="P18" s="239"/>
      <c r="Q18" s="239"/>
      <c r="R18" s="239">
        <f t="shared" si="5"/>
        <v>0</v>
      </c>
      <c r="S18" s="239"/>
      <c r="T18" s="239"/>
      <c r="U18" s="235"/>
    </row>
    <row r="19" spans="1:21" s="236" customFormat="1">
      <c r="A19" s="237" t="s">
        <v>1615</v>
      </c>
      <c r="B19" s="238">
        <f t="shared" si="3"/>
        <v>0</v>
      </c>
      <c r="C19" s="239"/>
      <c r="D19" s="239"/>
      <c r="E19" s="239">
        <f t="shared" si="4"/>
        <v>0</v>
      </c>
      <c r="F19" s="239"/>
      <c r="G19" s="239"/>
      <c r="H19" s="239"/>
      <c r="I19" s="239"/>
      <c r="J19" s="239"/>
      <c r="K19" s="239"/>
      <c r="L19" s="239"/>
      <c r="M19" s="239"/>
      <c r="N19" s="239"/>
      <c r="O19" s="239"/>
      <c r="P19" s="239"/>
      <c r="Q19" s="239"/>
      <c r="R19" s="239">
        <f t="shared" si="5"/>
        <v>0</v>
      </c>
      <c r="S19" s="239"/>
      <c r="T19" s="239"/>
      <c r="U19" s="235"/>
    </row>
    <row r="20" spans="1:21" s="236" customFormat="1">
      <c r="A20" s="237" t="s">
        <v>1616</v>
      </c>
      <c r="B20" s="238">
        <f t="shared" si="3"/>
        <v>0</v>
      </c>
      <c r="C20" s="239"/>
      <c r="D20" s="239"/>
      <c r="E20" s="239">
        <f t="shared" si="4"/>
        <v>0</v>
      </c>
      <c r="F20" s="239"/>
      <c r="G20" s="239"/>
      <c r="H20" s="239"/>
      <c r="I20" s="239"/>
      <c r="J20" s="239"/>
      <c r="K20" s="239"/>
      <c r="L20" s="239"/>
      <c r="M20" s="239"/>
      <c r="N20" s="239"/>
      <c r="O20" s="239"/>
      <c r="P20" s="239"/>
      <c r="Q20" s="239"/>
      <c r="R20" s="239">
        <f t="shared" si="5"/>
        <v>0</v>
      </c>
      <c r="S20" s="239"/>
      <c r="T20" s="239"/>
      <c r="U20" s="235"/>
    </row>
    <row r="21" spans="1:21" s="236" customFormat="1">
      <c r="A21" s="237" t="s">
        <v>1617</v>
      </c>
      <c r="B21" s="238">
        <f t="shared" si="3"/>
        <v>0</v>
      </c>
      <c r="C21" s="239"/>
      <c r="D21" s="239"/>
      <c r="E21" s="239">
        <f t="shared" si="4"/>
        <v>0</v>
      </c>
      <c r="F21" s="239"/>
      <c r="G21" s="239"/>
      <c r="H21" s="239"/>
      <c r="I21" s="239"/>
      <c r="J21" s="239"/>
      <c r="K21" s="239"/>
      <c r="L21" s="239"/>
      <c r="M21" s="239"/>
      <c r="N21" s="239"/>
      <c r="O21" s="239"/>
      <c r="P21" s="239"/>
      <c r="Q21" s="239"/>
      <c r="R21" s="239">
        <f t="shared" si="5"/>
        <v>0</v>
      </c>
      <c r="S21" s="239"/>
      <c r="T21" s="239"/>
      <c r="U21" s="235"/>
    </row>
    <row r="22" spans="1:21" s="236" customFormat="1">
      <c r="A22" s="237" t="s">
        <v>1618</v>
      </c>
      <c r="B22" s="238">
        <f t="shared" si="3"/>
        <v>0</v>
      </c>
      <c r="C22" s="239"/>
      <c r="D22" s="239"/>
      <c r="E22" s="239">
        <f t="shared" si="4"/>
        <v>0</v>
      </c>
      <c r="F22" s="239"/>
      <c r="G22" s="239"/>
      <c r="H22" s="239"/>
      <c r="I22" s="239"/>
      <c r="J22" s="239"/>
      <c r="K22" s="239"/>
      <c r="L22" s="239"/>
      <c r="M22" s="239"/>
      <c r="N22" s="239"/>
      <c r="O22" s="239"/>
      <c r="P22" s="239"/>
      <c r="Q22" s="239"/>
      <c r="R22" s="239">
        <f t="shared" si="5"/>
        <v>0</v>
      </c>
      <c r="S22" s="239"/>
      <c r="T22" s="239"/>
      <c r="U22" s="235"/>
    </row>
    <row r="23" spans="1:21" s="236" customFormat="1">
      <c r="A23" s="237" t="s">
        <v>1619</v>
      </c>
      <c r="B23" s="238">
        <f t="shared" si="3"/>
        <v>0</v>
      </c>
      <c r="C23" s="239"/>
      <c r="D23" s="239"/>
      <c r="E23" s="239">
        <f t="shared" si="4"/>
        <v>0</v>
      </c>
      <c r="F23" s="239"/>
      <c r="G23" s="239"/>
      <c r="H23" s="239"/>
      <c r="I23" s="239"/>
      <c r="J23" s="239"/>
      <c r="K23" s="239"/>
      <c r="L23" s="239"/>
      <c r="M23" s="239"/>
      <c r="N23" s="239"/>
      <c r="O23" s="239"/>
      <c r="P23" s="239"/>
      <c r="Q23" s="239"/>
      <c r="R23" s="239">
        <f t="shared" si="5"/>
        <v>0</v>
      </c>
      <c r="S23" s="239"/>
      <c r="T23" s="239"/>
      <c r="U23" s="235"/>
    </row>
    <row r="24" spans="1:21" s="236" customFormat="1">
      <c r="A24" s="248" t="s">
        <v>1620</v>
      </c>
      <c r="B24" s="238">
        <f t="shared" si="3"/>
        <v>0</v>
      </c>
      <c r="C24" s="239"/>
      <c r="D24" s="239"/>
      <c r="E24" s="239">
        <f t="shared" si="4"/>
        <v>0</v>
      </c>
      <c r="F24" s="239"/>
      <c r="G24" s="239"/>
      <c r="H24" s="239"/>
      <c r="I24" s="239"/>
      <c r="J24" s="239"/>
      <c r="K24" s="239"/>
      <c r="L24" s="239"/>
      <c r="M24" s="239"/>
      <c r="N24" s="239"/>
      <c r="O24" s="239"/>
      <c r="P24" s="239"/>
      <c r="Q24" s="239"/>
      <c r="R24" s="239">
        <f t="shared" si="5"/>
        <v>0</v>
      </c>
      <c r="S24" s="239"/>
      <c r="T24" s="239"/>
      <c r="U24" s="235"/>
    </row>
    <row r="25" spans="1:21" s="236" customFormat="1">
      <c r="A25" s="244" t="s">
        <v>1621</v>
      </c>
      <c r="B25" s="238">
        <f t="shared" si="3"/>
        <v>0</v>
      </c>
      <c r="C25" s="239"/>
      <c r="D25" s="239"/>
      <c r="E25" s="239">
        <f t="shared" si="4"/>
        <v>0</v>
      </c>
      <c r="F25" s="239"/>
      <c r="G25" s="239"/>
      <c r="H25" s="239"/>
      <c r="I25" s="239"/>
      <c r="J25" s="239"/>
      <c r="K25" s="239"/>
      <c r="L25" s="239"/>
      <c r="M25" s="239"/>
      <c r="N25" s="239"/>
      <c r="O25" s="239"/>
      <c r="P25" s="239"/>
      <c r="Q25" s="239"/>
      <c r="R25" s="239">
        <f t="shared" si="5"/>
        <v>0</v>
      </c>
      <c r="S25" s="239"/>
      <c r="T25" s="239"/>
      <c r="U25" s="235"/>
    </row>
    <row r="26" spans="1:21" s="236" customFormat="1">
      <c r="A26" s="241" t="s">
        <v>1622</v>
      </c>
      <c r="B26" s="238">
        <f t="shared" si="3"/>
        <v>0</v>
      </c>
      <c r="C26" s="238">
        <f t="shared" ref="C26:T26" si="6">SUM(C17:C25)</f>
        <v>0</v>
      </c>
      <c r="D26" s="238">
        <f t="shared" si="6"/>
        <v>0</v>
      </c>
      <c r="E26" s="238">
        <f t="shared" si="6"/>
        <v>0</v>
      </c>
      <c r="F26" s="238">
        <f t="shared" si="6"/>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 t="shared" si="6"/>
        <v>0</v>
      </c>
      <c r="S26" s="242">
        <f t="shared" si="6"/>
        <v>0</v>
      </c>
      <c r="T26" s="242">
        <f t="shared" si="6"/>
        <v>0</v>
      </c>
      <c r="U26" s="235"/>
    </row>
    <row r="27" spans="1:21" s="236" customFormat="1">
      <c r="A27" s="241" t="s">
        <v>1623</v>
      </c>
      <c r="B27" s="238">
        <f t="shared" si="3"/>
        <v>0</v>
      </c>
      <c r="C27" s="239"/>
      <c r="D27" s="239"/>
      <c r="E27" s="239"/>
      <c r="F27" s="239"/>
      <c r="G27" s="239"/>
      <c r="H27" s="239"/>
      <c r="I27" s="239"/>
      <c r="J27" s="239"/>
      <c r="K27" s="239"/>
      <c r="L27" s="239"/>
      <c r="M27" s="239"/>
      <c r="N27" s="239"/>
      <c r="O27" s="239"/>
      <c r="P27" s="239"/>
      <c r="Q27" s="239"/>
      <c r="R27" s="239">
        <f>SUM(E27:Q27)</f>
        <v>0</v>
      </c>
      <c r="S27" s="239"/>
      <c r="T27" s="239"/>
      <c r="U27" s="235"/>
    </row>
    <row r="28" spans="1:21" s="236" customFormat="1">
      <c r="A28" s="233" t="s">
        <v>1624</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1613</v>
      </c>
      <c r="B29" s="238">
        <f t="shared" ref="B29:B38" si="7">SUM(C29+D29)</f>
        <v>0</v>
      </c>
      <c r="C29" s="239"/>
      <c r="D29" s="239"/>
      <c r="E29" s="239">
        <f t="shared" ref="E29:E37" si="8">C29-SUM(F29:Q29)</f>
        <v>0</v>
      </c>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1614</v>
      </c>
      <c r="B30" s="238">
        <f t="shared" si="7"/>
        <v>15000000</v>
      </c>
      <c r="C30" s="239">
        <v>15000000</v>
      </c>
      <c r="D30" s="239"/>
      <c r="E30" s="239">
        <v>6621452</v>
      </c>
      <c r="F30" s="239">
        <v>4378548</v>
      </c>
      <c r="G30" s="239">
        <v>4000000</v>
      </c>
      <c r="H30" s="239"/>
      <c r="I30" s="239"/>
      <c r="J30" s="239"/>
      <c r="K30" s="239"/>
      <c r="L30" s="239"/>
      <c r="M30" s="239"/>
      <c r="N30" s="239"/>
      <c r="O30" s="239"/>
      <c r="P30" s="239"/>
      <c r="Q30" s="239"/>
      <c r="R30" s="239">
        <f t="shared" si="9"/>
        <v>15000000</v>
      </c>
      <c r="S30" s="239">
        <v>15000000</v>
      </c>
      <c r="T30" s="239"/>
      <c r="U30" s="235"/>
    </row>
    <row r="31" spans="1:21" s="236" customFormat="1">
      <c r="A31" s="237" t="s">
        <v>1615</v>
      </c>
      <c r="B31" s="238">
        <f t="shared" si="7"/>
        <v>900000</v>
      </c>
      <c r="C31" s="239">
        <v>900000</v>
      </c>
      <c r="D31" s="239"/>
      <c r="E31" s="239">
        <f t="shared" si="8"/>
        <v>900000</v>
      </c>
      <c r="F31" s="239"/>
      <c r="G31" s="239"/>
      <c r="H31" s="239"/>
      <c r="I31" s="239"/>
      <c r="J31" s="239"/>
      <c r="K31" s="239"/>
      <c r="L31" s="239"/>
      <c r="M31" s="239"/>
      <c r="N31" s="239"/>
      <c r="O31" s="239"/>
      <c r="P31" s="239"/>
      <c r="Q31" s="239"/>
      <c r="R31" s="239">
        <f t="shared" si="9"/>
        <v>900000</v>
      </c>
      <c r="S31" s="239">
        <v>900000</v>
      </c>
      <c r="T31" s="239"/>
      <c r="U31" s="235"/>
    </row>
    <row r="32" spans="1:21" s="236" customFormat="1">
      <c r="A32" s="237" t="s">
        <v>1616</v>
      </c>
      <c r="B32" s="238">
        <f t="shared" si="7"/>
        <v>318000</v>
      </c>
      <c r="C32" s="239">
        <v>318000</v>
      </c>
      <c r="D32" s="239"/>
      <c r="E32" s="239">
        <f t="shared" si="8"/>
        <v>318000</v>
      </c>
      <c r="F32" s="239"/>
      <c r="G32" s="239"/>
      <c r="H32" s="239"/>
      <c r="I32" s="239"/>
      <c r="J32" s="239"/>
      <c r="K32" s="239"/>
      <c r="L32" s="239"/>
      <c r="M32" s="239"/>
      <c r="N32" s="239"/>
      <c r="O32" s="239"/>
      <c r="P32" s="239"/>
      <c r="Q32" s="239"/>
      <c r="R32" s="239">
        <f t="shared" si="9"/>
        <v>318000</v>
      </c>
      <c r="S32" s="239">
        <v>318000</v>
      </c>
      <c r="T32" s="239"/>
      <c r="U32" s="235"/>
    </row>
    <row r="33" spans="1:21" s="236" customFormat="1">
      <c r="A33" s="237" t="s">
        <v>1617</v>
      </c>
      <c r="B33" s="238">
        <f t="shared" si="7"/>
        <v>954000</v>
      </c>
      <c r="C33" s="239">
        <v>954000</v>
      </c>
      <c r="D33" s="239"/>
      <c r="E33" s="239">
        <f t="shared" si="8"/>
        <v>954000</v>
      </c>
      <c r="F33" s="239"/>
      <c r="G33" s="239"/>
      <c r="H33" s="239"/>
      <c r="I33" s="239"/>
      <c r="J33" s="239"/>
      <c r="K33" s="239"/>
      <c r="L33" s="239"/>
      <c r="M33" s="239"/>
      <c r="N33" s="239"/>
      <c r="O33" s="239"/>
      <c r="P33" s="239"/>
      <c r="Q33" s="239"/>
      <c r="R33" s="239">
        <f t="shared" si="9"/>
        <v>954000</v>
      </c>
      <c r="S33" s="239">
        <v>954000</v>
      </c>
      <c r="T33" s="239"/>
      <c r="U33" s="235"/>
    </row>
    <row r="34" spans="1:21" s="236" customFormat="1">
      <c r="A34" s="237" t="s">
        <v>1618</v>
      </c>
      <c r="B34" s="238">
        <f t="shared" si="7"/>
        <v>0</v>
      </c>
      <c r="C34" s="239"/>
      <c r="D34" s="239"/>
      <c r="E34" s="239">
        <f t="shared" si="8"/>
        <v>0</v>
      </c>
      <c r="F34" s="239"/>
      <c r="G34" s="239"/>
      <c r="H34" s="239"/>
      <c r="I34" s="239"/>
      <c r="J34" s="239"/>
      <c r="K34" s="239"/>
      <c r="L34" s="239"/>
      <c r="M34" s="239"/>
      <c r="N34" s="239"/>
      <c r="O34" s="239"/>
      <c r="P34" s="239"/>
      <c r="Q34" s="239"/>
      <c r="R34" s="239">
        <f t="shared" si="9"/>
        <v>0</v>
      </c>
      <c r="S34" s="239"/>
      <c r="T34" s="239"/>
      <c r="U34" s="235"/>
    </row>
    <row r="35" spans="1:21" s="236" customFormat="1">
      <c r="A35" s="237" t="s">
        <v>1619</v>
      </c>
      <c r="B35" s="238">
        <f t="shared" si="7"/>
        <v>515160</v>
      </c>
      <c r="C35" s="239">
        <v>515160</v>
      </c>
      <c r="D35" s="239"/>
      <c r="E35" s="239">
        <f t="shared" si="8"/>
        <v>515160</v>
      </c>
      <c r="F35" s="239"/>
      <c r="G35" s="239"/>
      <c r="H35" s="239"/>
      <c r="I35" s="239"/>
      <c r="J35" s="239"/>
      <c r="K35" s="239"/>
      <c r="L35" s="239"/>
      <c r="M35" s="239"/>
      <c r="N35" s="239"/>
      <c r="O35" s="239"/>
      <c r="P35" s="239"/>
      <c r="Q35" s="239"/>
      <c r="R35" s="239">
        <f t="shared" si="9"/>
        <v>515160</v>
      </c>
      <c r="S35" s="239">
        <v>515160</v>
      </c>
      <c r="T35" s="239"/>
      <c r="U35" s="235"/>
    </row>
    <row r="36" spans="1:21" s="236" customFormat="1">
      <c r="A36" s="248" t="s">
        <v>1620</v>
      </c>
      <c r="B36" s="238">
        <f t="shared" si="7"/>
        <v>0</v>
      </c>
      <c r="C36" s="239"/>
      <c r="D36" s="239"/>
      <c r="E36" s="239">
        <f t="shared" si="8"/>
        <v>0</v>
      </c>
      <c r="F36" s="239"/>
      <c r="G36" s="239"/>
      <c r="H36" s="239"/>
      <c r="I36" s="239"/>
      <c r="J36" s="239"/>
      <c r="K36" s="239"/>
      <c r="L36" s="239"/>
      <c r="M36" s="239"/>
      <c r="N36" s="239"/>
      <c r="O36" s="239"/>
      <c r="P36" s="239"/>
      <c r="Q36" s="239"/>
      <c r="R36" s="239">
        <f t="shared" si="9"/>
        <v>0</v>
      </c>
      <c r="S36" s="239"/>
      <c r="T36" s="239"/>
      <c r="U36" s="235"/>
    </row>
    <row r="37" spans="1:21" s="236" customFormat="1">
      <c r="A37" s="244" t="s">
        <v>1621</v>
      </c>
      <c r="B37" s="238">
        <f t="shared" si="7"/>
        <v>0</v>
      </c>
      <c r="C37" s="239"/>
      <c r="D37" s="239"/>
      <c r="E37" s="239">
        <f t="shared" si="8"/>
        <v>0</v>
      </c>
      <c r="F37" s="239"/>
      <c r="G37" s="239"/>
      <c r="H37" s="239"/>
      <c r="I37" s="239"/>
      <c r="J37" s="239"/>
      <c r="K37" s="239"/>
      <c r="L37" s="239"/>
      <c r="M37" s="239"/>
      <c r="N37" s="239"/>
      <c r="O37" s="239"/>
      <c r="P37" s="239"/>
      <c r="Q37" s="239"/>
      <c r="R37" s="239">
        <f t="shared" si="9"/>
        <v>0</v>
      </c>
      <c r="S37" s="239"/>
      <c r="T37" s="239"/>
      <c r="U37" s="235"/>
    </row>
    <row r="38" spans="1:21" s="236" customFormat="1">
      <c r="A38" s="241" t="s">
        <v>1625</v>
      </c>
      <c r="B38" s="238">
        <f t="shared" si="7"/>
        <v>17687160</v>
      </c>
      <c r="C38" s="238">
        <f t="shared" ref="C38:T38" si="10">SUM(C29:C37)</f>
        <v>17687160</v>
      </c>
      <c r="D38" s="238">
        <f t="shared" si="10"/>
        <v>0</v>
      </c>
      <c r="E38" s="238">
        <f t="shared" si="10"/>
        <v>9308612</v>
      </c>
      <c r="F38" s="238">
        <f t="shared" si="10"/>
        <v>4378548</v>
      </c>
      <c r="G38" s="238">
        <f t="shared" si="10"/>
        <v>4000000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17687160</v>
      </c>
      <c r="S38" s="242">
        <f t="shared" si="10"/>
        <v>17687160</v>
      </c>
      <c r="T38" s="242">
        <f t="shared" si="10"/>
        <v>0</v>
      </c>
      <c r="U38" s="235"/>
    </row>
    <row r="39" spans="1:21" s="236" customFormat="1">
      <c r="A39" s="233" t="s">
        <v>1626</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1627</v>
      </c>
      <c r="B40" s="238">
        <f>SUM(C40+D40)</f>
        <v>800000</v>
      </c>
      <c r="C40" s="239">
        <v>800000</v>
      </c>
      <c r="D40" s="239"/>
      <c r="E40" s="239">
        <f>C40-SUM(F40:Q40)</f>
        <v>800000</v>
      </c>
      <c r="F40" s="239"/>
      <c r="G40" s="239"/>
      <c r="H40" s="239"/>
      <c r="I40" s="239"/>
      <c r="J40" s="239"/>
      <c r="K40" s="239"/>
      <c r="L40" s="239"/>
      <c r="M40" s="239"/>
      <c r="N40" s="239"/>
      <c r="O40" s="239"/>
      <c r="P40" s="239"/>
      <c r="Q40" s="239"/>
      <c r="R40" s="239">
        <f>SUM(E40:Q40)</f>
        <v>800000</v>
      </c>
      <c r="S40" s="239">
        <v>800000</v>
      </c>
      <c r="T40" s="239"/>
      <c r="U40" s="235"/>
    </row>
    <row r="41" spans="1:21" s="236" customFormat="1">
      <c r="A41" s="237" t="s">
        <v>1628</v>
      </c>
      <c r="B41" s="238">
        <f>SUM(C41+D41)</f>
        <v>0</v>
      </c>
      <c r="C41" s="239"/>
      <c r="D41" s="239"/>
      <c r="E41" s="239">
        <f>C41-SUM(F41:Q41)</f>
        <v>0</v>
      </c>
      <c r="F41" s="239"/>
      <c r="G41" s="239"/>
      <c r="H41" s="239"/>
      <c r="I41" s="239"/>
      <c r="J41" s="239"/>
      <c r="K41" s="239"/>
      <c r="L41" s="239"/>
      <c r="M41" s="239"/>
      <c r="N41" s="239"/>
      <c r="O41" s="239"/>
      <c r="P41" s="239"/>
      <c r="Q41" s="239"/>
      <c r="R41" s="239">
        <f>SUM(E41:Q41)</f>
        <v>0</v>
      </c>
      <c r="S41" s="239"/>
      <c r="T41" s="239"/>
      <c r="U41" s="235"/>
    </row>
    <row r="42" spans="1:21" s="236" customFormat="1">
      <c r="A42" s="241" t="s">
        <v>1629</v>
      </c>
      <c r="B42" s="238">
        <f>SUM(C42:D42)</f>
        <v>800000</v>
      </c>
      <c r="C42" s="238">
        <f>SUM(C39:C41)</f>
        <v>800000</v>
      </c>
      <c r="D42" s="238">
        <f>SUM(D39:D41)</f>
        <v>0</v>
      </c>
      <c r="E42" s="238">
        <f t="shared" ref="E42:T42" si="11">SUM(E40:E41)</f>
        <v>800000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800000</v>
      </c>
      <c r="S42" s="242">
        <f t="shared" si="11"/>
        <v>800000</v>
      </c>
      <c r="T42" s="242">
        <f t="shared" si="11"/>
        <v>0</v>
      </c>
      <c r="U42" s="235"/>
    </row>
    <row r="43" spans="1:21" s="236" customFormat="1">
      <c r="A43" s="241" t="s">
        <v>1630</v>
      </c>
      <c r="B43" s="238">
        <f>SUM(C43:D43)</f>
        <v>250000</v>
      </c>
      <c r="C43" s="239">
        <v>250000</v>
      </c>
      <c r="D43" s="239"/>
      <c r="E43" s="239">
        <f>C43-SUM(F43:Q43)</f>
        <v>250000</v>
      </c>
      <c r="F43" s="239">
        <v>0</v>
      </c>
      <c r="G43" s="239"/>
      <c r="H43" s="239"/>
      <c r="I43" s="239"/>
      <c r="J43" s="239"/>
      <c r="K43" s="239"/>
      <c r="L43" s="239"/>
      <c r="M43" s="239"/>
      <c r="N43" s="239"/>
      <c r="O43" s="239"/>
      <c r="P43" s="239"/>
      <c r="Q43" s="239"/>
      <c r="R43" s="239">
        <f>SUM(E43:Q43)</f>
        <v>250000</v>
      </c>
      <c r="S43" s="239">
        <v>250000</v>
      </c>
      <c r="T43" s="239"/>
      <c r="U43" s="235"/>
    </row>
    <row r="44" spans="1:21" s="236" customFormat="1">
      <c r="A44" s="233" t="s">
        <v>1631</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1632</v>
      </c>
      <c r="B45" s="238">
        <f t="shared" ref="B45:B52" si="12">SUM(C45+D45)</f>
        <v>885218</v>
      </c>
      <c r="C45" s="239">
        <v>885218</v>
      </c>
      <c r="D45" s="239"/>
      <c r="E45" s="239">
        <f t="shared" ref="E45:E52" si="13">C45-SUM(F45:Q45)</f>
        <v>885218</v>
      </c>
      <c r="F45" s="239"/>
      <c r="G45" s="239"/>
      <c r="H45" s="239"/>
      <c r="I45" s="239"/>
      <c r="J45" s="239"/>
      <c r="K45" s="239"/>
      <c r="L45" s="239"/>
      <c r="M45" s="239"/>
      <c r="N45" s="239"/>
      <c r="O45" s="239"/>
      <c r="P45" s="239"/>
      <c r="Q45" s="239"/>
      <c r="R45" s="239">
        <f t="shared" ref="R45:R52" si="14">SUM(E45:Q45)</f>
        <v>885218</v>
      </c>
      <c r="S45" s="239">
        <v>885218</v>
      </c>
      <c r="T45" s="239"/>
      <c r="U45" s="235"/>
    </row>
    <row r="46" spans="1:21" s="236" customFormat="1">
      <c r="A46" s="237" t="s">
        <v>1633</v>
      </c>
      <c r="B46" s="238">
        <f t="shared" si="12"/>
        <v>256677</v>
      </c>
      <c r="C46" s="239">
        <v>256677</v>
      </c>
      <c r="D46" s="239"/>
      <c r="E46" s="239">
        <f t="shared" si="13"/>
        <v>256677</v>
      </c>
      <c r="F46" s="239"/>
      <c r="G46" s="239"/>
      <c r="H46" s="239"/>
      <c r="I46" s="239"/>
      <c r="J46" s="239"/>
      <c r="K46" s="239"/>
      <c r="L46" s="239"/>
      <c r="M46" s="239"/>
      <c r="N46" s="239"/>
      <c r="O46" s="239"/>
      <c r="P46" s="239"/>
      <c r="Q46" s="239"/>
      <c r="R46" s="239">
        <f t="shared" si="14"/>
        <v>256677</v>
      </c>
      <c r="S46" s="239">
        <v>256677</v>
      </c>
      <c r="T46" s="239"/>
      <c r="U46" s="235"/>
    </row>
    <row r="47" spans="1:21" s="236" customFormat="1" ht="12" customHeight="1">
      <c r="A47" s="237" t="s">
        <v>1634</v>
      </c>
      <c r="B47" s="238">
        <f t="shared" si="12"/>
        <v>35000</v>
      </c>
      <c r="C47" s="239">
        <v>35000</v>
      </c>
      <c r="D47" s="239"/>
      <c r="E47" s="239">
        <f t="shared" si="13"/>
        <v>35000</v>
      </c>
      <c r="F47" s="239"/>
      <c r="G47" s="239"/>
      <c r="H47" s="239"/>
      <c r="I47" s="239"/>
      <c r="J47" s="239"/>
      <c r="K47" s="239"/>
      <c r="L47" s="239"/>
      <c r="M47" s="239"/>
      <c r="N47" s="239"/>
      <c r="O47" s="239"/>
      <c r="P47" s="239"/>
      <c r="Q47" s="239"/>
      <c r="R47" s="239">
        <f t="shared" si="14"/>
        <v>35000</v>
      </c>
      <c r="S47" s="239">
        <v>35000</v>
      </c>
      <c r="T47" s="239"/>
      <c r="U47" s="235"/>
    </row>
    <row r="48" spans="1:21" s="236" customFormat="1">
      <c r="A48" s="237" t="s">
        <v>1635</v>
      </c>
      <c r="B48" s="238">
        <f t="shared" si="12"/>
        <v>0</v>
      </c>
      <c r="C48" s="239"/>
      <c r="D48" s="239"/>
      <c r="E48" s="239">
        <f t="shared" si="13"/>
        <v>0</v>
      </c>
      <c r="F48" s="239"/>
      <c r="G48" s="239"/>
      <c r="H48" s="239"/>
      <c r="I48" s="239"/>
      <c r="J48" s="239"/>
      <c r="K48" s="239"/>
      <c r="L48" s="239"/>
      <c r="M48" s="239"/>
      <c r="N48" s="239"/>
      <c r="O48" s="239"/>
      <c r="P48" s="239"/>
      <c r="Q48" s="239"/>
      <c r="R48" s="239">
        <f t="shared" si="14"/>
        <v>0</v>
      </c>
      <c r="S48" s="239"/>
      <c r="T48" s="239"/>
      <c r="U48" s="235"/>
    </row>
    <row r="49" spans="1:21" s="236" customFormat="1">
      <c r="A49" s="237" t="s">
        <v>1636</v>
      </c>
      <c r="B49" s="238">
        <f t="shared" si="12"/>
        <v>40000</v>
      </c>
      <c r="C49" s="239">
        <v>40000</v>
      </c>
      <c r="D49" s="239"/>
      <c r="E49" s="239">
        <f t="shared" si="13"/>
        <v>40000</v>
      </c>
      <c r="F49" s="239"/>
      <c r="G49" s="239"/>
      <c r="H49" s="239"/>
      <c r="I49" s="239"/>
      <c r="J49" s="239"/>
      <c r="K49" s="239"/>
      <c r="L49" s="239"/>
      <c r="M49" s="239"/>
      <c r="N49" s="239"/>
      <c r="O49" s="239"/>
      <c r="P49" s="239"/>
      <c r="Q49" s="239"/>
      <c r="R49" s="239">
        <f t="shared" si="14"/>
        <v>40000</v>
      </c>
      <c r="S49" s="239">
        <v>40000</v>
      </c>
      <c r="T49" s="239"/>
      <c r="U49" s="235"/>
    </row>
    <row r="50" spans="1:21" s="236" customFormat="1">
      <c r="A50" s="237" t="s">
        <v>1637</v>
      </c>
      <c r="B50" s="238">
        <f t="shared" si="12"/>
        <v>84000</v>
      </c>
      <c r="C50" s="239">
        <v>84000</v>
      </c>
      <c r="D50" s="239"/>
      <c r="E50" s="239">
        <f t="shared" si="13"/>
        <v>84000</v>
      </c>
      <c r="F50" s="239"/>
      <c r="G50" s="239"/>
      <c r="H50" s="239"/>
      <c r="I50" s="239"/>
      <c r="J50" s="239"/>
      <c r="K50" s="239"/>
      <c r="L50" s="239"/>
      <c r="M50" s="239"/>
      <c r="N50" s="239"/>
      <c r="O50" s="239"/>
      <c r="P50" s="239"/>
      <c r="Q50" s="239"/>
      <c r="R50" s="239">
        <f t="shared" si="14"/>
        <v>84000</v>
      </c>
      <c r="S50" s="239">
        <v>84000</v>
      </c>
      <c r="T50" s="239"/>
      <c r="U50" s="235"/>
    </row>
    <row r="51" spans="1:21" s="236" customFormat="1">
      <c r="A51" s="237" t="s">
        <v>772</v>
      </c>
      <c r="B51" s="238">
        <f t="shared" si="12"/>
        <v>0</v>
      </c>
      <c r="C51" s="239"/>
      <c r="D51" s="239"/>
      <c r="E51" s="239">
        <f t="shared" si="13"/>
        <v>0</v>
      </c>
      <c r="F51" s="239"/>
      <c r="G51" s="239"/>
      <c r="H51" s="239"/>
      <c r="I51" s="239"/>
      <c r="J51" s="239"/>
      <c r="K51" s="239"/>
      <c r="L51" s="239"/>
      <c r="M51" s="239"/>
      <c r="N51" s="239"/>
      <c r="O51" s="239"/>
      <c r="P51" s="239"/>
      <c r="Q51" s="239"/>
      <c r="R51" s="239">
        <f t="shared" si="14"/>
        <v>0</v>
      </c>
      <c r="S51" s="239"/>
      <c r="T51" s="239"/>
      <c r="U51" s="235"/>
    </row>
    <row r="52" spans="1:21" s="236" customFormat="1">
      <c r="A52" s="244" t="s">
        <v>2444</v>
      </c>
      <c r="B52" s="238">
        <f t="shared" si="12"/>
        <v>20000</v>
      </c>
      <c r="C52" s="239">
        <v>20000</v>
      </c>
      <c r="D52" s="239"/>
      <c r="E52" s="239">
        <f t="shared" si="13"/>
        <v>20000</v>
      </c>
      <c r="F52" s="239"/>
      <c r="G52" s="239"/>
      <c r="H52" s="239"/>
      <c r="I52" s="239"/>
      <c r="J52" s="239"/>
      <c r="K52" s="239"/>
      <c r="L52" s="239"/>
      <c r="M52" s="239"/>
      <c r="N52" s="239"/>
      <c r="O52" s="239"/>
      <c r="P52" s="239"/>
      <c r="Q52" s="239"/>
      <c r="R52" s="239">
        <f t="shared" si="14"/>
        <v>20000</v>
      </c>
      <c r="S52" s="239">
        <v>20000</v>
      </c>
      <c r="T52" s="239"/>
      <c r="U52" s="235"/>
    </row>
    <row r="53" spans="1:21" s="246" customFormat="1">
      <c r="A53" s="241" t="s">
        <v>1638</v>
      </c>
      <c r="B53" s="242">
        <f>SUM(C53:D53)</f>
        <v>1320895</v>
      </c>
      <c r="C53" s="242">
        <f t="shared" ref="C53:T53" si="15">SUM(C45:C52)</f>
        <v>1320895</v>
      </c>
      <c r="D53" s="242">
        <f t="shared" si="15"/>
        <v>0</v>
      </c>
      <c r="E53" s="242">
        <f t="shared" si="15"/>
        <v>1320895</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1320895</v>
      </c>
      <c r="S53" s="242">
        <f t="shared" si="15"/>
        <v>1320895</v>
      </c>
      <c r="T53" s="242">
        <f t="shared" si="15"/>
        <v>0</v>
      </c>
      <c r="U53" s="245"/>
    </row>
    <row r="54" spans="1:21" s="236" customFormat="1">
      <c r="A54" s="233" t="s">
        <v>578</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1639</v>
      </c>
      <c r="B55" s="238">
        <f t="shared" ref="B55:B60" si="16">SUM(C55+D55)</f>
        <v>0</v>
      </c>
      <c r="C55" s="239"/>
      <c r="D55" s="239"/>
      <c r="E55" s="239">
        <f t="shared" ref="E55:E60" si="17">C55-SUM(F55:Q55)</f>
        <v>0</v>
      </c>
      <c r="F55" s="239"/>
      <c r="G55" s="239"/>
      <c r="H55" s="239"/>
      <c r="I55" s="239"/>
      <c r="J55" s="239"/>
      <c r="K55" s="239"/>
      <c r="L55" s="239"/>
      <c r="M55" s="239"/>
      <c r="N55" s="239"/>
      <c r="O55" s="239"/>
      <c r="P55" s="239"/>
      <c r="Q55" s="239"/>
      <c r="R55" s="239">
        <f t="shared" ref="R55:R60" si="18">SUM(E55:Q55)</f>
        <v>0</v>
      </c>
      <c r="S55" s="240"/>
      <c r="T55" s="240"/>
      <c r="U55" s="235"/>
    </row>
    <row r="56" spans="1:21" s="236" customFormat="1" ht="12" customHeight="1">
      <c r="A56" s="237" t="s">
        <v>1634</v>
      </c>
      <c r="B56" s="238">
        <f t="shared" si="16"/>
        <v>0</v>
      </c>
      <c r="C56" s="239"/>
      <c r="D56" s="239"/>
      <c r="E56" s="239">
        <f t="shared" si="17"/>
        <v>0</v>
      </c>
      <c r="F56" s="239"/>
      <c r="G56" s="239"/>
      <c r="H56" s="239"/>
      <c r="I56" s="239"/>
      <c r="J56" s="239"/>
      <c r="K56" s="239"/>
      <c r="L56" s="239"/>
      <c r="M56" s="239"/>
      <c r="N56" s="239"/>
      <c r="O56" s="239"/>
      <c r="P56" s="239"/>
      <c r="Q56" s="239"/>
      <c r="R56" s="239">
        <f t="shared" si="18"/>
        <v>0</v>
      </c>
      <c r="S56" s="240"/>
      <c r="T56" s="240"/>
      <c r="U56" s="235"/>
    </row>
    <row r="57" spans="1:21" s="236" customFormat="1">
      <c r="A57" s="237" t="s">
        <v>1636</v>
      </c>
      <c r="B57" s="238">
        <f t="shared" si="16"/>
        <v>10000</v>
      </c>
      <c r="C57" s="239">
        <v>10000</v>
      </c>
      <c r="D57" s="239"/>
      <c r="E57" s="239">
        <f t="shared" si="17"/>
        <v>10000</v>
      </c>
      <c r="F57" s="239"/>
      <c r="G57" s="239"/>
      <c r="H57" s="239"/>
      <c r="I57" s="239"/>
      <c r="J57" s="239"/>
      <c r="K57" s="239"/>
      <c r="L57" s="239"/>
      <c r="M57" s="239"/>
      <c r="N57" s="239"/>
      <c r="O57" s="239"/>
      <c r="P57" s="239"/>
      <c r="Q57" s="239"/>
      <c r="R57" s="239">
        <f t="shared" si="18"/>
        <v>10000</v>
      </c>
      <c r="S57" s="240"/>
      <c r="T57" s="240"/>
      <c r="U57" s="235"/>
    </row>
    <row r="58" spans="1:21" s="236" customFormat="1">
      <c r="A58" s="237" t="s">
        <v>1637</v>
      </c>
      <c r="B58" s="238">
        <f t="shared" si="16"/>
        <v>5000</v>
      </c>
      <c r="C58" s="239">
        <v>5000</v>
      </c>
      <c r="D58" s="239"/>
      <c r="E58" s="239">
        <f t="shared" si="17"/>
        <v>5000</v>
      </c>
      <c r="F58" s="239"/>
      <c r="G58" s="239"/>
      <c r="H58" s="239"/>
      <c r="I58" s="239"/>
      <c r="J58" s="239"/>
      <c r="K58" s="239"/>
      <c r="L58" s="239"/>
      <c r="M58" s="239"/>
      <c r="N58" s="239"/>
      <c r="O58" s="239"/>
      <c r="P58" s="239"/>
      <c r="Q58" s="239"/>
      <c r="R58" s="239">
        <f t="shared" si="18"/>
        <v>5000</v>
      </c>
      <c r="S58" s="240"/>
      <c r="T58" s="240"/>
      <c r="U58" s="235"/>
    </row>
    <row r="59" spans="1:21" s="236" customFormat="1">
      <c r="A59" s="237" t="s">
        <v>772</v>
      </c>
      <c r="B59" s="238">
        <f t="shared" si="16"/>
        <v>0</v>
      </c>
      <c r="C59" s="239"/>
      <c r="D59" s="239"/>
      <c r="E59" s="239">
        <f t="shared" si="17"/>
        <v>0</v>
      </c>
      <c r="F59" s="239"/>
      <c r="G59" s="239"/>
      <c r="H59" s="239"/>
      <c r="I59" s="239"/>
      <c r="J59" s="239"/>
      <c r="K59" s="239"/>
      <c r="L59" s="239"/>
      <c r="M59" s="239"/>
      <c r="N59" s="239"/>
      <c r="O59" s="239"/>
      <c r="P59" s="239"/>
      <c r="Q59" s="239"/>
      <c r="R59" s="239">
        <f t="shared" si="18"/>
        <v>0</v>
      </c>
      <c r="S59" s="240"/>
      <c r="T59" s="240"/>
      <c r="U59" s="235"/>
    </row>
    <row r="60" spans="1:21" s="236" customFormat="1">
      <c r="A60" s="244" t="s">
        <v>1621</v>
      </c>
      <c r="B60" s="238">
        <f t="shared" si="16"/>
        <v>0</v>
      </c>
      <c r="C60" s="239"/>
      <c r="D60" s="239"/>
      <c r="E60" s="239">
        <f t="shared" si="17"/>
        <v>0</v>
      </c>
      <c r="F60" s="239"/>
      <c r="G60" s="239"/>
      <c r="H60" s="239"/>
      <c r="I60" s="239"/>
      <c r="J60" s="239"/>
      <c r="K60" s="239"/>
      <c r="L60" s="239"/>
      <c r="M60" s="239"/>
      <c r="N60" s="239"/>
      <c r="O60" s="239"/>
      <c r="P60" s="239"/>
      <c r="Q60" s="239"/>
      <c r="R60" s="239">
        <f t="shared" si="18"/>
        <v>0</v>
      </c>
      <c r="S60" s="240"/>
      <c r="T60" s="240"/>
      <c r="U60" s="235"/>
    </row>
    <row r="61" spans="1:21" s="236" customFormat="1" ht="13.9" customHeight="1">
      <c r="A61" s="241" t="s">
        <v>1640</v>
      </c>
      <c r="B61" s="238">
        <f>SUM(C61:D61)</f>
        <v>15000</v>
      </c>
      <c r="C61" s="238">
        <f t="shared" ref="C61:R61" si="19">SUM(C55:C60)</f>
        <v>15000</v>
      </c>
      <c r="D61" s="238">
        <f t="shared" si="19"/>
        <v>0</v>
      </c>
      <c r="E61" s="238">
        <f t="shared" si="19"/>
        <v>15000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15000</v>
      </c>
      <c r="S61" s="240"/>
      <c r="T61" s="240"/>
      <c r="U61" s="235"/>
    </row>
    <row r="62" spans="1:21" s="236" customFormat="1">
      <c r="A62" s="247" t="s">
        <v>1641</v>
      </c>
      <c r="B62" s="238">
        <f>SUM(C62:D62)</f>
        <v>24273055</v>
      </c>
      <c r="C62" s="238">
        <f t="shared" ref="C62:R62" si="20">SUM(C8+C11+C13+C14+C15+C26+C27+C38+C42+C43+C53+C61)</f>
        <v>24273055</v>
      </c>
      <c r="D62" s="238">
        <f t="shared" si="20"/>
        <v>0</v>
      </c>
      <c r="E62" s="238">
        <f t="shared" si="20"/>
        <v>15894507</v>
      </c>
      <c r="F62" s="238">
        <f t="shared" si="20"/>
        <v>4378548</v>
      </c>
      <c r="G62" s="238">
        <f t="shared" si="20"/>
        <v>4000000</v>
      </c>
      <c r="H62" s="238">
        <f t="shared" si="20"/>
        <v>0</v>
      </c>
      <c r="I62" s="238">
        <f t="shared" si="20"/>
        <v>0</v>
      </c>
      <c r="J62" s="238">
        <f t="shared" si="20"/>
        <v>0</v>
      </c>
      <c r="K62" s="238">
        <f t="shared" si="20"/>
        <v>0</v>
      </c>
      <c r="L62" s="238">
        <f t="shared" si="20"/>
        <v>0</v>
      </c>
      <c r="M62" s="238">
        <f t="shared" si="20"/>
        <v>0</v>
      </c>
      <c r="N62" s="238">
        <f t="shared" si="20"/>
        <v>0</v>
      </c>
      <c r="O62" s="238">
        <f t="shared" si="20"/>
        <v>0</v>
      </c>
      <c r="P62" s="238">
        <f t="shared" si="20"/>
        <v>0</v>
      </c>
      <c r="Q62" s="238">
        <f t="shared" si="20"/>
        <v>0</v>
      </c>
      <c r="R62" s="238">
        <f t="shared" si="20"/>
        <v>24273055</v>
      </c>
      <c r="S62" s="238">
        <f>SUM(S10+S13+S14+S15+S26+S27+S38+S42+S43+S53)</f>
        <v>20058055</v>
      </c>
      <c r="T62" s="238">
        <f>SUM(T11+T13+T14+T15+T26+T27+T38+T42+T43+T53)</f>
        <v>0</v>
      </c>
      <c r="U62" s="235"/>
    </row>
    <row r="63" spans="1:21" s="236" customFormat="1" ht="24" customHeight="1">
      <c r="A63" s="233" t="s">
        <v>1642</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1643</v>
      </c>
      <c r="B64" s="238">
        <f>SUM(C64+D64)</f>
        <v>65000</v>
      </c>
      <c r="C64" s="239">
        <v>65000</v>
      </c>
      <c r="D64" s="239"/>
      <c r="E64" s="239">
        <f>C64-SUM(F64:Q64)</f>
        <v>65000</v>
      </c>
      <c r="F64" s="239"/>
      <c r="G64" s="239"/>
      <c r="H64" s="239"/>
      <c r="I64" s="239"/>
      <c r="J64" s="239"/>
      <c r="K64" s="239"/>
      <c r="L64" s="239"/>
      <c r="M64" s="239"/>
      <c r="N64" s="239"/>
      <c r="O64" s="239"/>
      <c r="P64" s="239"/>
      <c r="Q64" s="239"/>
      <c r="R64" s="239">
        <f>SUM(E64:Q64)</f>
        <v>65000</v>
      </c>
      <c r="S64" s="239">
        <v>65000</v>
      </c>
      <c r="T64" s="239"/>
      <c r="U64" s="235"/>
    </row>
    <row r="65" spans="1:21" s="236" customFormat="1" ht="24" customHeight="1">
      <c r="A65" s="237" t="s">
        <v>1644</v>
      </c>
      <c r="B65" s="238">
        <f>SUM(C65+D65)</f>
        <v>0</v>
      </c>
      <c r="C65" s="239"/>
      <c r="D65" s="239"/>
      <c r="E65" s="239">
        <f>C65-SUM(F65:Q65)</f>
        <v>0</v>
      </c>
      <c r="F65" s="239"/>
      <c r="G65" s="239"/>
      <c r="H65" s="239"/>
      <c r="I65" s="239"/>
      <c r="J65" s="239"/>
      <c r="K65" s="239"/>
      <c r="L65" s="239"/>
      <c r="M65" s="239"/>
      <c r="N65" s="239"/>
      <c r="O65" s="239"/>
      <c r="P65" s="239"/>
      <c r="Q65" s="239"/>
      <c r="R65" s="239">
        <f>SUM(E65:Q65)</f>
        <v>0</v>
      </c>
      <c r="S65" s="239"/>
      <c r="T65" s="239"/>
      <c r="U65" s="235"/>
    </row>
    <row r="66" spans="1:21" s="236" customFormat="1" ht="24" customHeight="1">
      <c r="A66" s="237" t="s">
        <v>1645</v>
      </c>
      <c r="B66" s="238">
        <f>SUM(C66+D66)</f>
        <v>0</v>
      </c>
      <c r="C66" s="239"/>
      <c r="D66" s="239"/>
      <c r="E66" s="239">
        <f>C66-SUM(F66:Q66)</f>
        <v>0</v>
      </c>
      <c r="F66" s="239"/>
      <c r="G66" s="239"/>
      <c r="H66" s="239"/>
      <c r="I66" s="239"/>
      <c r="J66" s="239"/>
      <c r="K66" s="239"/>
      <c r="L66" s="239"/>
      <c r="M66" s="239"/>
      <c r="N66" s="239"/>
      <c r="O66" s="239"/>
      <c r="P66" s="239"/>
      <c r="Q66" s="239"/>
      <c r="R66" s="239">
        <f>SUM(E66:Q66)</f>
        <v>0</v>
      </c>
      <c r="S66" s="239"/>
      <c r="T66" s="239"/>
      <c r="U66" s="235"/>
    </row>
    <row r="67" spans="1:21" s="236" customFormat="1">
      <c r="A67" s="237" t="s">
        <v>1646</v>
      </c>
      <c r="B67" s="238">
        <f>SUM(C67+D67)</f>
        <v>0</v>
      </c>
      <c r="C67" s="239"/>
      <c r="D67" s="239"/>
      <c r="E67" s="239">
        <f>C67-SUM(F67:Q67)</f>
        <v>0</v>
      </c>
      <c r="F67" s="239"/>
      <c r="G67" s="239"/>
      <c r="H67" s="239"/>
      <c r="I67" s="239"/>
      <c r="J67" s="239"/>
      <c r="K67" s="239"/>
      <c r="L67" s="239"/>
      <c r="M67" s="239"/>
      <c r="N67" s="239"/>
      <c r="O67" s="239"/>
      <c r="P67" s="239"/>
      <c r="Q67" s="239"/>
      <c r="R67" s="239">
        <f>SUM(E67:Q67)</f>
        <v>0</v>
      </c>
      <c r="S67" s="239"/>
      <c r="T67" s="239"/>
      <c r="U67" s="235"/>
    </row>
    <row r="68" spans="1:21" s="236" customFormat="1">
      <c r="A68" s="244" t="s">
        <v>2445</v>
      </c>
      <c r="B68" s="238">
        <f>SUM(C68+D68)</f>
        <v>50000</v>
      </c>
      <c r="C68" s="239">
        <v>50000</v>
      </c>
      <c r="D68" s="239"/>
      <c r="E68" s="239">
        <f>C68-SUM(F68:Q68)</f>
        <v>50000</v>
      </c>
      <c r="F68" s="239"/>
      <c r="G68" s="239"/>
      <c r="H68" s="239"/>
      <c r="I68" s="239"/>
      <c r="J68" s="239"/>
      <c r="K68" s="239"/>
      <c r="L68" s="239"/>
      <c r="M68" s="239"/>
      <c r="N68" s="239"/>
      <c r="O68" s="239"/>
      <c r="P68" s="239"/>
      <c r="Q68" s="239"/>
      <c r="R68" s="239">
        <f>SUM(E68:Q68)</f>
        <v>50000</v>
      </c>
      <c r="S68" s="239">
        <v>50000</v>
      </c>
      <c r="T68" s="239"/>
      <c r="U68" s="235"/>
    </row>
    <row r="69" spans="1:21" s="236" customFormat="1">
      <c r="A69" s="241" t="s">
        <v>1647</v>
      </c>
      <c r="B69" s="238">
        <f>SUM(C69:D69)</f>
        <v>115000</v>
      </c>
      <c r="C69" s="238">
        <f>SUM(C63:C68)</f>
        <v>115000</v>
      </c>
      <c r="D69" s="238">
        <f>SUM(D63:D68)</f>
        <v>0</v>
      </c>
      <c r="E69" s="238">
        <f t="shared" ref="E69:T69" si="21">SUM(E64:E68)</f>
        <v>115000</v>
      </c>
      <c r="F69" s="238">
        <f t="shared" si="21"/>
        <v>0</v>
      </c>
      <c r="G69" s="238">
        <f t="shared" si="21"/>
        <v>0</v>
      </c>
      <c r="H69" s="238">
        <f t="shared" si="21"/>
        <v>0</v>
      </c>
      <c r="I69" s="238">
        <f t="shared" si="21"/>
        <v>0</v>
      </c>
      <c r="J69" s="238">
        <f t="shared" si="21"/>
        <v>0</v>
      </c>
      <c r="K69" s="238">
        <f t="shared" si="21"/>
        <v>0</v>
      </c>
      <c r="L69" s="238">
        <f t="shared" si="21"/>
        <v>0</v>
      </c>
      <c r="M69" s="238">
        <f t="shared" si="21"/>
        <v>0</v>
      </c>
      <c r="N69" s="238">
        <f t="shared" si="21"/>
        <v>0</v>
      </c>
      <c r="O69" s="238">
        <f t="shared" si="21"/>
        <v>0</v>
      </c>
      <c r="P69" s="238">
        <f t="shared" si="21"/>
        <v>0</v>
      </c>
      <c r="Q69" s="238">
        <f t="shared" si="21"/>
        <v>0</v>
      </c>
      <c r="R69" s="238">
        <f t="shared" si="21"/>
        <v>115000</v>
      </c>
      <c r="S69" s="242">
        <f t="shared" si="21"/>
        <v>115000</v>
      </c>
      <c r="T69" s="242">
        <f t="shared" si="21"/>
        <v>0</v>
      </c>
      <c r="U69" s="235"/>
    </row>
    <row r="70" spans="1:21" s="236" customFormat="1">
      <c r="A70" s="233" t="s">
        <v>1648</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1649</v>
      </c>
      <c r="B71" s="238">
        <f>SUM(C71+D71)</f>
        <v>30000</v>
      </c>
      <c r="C71" s="239">
        <v>30000</v>
      </c>
      <c r="D71" s="239"/>
      <c r="E71" s="239">
        <f>C71-SUM(F71:Q71)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1650</v>
      </c>
      <c r="B72" s="238">
        <f>SUM(C72+D72)</f>
        <v>0</v>
      </c>
      <c r="C72" s="239"/>
      <c r="D72" s="239"/>
      <c r="E72" s="239">
        <f>C72-SUM(F72:Q72)</f>
        <v>0</v>
      </c>
      <c r="F72" s="239"/>
      <c r="G72" s="239"/>
      <c r="H72" s="239"/>
      <c r="I72" s="239"/>
      <c r="J72" s="239"/>
      <c r="K72" s="239"/>
      <c r="L72" s="239"/>
      <c r="M72" s="239"/>
      <c r="N72" s="239"/>
      <c r="O72" s="239"/>
      <c r="P72" s="239"/>
      <c r="Q72" s="239"/>
      <c r="R72" s="239">
        <f>SUM(E72:Q72)</f>
        <v>0</v>
      </c>
      <c r="S72" s="240"/>
      <c r="T72" s="240"/>
      <c r="U72" s="235"/>
    </row>
    <row r="73" spans="1:21" s="236" customFormat="1">
      <c r="A73" s="453" t="s">
        <v>1651</v>
      </c>
      <c r="B73" s="238">
        <f>SUM(C73+D73)</f>
        <v>0</v>
      </c>
      <c r="C73" s="239"/>
      <c r="D73" s="239"/>
      <c r="E73" s="239">
        <f>C73-SUM(F73:Q73)</f>
        <v>0</v>
      </c>
      <c r="F73" s="239"/>
      <c r="G73" s="239"/>
      <c r="H73" s="239"/>
      <c r="I73" s="239"/>
      <c r="J73" s="239"/>
      <c r="K73" s="239"/>
      <c r="L73" s="239"/>
      <c r="M73" s="239"/>
      <c r="N73" s="239"/>
      <c r="O73" s="239"/>
      <c r="P73" s="239"/>
      <c r="Q73" s="239"/>
      <c r="R73" s="239">
        <f>SUM(E73:Q73)</f>
        <v>0</v>
      </c>
      <c r="S73" s="240"/>
      <c r="T73" s="240"/>
      <c r="U73" s="235"/>
    </row>
    <row r="74" spans="1:21" s="236" customFormat="1">
      <c r="A74" s="237" t="s">
        <v>1652</v>
      </c>
      <c r="B74" s="238">
        <f>SUM(C74+D74)</f>
        <v>155012</v>
      </c>
      <c r="C74" s="239">
        <v>155012</v>
      </c>
      <c r="D74" s="239"/>
      <c r="E74" s="239">
        <f>C74-SUM(F74:Q74)</f>
        <v>155012</v>
      </c>
      <c r="F74" s="239"/>
      <c r="G74" s="239"/>
      <c r="H74" s="239"/>
      <c r="I74" s="239"/>
      <c r="J74" s="239"/>
      <c r="K74" s="239"/>
      <c r="L74" s="239"/>
      <c r="M74" s="239"/>
      <c r="N74" s="239"/>
      <c r="O74" s="239"/>
      <c r="P74" s="239"/>
      <c r="Q74" s="239"/>
      <c r="R74" s="239">
        <f>SUM(E74:Q74)</f>
        <v>155012</v>
      </c>
      <c r="S74" s="240"/>
      <c r="T74" s="240"/>
      <c r="U74" s="235"/>
    </row>
    <row r="75" spans="1:21" s="236" customFormat="1">
      <c r="A75" s="244" t="s">
        <v>1621</v>
      </c>
      <c r="B75" s="238">
        <f>SUM(C75+D75)</f>
        <v>0</v>
      </c>
      <c r="C75" s="239"/>
      <c r="D75" s="239"/>
      <c r="E75" s="239">
        <f>C75-SUM(F75:Q75)</f>
        <v>0</v>
      </c>
      <c r="F75" s="239"/>
      <c r="G75" s="239"/>
      <c r="H75" s="239"/>
      <c r="I75" s="239"/>
      <c r="J75" s="239"/>
      <c r="K75" s="239"/>
      <c r="L75" s="239"/>
      <c r="M75" s="239"/>
      <c r="N75" s="239"/>
      <c r="O75" s="239"/>
      <c r="P75" s="239"/>
      <c r="Q75" s="239"/>
      <c r="R75" s="239">
        <f>SUM(E75:Q75)</f>
        <v>0</v>
      </c>
      <c r="S75" s="240"/>
      <c r="T75" s="240"/>
      <c r="U75" s="235"/>
    </row>
    <row r="76" spans="1:21" s="236" customFormat="1">
      <c r="A76" s="241" t="s">
        <v>1653</v>
      </c>
      <c r="B76" s="238">
        <f>SUM(C76:D76)</f>
        <v>185012</v>
      </c>
      <c r="C76" s="238">
        <f t="shared" ref="C76:R76" si="22">SUM(C71:C75)</f>
        <v>185012</v>
      </c>
      <c r="D76" s="238">
        <f t="shared" si="22"/>
        <v>0</v>
      </c>
      <c r="E76" s="238">
        <f t="shared" si="22"/>
        <v>185012</v>
      </c>
      <c r="F76" s="238">
        <f t="shared" si="22"/>
        <v>0</v>
      </c>
      <c r="G76" s="238">
        <f t="shared" si="22"/>
        <v>0</v>
      </c>
      <c r="H76" s="238">
        <f t="shared" si="22"/>
        <v>0</v>
      </c>
      <c r="I76" s="238">
        <f t="shared" si="22"/>
        <v>0</v>
      </c>
      <c r="J76" s="238">
        <f t="shared" si="22"/>
        <v>0</v>
      </c>
      <c r="K76" s="238">
        <f t="shared" si="22"/>
        <v>0</v>
      </c>
      <c r="L76" s="238">
        <f t="shared" si="22"/>
        <v>0</v>
      </c>
      <c r="M76" s="238">
        <f t="shared" si="22"/>
        <v>0</v>
      </c>
      <c r="N76" s="238">
        <f t="shared" si="22"/>
        <v>0</v>
      </c>
      <c r="O76" s="238">
        <f t="shared" si="22"/>
        <v>0</v>
      </c>
      <c r="P76" s="238">
        <f t="shared" si="22"/>
        <v>0</v>
      </c>
      <c r="Q76" s="238">
        <f t="shared" si="22"/>
        <v>0</v>
      </c>
      <c r="R76" s="238">
        <f t="shared" si="22"/>
        <v>185012</v>
      </c>
      <c r="S76" s="240"/>
      <c r="T76" s="240"/>
      <c r="U76" s="235"/>
    </row>
    <row r="77" spans="1:21" s="236" customFormat="1" ht="11.85" customHeight="1">
      <c r="A77" s="233" t="s">
        <v>1654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1655</v>
      </c>
      <c r="B78" s="238">
        <f>SUM(C78+D78)</f>
        <v>884358</v>
      </c>
      <c r="C78" s="239">
        <v>884358</v>
      </c>
      <c r="D78" s="239"/>
      <c r="E78" s="239">
        <f t="shared" ref="E78:E94" si="23">C78-SUM(F78:Q78)</f>
        <v>884358</v>
      </c>
      <c r="F78" s="239"/>
      <c r="G78" s="239"/>
      <c r="H78" s="239"/>
      <c r="I78" s="239"/>
      <c r="J78" s="239"/>
      <c r="K78" s="239"/>
      <c r="L78" s="239"/>
      <c r="M78" s="239"/>
      <c r="N78" s="239"/>
      <c r="O78" s="239"/>
      <c r="P78" s="239"/>
      <c r="Q78" s="239"/>
      <c r="R78" s="239">
        <f>SUM(E78:Q78)</f>
        <v>884358</v>
      </c>
      <c r="S78" s="239">
        <v>884358</v>
      </c>
      <c r="T78" s="239"/>
      <c r="U78" s="235"/>
    </row>
    <row r="79" spans="1:21" s="236" customFormat="1">
      <c r="A79" s="237" t="s">
        <v>1656</v>
      </c>
      <c r="B79" s="238">
        <f>SUM(C79+D79)</f>
        <v>177547</v>
      </c>
      <c r="C79" s="239">
        <v>177547</v>
      </c>
      <c r="D79" s="239"/>
      <c r="E79" s="239">
        <f t="shared" si="23"/>
        <v>177547</v>
      </c>
      <c r="F79" s="239"/>
      <c r="G79" s="239"/>
      <c r="H79" s="239"/>
      <c r="I79" s="239"/>
      <c r="J79" s="239"/>
      <c r="K79" s="239"/>
      <c r="L79" s="239"/>
      <c r="M79" s="239"/>
      <c r="N79" s="239"/>
      <c r="O79" s="239"/>
      <c r="P79" s="239"/>
      <c r="Q79" s="239"/>
      <c r="R79" s="239">
        <f>SUM(E79:Q79)</f>
        <v>177547</v>
      </c>
      <c r="S79" s="239">
        <v>177547</v>
      </c>
      <c r="T79" s="239"/>
      <c r="U79" s="235"/>
    </row>
    <row r="80" spans="1:21" s="236" customFormat="1">
      <c r="A80" s="241" t="s">
        <v>1657</v>
      </c>
      <c r="B80" s="238">
        <f>SUM(C80:D80)</f>
        <v>1061905</v>
      </c>
      <c r="C80" s="661">
        <f>SUM(C78:C79)</f>
        <v>1061905</v>
      </c>
      <c r="D80" s="661">
        <f>SUM(D78:D79)</f>
        <v>0</v>
      </c>
      <c r="E80" s="661">
        <f t="shared" si="23"/>
        <v>1061905</v>
      </c>
      <c r="F80" s="661">
        <f t="shared" ref="F80:T80" si="24">SUM(F78:F79)</f>
        <v>0</v>
      </c>
      <c r="G80" s="661">
        <f t="shared" si="24"/>
        <v>0</v>
      </c>
      <c r="H80" s="661">
        <f t="shared" si="24"/>
        <v>0</v>
      </c>
      <c r="I80" s="661">
        <f t="shared" si="24"/>
        <v>0</v>
      </c>
      <c r="J80" s="661">
        <f t="shared" si="24"/>
        <v>0</v>
      </c>
      <c r="K80" s="661">
        <f t="shared" si="24"/>
        <v>0</v>
      </c>
      <c r="L80" s="661">
        <f t="shared" si="24"/>
        <v>0</v>
      </c>
      <c r="M80" s="661">
        <f t="shared" si="24"/>
        <v>0</v>
      </c>
      <c r="N80" s="661">
        <f t="shared" si="24"/>
        <v>0</v>
      </c>
      <c r="O80" s="661">
        <f t="shared" si="24"/>
        <v>0</v>
      </c>
      <c r="P80" s="661">
        <f t="shared" si="24"/>
        <v>0</v>
      </c>
      <c r="Q80" s="661">
        <f t="shared" si="24"/>
        <v>0</v>
      </c>
      <c r="R80" s="661">
        <f t="shared" si="24"/>
        <v>1061905</v>
      </c>
      <c r="S80" s="661">
        <f t="shared" si="24"/>
        <v>1061905</v>
      </c>
      <c r="T80" s="661">
        <f t="shared" si="24"/>
        <v>0</v>
      </c>
      <c r="U80" s="235"/>
    </row>
    <row r="81" spans="1:21" s="236" customFormat="1">
      <c r="A81" s="233" t="s">
        <v>1658</v>
      </c>
      <c r="B81" s="243"/>
      <c r="C81" s="243"/>
      <c r="D81" s="243"/>
      <c r="E81" s="243">
        <f t="shared" si="23"/>
        <v>0</v>
      </c>
      <c r="F81" s="243"/>
      <c r="G81" s="243"/>
      <c r="H81" s="243"/>
      <c r="I81" s="243"/>
      <c r="J81" s="243"/>
      <c r="K81" s="243"/>
      <c r="L81" s="243"/>
      <c r="M81" s="243"/>
      <c r="N81" s="243"/>
      <c r="O81" s="243"/>
      <c r="P81" s="243"/>
      <c r="Q81" s="243"/>
      <c r="R81" s="243"/>
      <c r="S81" s="243"/>
      <c r="T81" s="243"/>
      <c r="U81" s="235"/>
    </row>
    <row r="82" spans="1:21" s="236" customFormat="1" ht="13.9" customHeight="1">
      <c r="A82" s="237" t="s">
        <v>1659</v>
      </c>
      <c r="B82" s="238">
        <f t="shared" ref="B82:B94" si="25">SUM(C82+D82)</f>
        <v>101681</v>
      </c>
      <c r="C82" s="239">
        <v>101681</v>
      </c>
      <c r="D82" s="239"/>
      <c r="E82" s="239">
        <f t="shared" si="23"/>
        <v>101681</v>
      </c>
      <c r="F82" s="239"/>
      <c r="G82" s="239"/>
      <c r="H82" s="239"/>
      <c r="I82" s="239"/>
      <c r="J82" s="239"/>
      <c r="K82" s="239"/>
      <c r="L82" s="239"/>
      <c r="M82" s="239"/>
      <c r="N82" s="239"/>
      <c r="O82" s="239"/>
      <c r="P82" s="239"/>
      <c r="Q82" s="239"/>
      <c r="R82" s="239">
        <f t="shared" ref="R82:R94" si="26">SUM(E82:Q82)</f>
        <v>101681</v>
      </c>
      <c r="S82" s="240"/>
      <c r="T82" s="240"/>
      <c r="U82" s="235"/>
    </row>
    <row r="83" spans="1:21" s="236" customFormat="1">
      <c r="A83" s="237" t="s">
        <v>1660</v>
      </c>
      <c r="B83" s="238">
        <f t="shared" si="25"/>
        <v>7000</v>
      </c>
      <c r="C83" s="239">
        <v>7000</v>
      </c>
      <c r="D83" s="239"/>
      <c r="E83" s="239">
        <f t="shared" si="23"/>
        <v>7000</v>
      </c>
      <c r="F83" s="239"/>
      <c r="G83" s="239"/>
      <c r="H83" s="239"/>
      <c r="I83" s="239"/>
      <c r="J83" s="239"/>
      <c r="K83" s="239"/>
      <c r="L83" s="239"/>
      <c r="M83" s="239"/>
      <c r="N83" s="239"/>
      <c r="O83" s="239"/>
      <c r="P83" s="239"/>
      <c r="Q83" s="239"/>
      <c r="R83" s="239">
        <f t="shared" si="26"/>
        <v>7000</v>
      </c>
      <c r="S83" s="239">
        <v>7000</v>
      </c>
      <c r="T83" s="239"/>
      <c r="U83" s="235"/>
    </row>
    <row r="84" spans="1:21" s="236" customFormat="1">
      <c r="A84" s="237" t="s">
        <v>1661</v>
      </c>
      <c r="B84" s="238">
        <f t="shared" si="25"/>
        <v>236395</v>
      </c>
      <c r="C84" s="239">
        <v>236395</v>
      </c>
      <c r="D84" s="239"/>
      <c r="E84" s="239">
        <f t="shared" si="23"/>
        <v>236395</v>
      </c>
      <c r="F84" s="239"/>
      <c r="G84" s="239"/>
      <c r="H84" s="239"/>
      <c r="I84" s="239"/>
      <c r="J84" s="239"/>
      <c r="K84" s="239"/>
      <c r="L84" s="239"/>
      <c r="M84" s="239"/>
      <c r="N84" s="239"/>
      <c r="O84" s="239"/>
      <c r="P84" s="239"/>
      <c r="Q84" s="239"/>
      <c r="R84" s="239">
        <f t="shared" si="26"/>
        <v>236395</v>
      </c>
      <c r="S84" s="239">
        <v>236395</v>
      </c>
      <c r="T84" s="239"/>
      <c r="U84" s="235"/>
    </row>
    <row r="85" spans="1:21" s="236" customFormat="1">
      <c r="A85" s="237" t="s">
        <v>1662</v>
      </c>
      <c r="B85" s="238">
        <f t="shared" si="25"/>
        <v>1433605</v>
      </c>
      <c r="C85" s="239">
        <v>1433605</v>
      </c>
      <c r="D85" s="239"/>
      <c r="E85" s="239">
        <f t="shared" si="23"/>
        <v>1433605</v>
      </c>
      <c r="F85" s="239"/>
      <c r="G85" s="239"/>
      <c r="H85" s="239"/>
      <c r="I85" s="239"/>
      <c r="J85" s="239"/>
      <c r="K85" s="239"/>
      <c r="L85" s="239"/>
      <c r="M85" s="239"/>
      <c r="N85" s="239"/>
      <c r="O85" s="239"/>
      <c r="P85" s="239"/>
      <c r="Q85" s="239"/>
      <c r="R85" s="239">
        <f t="shared" si="26"/>
        <v>1433605</v>
      </c>
      <c r="S85" s="239">
        <v>1433605</v>
      </c>
      <c r="T85" s="239"/>
      <c r="U85" s="235"/>
    </row>
    <row r="86" spans="1:21" s="236" customFormat="1">
      <c r="A86" s="237" t="s">
        <v>1663</v>
      </c>
      <c r="B86" s="238">
        <f t="shared" si="25"/>
        <v>0</v>
      </c>
      <c r="C86" s="239"/>
      <c r="D86" s="239"/>
      <c r="E86" s="239">
        <f t="shared" si="23"/>
        <v>0</v>
      </c>
      <c r="F86" s="239"/>
      <c r="G86" s="239"/>
      <c r="H86" s="239"/>
      <c r="I86" s="239"/>
      <c r="J86" s="239"/>
      <c r="K86" s="239"/>
      <c r="L86" s="239"/>
      <c r="M86" s="239"/>
      <c r="N86" s="239"/>
      <c r="O86" s="239"/>
      <c r="P86" s="239"/>
      <c r="Q86" s="239"/>
      <c r="R86" s="239">
        <f t="shared" si="26"/>
        <v>0</v>
      </c>
      <c r="S86" s="239"/>
      <c r="T86" s="239"/>
      <c r="U86" s="235"/>
    </row>
    <row r="87" spans="1:21" s="236" customFormat="1">
      <c r="A87" s="237" t="s">
        <v>1664</v>
      </c>
      <c r="B87" s="238">
        <f t="shared" si="25"/>
        <v>67285</v>
      </c>
      <c r="C87" s="239">
        <v>67285</v>
      </c>
      <c r="D87" s="239"/>
      <c r="E87" s="239">
        <f t="shared" si="23"/>
        <v>67285</v>
      </c>
      <c r="F87" s="239"/>
      <c r="G87" s="239"/>
      <c r="H87" s="239"/>
      <c r="I87" s="239"/>
      <c r="J87" s="239"/>
      <c r="K87" s="239"/>
      <c r="L87" s="239"/>
      <c r="M87" s="239"/>
      <c r="N87" s="239"/>
      <c r="O87" s="239"/>
      <c r="P87" s="239"/>
      <c r="Q87" s="239"/>
      <c r="R87" s="239">
        <f t="shared" si="26"/>
        <v>67285</v>
      </c>
      <c r="S87" s="240"/>
      <c r="T87" s="240"/>
      <c r="U87" s="235"/>
    </row>
    <row r="88" spans="1:21" s="236" customFormat="1">
      <c r="A88" s="237" t="s">
        <v>1665</v>
      </c>
      <c r="B88" s="238">
        <f t="shared" si="25"/>
        <v>40000</v>
      </c>
      <c r="C88" s="239">
        <v>40000</v>
      </c>
      <c r="D88" s="239"/>
      <c r="E88" s="239">
        <f t="shared" si="23"/>
        <v>40000</v>
      </c>
      <c r="F88" s="239"/>
      <c r="G88" s="239"/>
      <c r="H88" s="239"/>
      <c r="I88" s="239"/>
      <c r="J88" s="239"/>
      <c r="K88" s="239"/>
      <c r="L88" s="239"/>
      <c r="M88" s="239"/>
      <c r="N88" s="239"/>
      <c r="O88" s="239"/>
      <c r="P88" s="239"/>
      <c r="Q88" s="239"/>
      <c r="R88" s="239">
        <f t="shared" si="26"/>
        <v>40000</v>
      </c>
      <c r="S88" s="239">
        <v>40000</v>
      </c>
      <c r="T88" s="239"/>
      <c r="U88" s="235"/>
    </row>
    <row r="89" spans="1:21" s="236" customFormat="1">
      <c r="A89" s="237" t="s">
        <v>1666</v>
      </c>
      <c r="B89" s="238">
        <f t="shared" si="25"/>
        <v>10000</v>
      </c>
      <c r="C89" s="239">
        <v>10000</v>
      </c>
      <c r="D89" s="239"/>
      <c r="E89" s="239">
        <f t="shared" si="23"/>
        <v>10000</v>
      </c>
      <c r="F89" s="239"/>
      <c r="G89" s="239"/>
      <c r="H89" s="239"/>
      <c r="I89" s="239"/>
      <c r="J89" s="239"/>
      <c r="K89" s="239"/>
      <c r="L89" s="239"/>
      <c r="M89" s="239"/>
      <c r="N89" s="239"/>
      <c r="O89" s="239"/>
      <c r="P89" s="239"/>
      <c r="Q89" s="239"/>
      <c r="R89" s="239">
        <f t="shared" si="26"/>
        <v>10000</v>
      </c>
      <c r="S89" s="239">
        <v>10000</v>
      </c>
      <c r="T89" s="239"/>
      <c r="U89" s="235"/>
    </row>
    <row r="90" spans="1:21" s="236" customFormat="1">
      <c r="A90" s="248" t="s">
        <v>1667</v>
      </c>
      <c r="B90" s="238">
        <f t="shared" si="25"/>
        <v>45000</v>
      </c>
      <c r="C90" s="239">
        <v>45000</v>
      </c>
      <c r="D90" s="239"/>
      <c r="E90" s="239">
        <f t="shared" si="23"/>
        <v>45000</v>
      </c>
      <c r="F90" s="239"/>
      <c r="G90" s="239"/>
      <c r="H90" s="239"/>
      <c r="I90" s="239"/>
      <c r="J90" s="239"/>
      <c r="K90" s="239"/>
      <c r="L90" s="239"/>
      <c r="M90" s="239"/>
      <c r="N90" s="239"/>
      <c r="O90" s="239"/>
      <c r="P90" s="239"/>
      <c r="Q90" s="239"/>
      <c r="R90" s="239">
        <f t="shared" si="26"/>
        <v>45000</v>
      </c>
      <c r="S90" s="239">
        <v>45000</v>
      </c>
      <c r="T90" s="239"/>
      <c r="U90" s="235"/>
    </row>
    <row r="91" spans="1:21" s="236" customFormat="1">
      <c r="A91" s="248" t="s">
        <v>1668</v>
      </c>
      <c r="B91" s="238">
        <f t="shared" si="25"/>
        <v>7500</v>
      </c>
      <c r="C91" s="239">
        <v>7500</v>
      </c>
      <c r="D91" s="239"/>
      <c r="E91" s="239">
        <f t="shared" si="23"/>
        <v>7500</v>
      </c>
      <c r="F91" s="239"/>
      <c r="G91" s="239"/>
      <c r="H91" s="239"/>
      <c r="I91" s="239"/>
      <c r="J91" s="239"/>
      <c r="K91" s="239"/>
      <c r="L91" s="239"/>
      <c r="M91" s="239"/>
      <c r="N91" s="239"/>
      <c r="O91" s="239"/>
      <c r="P91" s="239"/>
      <c r="Q91" s="239"/>
      <c r="R91" s="239">
        <f t="shared" si="26"/>
        <v>7500</v>
      </c>
      <c r="S91" s="239">
        <v>7500</v>
      </c>
      <c r="T91" s="239"/>
      <c r="U91" s="235"/>
    </row>
    <row r="92" spans="1:21" s="236" customFormat="1">
      <c r="A92" s="244" t="s">
        <v>1621</v>
      </c>
      <c r="B92" s="238">
        <f t="shared" si="25"/>
        <v>0</v>
      </c>
      <c r="C92" s="239"/>
      <c r="D92" s="239"/>
      <c r="E92" s="239">
        <f t="shared" si="23"/>
        <v>0</v>
      </c>
      <c r="F92" s="239"/>
      <c r="G92" s="239"/>
      <c r="H92" s="239"/>
      <c r="I92" s="239"/>
      <c r="J92" s="239"/>
      <c r="K92" s="239"/>
      <c r="L92" s="239"/>
      <c r="M92" s="239"/>
      <c r="N92" s="239"/>
      <c r="O92" s="239"/>
      <c r="P92" s="239"/>
      <c r="Q92" s="239"/>
      <c r="R92" s="239">
        <f t="shared" si="26"/>
        <v>0</v>
      </c>
      <c r="S92" s="239"/>
      <c r="T92" s="239"/>
      <c r="U92" s="235"/>
    </row>
    <row r="93" spans="1:21" s="236" customFormat="1">
      <c r="A93" s="244" t="s">
        <v>1621</v>
      </c>
      <c r="B93" s="238">
        <f t="shared" si="25"/>
        <v>0</v>
      </c>
      <c r="C93" s="239"/>
      <c r="D93" s="239"/>
      <c r="E93" s="239">
        <f t="shared" si="23"/>
        <v>0</v>
      </c>
      <c r="F93" s="239"/>
      <c r="G93" s="239"/>
      <c r="H93" s="239"/>
      <c r="I93" s="239"/>
      <c r="J93" s="239"/>
      <c r="K93" s="239"/>
      <c r="L93" s="239"/>
      <c r="M93" s="239"/>
      <c r="N93" s="239"/>
      <c r="O93" s="239"/>
      <c r="P93" s="239"/>
      <c r="Q93" s="239"/>
      <c r="R93" s="239">
        <f t="shared" si="26"/>
        <v>0</v>
      </c>
      <c r="S93" s="239"/>
      <c r="T93" s="239"/>
      <c r="U93" s="235"/>
    </row>
    <row r="94" spans="1:21" s="236" customFormat="1">
      <c r="A94" s="244" t="s">
        <v>1621</v>
      </c>
      <c r="B94" s="238">
        <f t="shared" si="25"/>
        <v>0</v>
      </c>
      <c r="C94" s="239"/>
      <c r="D94" s="239"/>
      <c r="E94" s="239">
        <f t="shared" si="23"/>
        <v>0</v>
      </c>
      <c r="F94" s="239"/>
      <c r="G94" s="239"/>
      <c r="H94" s="239"/>
      <c r="I94" s="239"/>
      <c r="J94" s="239"/>
      <c r="K94" s="239"/>
      <c r="L94" s="239"/>
      <c r="M94" s="239"/>
      <c r="N94" s="239"/>
      <c r="O94" s="239"/>
      <c r="P94" s="239"/>
      <c r="Q94" s="239"/>
      <c r="R94" s="239">
        <f t="shared" si="26"/>
        <v>0</v>
      </c>
      <c r="S94" s="239"/>
      <c r="T94" s="239"/>
      <c r="U94" s="235"/>
    </row>
    <row r="95" spans="1:21" s="236" customFormat="1">
      <c r="A95" s="241" t="s">
        <v>1669</v>
      </c>
      <c r="B95" s="238">
        <f>SUM(C95:D95)</f>
        <v>1948466</v>
      </c>
      <c r="C95" s="238">
        <f t="shared" ref="C95:R95" si="27">SUM(C82:C94)</f>
        <v>1948466</v>
      </c>
      <c r="D95" s="238">
        <f t="shared" si="27"/>
        <v>0</v>
      </c>
      <c r="E95" s="238">
        <f t="shared" si="27"/>
        <v>1948466</v>
      </c>
      <c r="F95" s="238">
        <f t="shared" si="27"/>
        <v>0</v>
      </c>
      <c r="G95" s="238">
        <f t="shared" si="27"/>
        <v>0</v>
      </c>
      <c r="H95" s="238">
        <f t="shared" si="27"/>
        <v>0</v>
      </c>
      <c r="I95" s="238">
        <f t="shared" si="27"/>
        <v>0</v>
      </c>
      <c r="J95" s="238">
        <f t="shared" si="27"/>
        <v>0</v>
      </c>
      <c r="K95" s="238">
        <f t="shared" si="27"/>
        <v>0</v>
      </c>
      <c r="L95" s="238">
        <f t="shared" si="27"/>
        <v>0</v>
      </c>
      <c r="M95" s="238">
        <f t="shared" si="27"/>
        <v>0</v>
      </c>
      <c r="N95" s="238">
        <f t="shared" si="27"/>
        <v>0</v>
      </c>
      <c r="O95" s="238">
        <f t="shared" si="27"/>
        <v>0</v>
      </c>
      <c r="P95" s="238">
        <f t="shared" si="27"/>
        <v>0</v>
      </c>
      <c r="Q95" s="238">
        <f t="shared" si="27"/>
        <v>0</v>
      </c>
      <c r="R95" s="238">
        <f t="shared" si="27"/>
        <v>1948466</v>
      </c>
      <c r="S95" s="242">
        <f>SUM(S83:S86,S88:S94)</f>
        <v>1779500</v>
      </c>
      <c r="T95" s="238">
        <f>SUM(T83:T86,T88:T94)</f>
        <v>0</v>
      </c>
      <c r="U95" s="235"/>
    </row>
    <row r="96" spans="1:21" s="236" customFormat="1">
      <c r="A96" s="241" t="s">
        <v>1670</v>
      </c>
      <c r="B96" s="238">
        <f>SUM(C96:D96)</f>
        <v>27583438</v>
      </c>
      <c r="C96" s="238">
        <f t="shared" ref="C96:R96" si="28">SUM(C62+C69+C76+C80+C95)</f>
        <v>27583438</v>
      </c>
      <c r="D96" s="238">
        <f t="shared" si="28"/>
        <v>0</v>
      </c>
      <c r="E96" s="238">
        <f t="shared" si="28"/>
        <v>19204890</v>
      </c>
      <c r="F96" s="238">
        <f t="shared" si="28"/>
        <v>4378548</v>
      </c>
      <c r="G96" s="238">
        <f t="shared" si="28"/>
        <v>4000000</v>
      </c>
      <c r="H96" s="238">
        <f t="shared" si="28"/>
        <v>0</v>
      </c>
      <c r="I96" s="238">
        <f t="shared" si="28"/>
        <v>0</v>
      </c>
      <c r="J96" s="238">
        <f t="shared" si="28"/>
        <v>0</v>
      </c>
      <c r="K96" s="238">
        <f t="shared" si="28"/>
        <v>0</v>
      </c>
      <c r="L96" s="238">
        <f t="shared" si="28"/>
        <v>0</v>
      </c>
      <c r="M96" s="238">
        <f t="shared" si="28"/>
        <v>0</v>
      </c>
      <c r="N96" s="238">
        <f t="shared" si="28"/>
        <v>0</v>
      </c>
      <c r="O96" s="238">
        <f t="shared" si="28"/>
        <v>0</v>
      </c>
      <c r="P96" s="238">
        <f t="shared" si="28"/>
        <v>0</v>
      </c>
      <c r="Q96" s="238">
        <f t="shared" si="28"/>
        <v>0</v>
      </c>
      <c r="R96" s="238">
        <f t="shared" si="28"/>
        <v>27583438</v>
      </c>
      <c r="S96" s="242">
        <f>SUM(+S62+S69+S80+S95)</f>
        <v>23014460</v>
      </c>
      <c r="T96" s="242">
        <f>SUM(T62+T69+T80+T95)</f>
        <v>0</v>
      </c>
      <c r="U96" s="235"/>
    </row>
    <row r="97" spans="1:21" s="236" customFormat="1">
      <c r="A97" s="233" t="s">
        <v>1671</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1672</v>
      </c>
      <c r="B98" s="238">
        <f>SUM(C98+D98)</f>
        <v>2500000</v>
      </c>
      <c r="C98" s="239">
        <v>2500000</v>
      </c>
      <c r="D98" s="239"/>
      <c r="E98" s="239">
        <v>1545110</v>
      </c>
      <c r="F98" s="239"/>
      <c r="G98" s="239"/>
      <c r="H98" s="239">
        <v>954890</v>
      </c>
      <c r="I98" s="239"/>
      <c r="J98" s="239"/>
      <c r="K98" s="239"/>
      <c r="L98" s="239"/>
      <c r="M98" s="239"/>
      <c r="N98" s="239"/>
      <c r="O98" s="239"/>
      <c r="P98" s="239"/>
      <c r="Q98" s="239"/>
      <c r="R98" s="239">
        <f>SUM(E98:Q98)</f>
        <v>2500000</v>
      </c>
      <c r="S98" s="239">
        <v>2500000</v>
      </c>
      <c r="T98" s="239"/>
      <c r="U98" s="235"/>
    </row>
    <row r="99" spans="1:21" s="236" customFormat="1">
      <c r="A99" s="237" t="s">
        <v>1673</v>
      </c>
      <c r="B99" s="238">
        <f>SUM(C99+D99)</f>
        <v>0</v>
      </c>
      <c r="C99" s="239"/>
      <c r="D99" s="239"/>
      <c r="E99" s="239">
        <f>C99-SUM(F99:Q99)</f>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1674</v>
      </c>
      <c r="B100" s="238">
        <f>SUM(C100+D100)</f>
        <v>0</v>
      </c>
      <c r="C100" s="239"/>
      <c r="D100" s="239"/>
      <c r="E100" s="239">
        <f>C100-SUM(F100:Q100)</f>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1675</v>
      </c>
      <c r="B101" s="238">
        <f>SUM(C101+D101)</f>
        <v>0</v>
      </c>
      <c r="C101" s="239"/>
      <c r="D101" s="239"/>
      <c r="E101" s="239">
        <f>C101-SUM(F101:Q101)</f>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1621</v>
      </c>
      <c r="B102" s="238">
        <f>SUM(C102+D102)</f>
        <v>0</v>
      </c>
      <c r="C102" s="239"/>
      <c r="D102" s="239"/>
      <c r="E102" s="239">
        <f>C102-SUM(F102:Q102)</f>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1676</v>
      </c>
      <c r="B103" s="238">
        <f>SUM(C103:D103)</f>
        <v>2500000</v>
      </c>
      <c r="C103" s="238">
        <f t="shared" ref="C103:T103" si="29">SUM(C98:C102)</f>
        <v>2500000</v>
      </c>
      <c r="D103" s="238">
        <f t="shared" si="29"/>
        <v>0</v>
      </c>
      <c r="E103" s="238">
        <f t="shared" si="29"/>
        <v>1545110</v>
      </c>
      <c r="F103" s="238">
        <f t="shared" si="29"/>
        <v>0</v>
      </c>
      <c r="G103" s="238">
        <f t="shared" si="29"/>
        <v>0</v>
      </c>
      <c r="H103" s="238">
        <f t="shared" si="29"/>
        <v>954890</v>
      </c>
      <c r="I103" s="238">
        <f t="shared" si="29"/>
        <v>0</v>
      </c>
      <c r="J103" s="238">
        <f t="shared" si="29"/>
        <v>0</v>
      </c>
      <c r="K103" s="238">
        <f t="shared" si="29"/>
        <v>0</v>
      </c>
      <c r="L103" s="238">
        <f t="shared" si="29"/>
        <v>0</v>
      </c>
      <c r="M103" s="238">
        <f t="shared" si="29"/>
        <v>0</v>
      </c>
      <c r="N103" s="238">
        <f t="shared" si="29"/>
        <v>0</v>
      </c>
      <c r="O103" s="238">
        <f t="shared" si="29"/>
        <v>0</v>
      </c>
      <c r="P103" s="238">
        <f t="shared" si="29"/>
        <v>0</v>
      </c>
      <c r="Q103" s="238">
        <f t="shared" si="29"/>
        <v>0</v>
      </c>
      <c r="R103" s="238">
        <f t="shared" si="29"/>
        <v>2500000</v>
      </c>
      <c r="S103" s="242">
        <f t="shared" si="29"/>
        <v>2500000</v>
      </c>
      <c r="T103" s="242">
        <f t="shared" si="29"/>
        <v>0</v>
      </c>
      <c r="U103" s="235"/>
    </row>
    <row r="104" spans="1:21" s="236" customFormat="1">
      <c r="A104" s="241" t="s">
        <v>1677</v>
      </c>
      <c r="B104" s="242">
        <f>SUM(C104:D104)</f>
        <v>30083438</v>
      </c>
      <c r="C104" s="242">
        <f t="shared" ref="C104:R104" si="30">SUM(C96+C103)</f>
        <v>30083438</v>
      </c>
      <c r="D104" s="242">
        <f t="shared" si="30"/>
        <v>0</v>
      </c>
      <c r="E104" s="242">
        <f t="shared" si="30"/>
        <v>20750000</v>
      </c>
      <c r="F104" s="242">
        <f t="shared" si="30"/>
        <v>4378548</v>
      </c>
      <c r="G104" s="242">
        <f t="shared" si="30"/>
        <v>4000000</v>
      </c>
      <c r="H104" s="242">
        <f t="shared" si="30"/>
        <v>954890</v>
      </c>
      <c r="I104" s="242">
        <f t="shared" si="30"/>
        <v>0</v>
      </c>
      <c r="J104" s="242">
        <f t="shared" si="30"/>
        <v>0</v>
      </c>
      <c r="K104" s="242">
        <f t="shared" si="30"/>
        <v>0</v>
      </c>
      <c r="L104" s="242">
        <f t="shared" si="30"/>
        <v>0</v>
      </c>
      <c r="M104" s="242">
        <f t="shared" si="30"/>
        <v>0</v>
      </c>
      <c r="N104" s="242">
        <f t="shared" si="30"/>
        <v>0</v>
      </c>
      <c r="O104" s="242">
        <f t="shared" si="30"/>
        <v>0</v>
      </c>
      <c r="P104" s="242">
        <f t="shared" si="30"/>
        <v>0</v>
      </c>
      <c r="Q104" s="242">
        <f t="shared" si="30"/>
        <v>0</v>
      </c>
      <c r="R104" s="238">
        <f t="shared" si="30"/>
        <v>30083438</v>
      </c>
      <c r="S104" s="242">
        <f>S96+S103</f>
        <v>25514460</v>
      </c>
      <c r="T104" s="242">
        <f>T96+T103</f>
        <v>0</v>
      </c>
      <c r="U104" s="235"/>
    </row>
    <row r="105" spans="1:21" s="251" customFormat="1">
      <c r="A105" s="774" t="s">
        <v>1678</v>
      </c>
      <c r="B105" s="250"/>
      <c r="C105" s="250"/>
      <c r="D105" s="250"/>
      <c r="H105" s="252" t="s">
        <v>1679</v>
      </c>
      <c r="I105" s="252"/>
      <c r="J105" s="252"/>
      <c r="R105" s="253" t="s">
        <v>1680</v>
      </c>
      <c r="S105" s="239"/>
      <c r="T105" s="239"/>
      <c r="U105" s="254"/>
    </row>
    <row r="106" spans="1:21" s="251" customFormat="1">
      <c r="A106" s="252" t="s">
        <v>1681</v>
      </c>
      <c r="C106" s="250"/>
      <c r="D106" s="250"/>
      <c r="I106" s="255" t="s">
        <v>1682</v>
      </c>
      <c r="J106" s="255"/>
      <c r="R106" s="253" t="s">
        <v>1683</v>
      </c>
      <c r="S106" s="242">
        <f>S104+S105</f>
        <v>25514460</v>
      </c>
      <c r="T106" s="242">
        <f>T104+T105</f>
        <v>0</v>
      </c>
      <c r="U106" s="254"/>
    </row>
    <row r="107" spans="1:21" s="256" customFormat="1">
      <c r="A107" s="255" t="s">
        <v>1684</v>
      </c>
      <c r="B107" s="250"/>
      <c r="C107" s="250"/>
      <c r="D107" s="250"/>
      <c r="E107" s="238">
        <f>Application!AO642</f>
        <v>20750000</v>
      </c>
      <c r="F107" s="238">
        <f>Application!AO629</f>
        <v>4378548</v>
      </c>
      <c r="G107" s="238">
        <f>Application!AO630</f>
        <v>4000000</v>
      </c>
      <c r="H107" s="238">
        <f>Application!AO631</f>
        <v>954890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ustomHeight="1">
      <c r="A109" s="102" t="s">
        <v>1685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ustomHeight="1">
      <c r="A110" s="126" t="s">
        <v>1686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ustomHeight="1">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ustomHeight="1">
      <c r="A112" s="295" t="s">
        <v>1687</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ustomHeight="1">
      <c r="A113" s="126" t="s">
        <v>1688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ustomHeight="1">
      <c r="A114" s="295" t="s">
        <v>1689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ustomHeight="1">
      <c r="A115" s="295"/>
      <c r="U115" s="254"/>
    </row>
    <row r="116" spans="1:21" s="256" customFormat="1">
      <c r="A116" s="557" t="s">
        <v>1690</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1691</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7" t="s">
        <v>1692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7" t="s">
        <v>1693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ustomHeight="1">
      <c r="A120" s="295"/>
      <c r="U120" s="254"/>
    </row>
    <row r="121" spans="1:21" s="548" customFormat="1" ht="15.75" customHeight="1">
      <c r="A121" s="547" t="s">
        <v>1694</v>
      </c>
      <c r="U121" s="549"/>
    </row>
    <row r="122" spans="1:21" s="251" customFormat="1">
      <c r="A122" s="252" t="s">
        <v>1695</v>
      </c>
      <c r="D122" s="1337" t="s">
        <v>1696</v>
      </c>
      <c r="E122" s="1337"/>
      <c r="F122" s="1337"/>
      <c r="U122" s="254"/>
    </row>
    <row r="123" spans="1:21" s="251" customFormat="1">
      <c r="A123" s="251" t="s">
        <v>1697</v>
      </c>
      <c r="B123" s="542"/>
      <c r="D123" s="1339" t="s">
        <v>1698</v>
      </c>
      <c r="E123" s="1337"/>
      <c r="F123" s="1337"/>
      <c r="G123" s="1337"/>
      <c r="H123" s="1337"/>
      <c r="I123" s="1337"/>
      <c r="J123" s="1337"/>
      <c r="K123" s="1337"/>
      <c r="L123" s="1337"/>
      <c r="M123" s="1337"/>
      <c r="N123" s="1337"/>
      <c r="O123" s="1337"/>
      <c r="P123" s="1337"/>
      <c r="Q123" s="1337"/>
      <c r="R123" s="1337"/>
      <c r="S123" s="1337"/>
      <c r="U123" s="254"/>
    </row>
    <row r="124" spans="1:21" s="251" customFormat="1" ht="12.75" customHeight="1">
      <c r="A124" s="207" t="s">
        <v>1699</v>
      </c>
      <c r="B124" s="542"/>
      <c r="C124" s="207"/>
      <c r="D124" s="1337"/>
      <c r="E124" s="1337"/>
      <c r="F124" s="1337"/>
      <c r="G124" s="1337"/>
      <c r="H124" s="1337"/>
      <c r="I124" s="1337"/>
      <c r="J124" s="1337"/>
      <c r="K124" s="1337"/>
      <c r="L124" s="1337"/>
      <c r="M124" s="1337"/>
      <c r="N124" s="1337"/>
      <c r="O124" s="1337"/>
      <c r="P124" s="1337"/>
      <c r="Q124" s="1337"/>
      <c r="R124" s="1337"/>
      <c r="S124" s="1337"/>
      <c r="U124" s="254"/>
    </row>
    <row r="125" spans="1:21" s="251" customFormat="1" ht="12.75" customHeight="1">
      <c r="A125" s="207" t="s">
        <v>1700</v>
      </c>
      <c r="B125" s="542"/>
      <c r="C125" s="207"/>
      <c r="D125" s="1337"/>
      <c r="E125" s="1337"/>
      <c r="F125" s="1337"/>
      <c r="G125" s="1337"/>
      <c r="H125" s="1337"/>
      <c r="I125" s="1337"/>
      <c r="J125" s="1337"/>
      <c r="K125" s="1337"/>
      <c r="L125" s="1337"/>
      <c r="M125" s="1337"/>
      <c r="N125" s="1337"/>
      <c r="O125" s="1337"/>
      <c r="P125" s="1337"/>
      <c r="Q125" s="1337"/>
      <c r="R125" s="1337"/>
      <c r="S125" s="1337"/>
      <c r="U125" s="254"/>
    </row>
    <row r="126" spans="1:21" s="251" customFormat="1" ht="12.75" customHeight="1">
      <c r="A126" s="207" t="s">
        <v>1701</v>
      </c>
      <c r="B126" s="542"/>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ustomHeight="1">
      <c r="A127" s="207" t="s">
        <v>1702</v>
      </c>
      <c r="B127" s="542"/>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ustomHeight="1">
      <c r="A128" s="207" t="s">
        <v>1703</v>
      </c>
      <c r="B128" s="542"/>
      <c r="C128" s="207"/>
      <c r="D128" s="1334"/>
      <c r="E128" s="1093"/>
      <c r="F128" s="1093"/>
      <c r="G128" s="1093"/>
      <c r="H128" s="1093"/>
      <c r="I128" s="207"/>
      <c r="J128" s="1335"/>
      <c r="K128" s="1060"/>
      <c r="L128" s="207"/>
      <c r="M128" s="207"/>
      <c r="N128" s="207"/>
      <c r="O128" s="207"/>
      <c r="P128" s="207"/>
      <c r="Q128" s="207"/>
      <c r="R128" s="207"/>
      <c r="S128" s="207"/>
      <c r="U128" s="254"/>
    </row>
    <row r="129" spans="1:21" s="251" customFormat="1" ht="12.75" customHeight="1">
      <c r="A129" s="207" t="s">
        <v>278</v>
      </c>
      <c r="B129" s="542"/>
      <c r="C129" s="207"/>
      <c r="D129" s="1338" t="s">
        <v>1704</v>
      </c>
      <c r="E129" s="1073"/>
      <c r="F129" s="1073"/>
      <c r="G129" s="1073"/>
      <c r="H129" s="1073"/>
      <c r="I129" s="207"/>
      <c r="J129" s="207" t="s">
        <v>1705</v>
      </c>
      <c r="K129" s="207"/>
      <c r="L129" s="207"/>
      <c r="M129" s="207"/>
      <c r="N129" s="207"/>
      <c r="O129" s="207"/>
      <c r="P129" s="207"/>
      <c r="Q129" s="207"/>
      <c r="R129" s="207"/>
      <c r="S129" s="207"/>
      <c r="U129" s="254"/>
    </row>
    <row r="130" spans="1:21" s="251" customFormat="1" ht="12.75" customHeight="1">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ustomHeight="1">
      <c r="A131" s="104" t="s">
        <v>1706</v>
      </c>
      <c r="B131" s="543">
        <f>SUM(B123:B129)</f>
        <v>0</v>
      </c>
      <c r="C131" s="207"/>
      <c r="D131" s="1131"/>
      <c r="E131" s="1060"/>
      <c r="F131" s="1060"/>
      <c r="G131" s="1060"/>
      <c r="H131" s="1060"/>
      <c r="I131" s="207"/>
      <c r="J131" s="1131"/>
      <c r="K131" s="1060"/>
      <c r="L131" s="1060"/>
      <c r="M131" s="1060"/>
      <c r="N131" s="207"/>
      <c r="O131" s="207"/>
      <c r="P131" s="207"/>
      <c r="Q131" s="207"/>
      <c r="R131" s="207"/>
      <c r="S131" s="207"/>
      <c r="U131" s="254"/>
    </row>
    <row r="132" spans="1:21" s="251" customFormat="1" ht="12.75" customHeight="1">
      <c r="A132" s="544"/>
      <c r="B132" s="207"/>
      <c r="C132" s="207"/>
      <c r="D132" s="1195" t="s">
        <v>1707</v>
      </c>
      <c r="E132" s="1337"/>
      <c r="F132" s="1337"/>
      <c r="G132" s="1337"/>
      <c r="H132" s="1337"/>
      <c r="I132" s="207"/>
      <c r="J132" s="1195" t="s">
        <v>1708</v>
      </c>
      <c r="K132" s="1337"/>
      <c r="L132" s="1337"/>
      <c r="M132" s="1337"/>
      <c r="N132" s="207"/>
      <c r="O132" s="207"/>
      <c r="P132" s="207"/>
      <c r="Q132" s="207"/>
      <c r="R132" s="207"/>
      <c r="S132" s="207"/>
      <c r="U132" s="254"/>
    </row>
    <row r="133" spans="1:21" s="251" customFormat="1" ht="12.75" customHeight="1">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ustomHeight="1">
      <c r="A134" s="100" t="s">
        <v>1709</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ustomHeight="1">
      <c r="A135" s="126" t="s">
        <v>1710</v>
      </c>
      <c r="B135" s="207"/>
      <c r="C135" s="207"/>
      <c r="D135" s="207"/>
      <c r="E135" s="207"/>
      <c r="F135" s="207"/>
      <c r="G135" s="207"/>
      <c r="H135" s="207"/>
      <c r="I135" s="207"/>
      <c r="J135" s="207"/>
      <c r="K135" s="207"/>
      <c r="L135" s="207"/>
      <c r="M135" s="207"/>
      <c r="N135" s="938"/>
      <c r="O135" s="207"/>
      <c r="P135" s="207"/>
      <c r="Q135" s="207"/>
      <c r="R135" s="207"/>
      <c r="S135" s="207"/>
      <c r="U135" s="254"/>
    </row>
    <row r="136" spans="1:21" ht="12.75" customHeight="1">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340"/>
      <c r="B138" s="1093"/>
      <c r="C138" s="1093"/>
      <c r="D138" s="349"/>
      <c r="E138" s="1335"/>
      <c r="F138" s="1060"/>
      <c r="G138" s="207"/>
      <c r="H138" s="207"/>
      <c r="I138" s="207"/>
      <c r="J138" s="207"/>
      <c r="K138" s="207"/>
      <c r="L138" s="207"/>
      <c r="M138" s="207"/>
      <c r="N138" s="207"/>
      <c r="O138" s="207"/>
      <c r="P138" s="207"/>
      <c r="Q138" s="207"/>
      <c r="R138" s="207"/>
      <c r="S138" s="207"/>
    </row>
    <row r="139" spans="1:21" ht="12" customHeight="1">
      <c r="A139" s="1336" t="s">
        <v>1711</v>
      </c>
      <c r="B139" s="1073"/>
      <c r="C139" s="1073"/>
      <c r="D139" s="349"/>
      <c r="E139" s="207" t="s">
        <v>1705</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7"/>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sheetData>
  <sheetProtection algorithmName="SHA-512" hashValue="f4SW9elzuPvpEQOkwsw7FZ/3cPfB19EY8OO0EHQivlOhOmyqmDRWOmdHdoisr3eBMAr14qxOGO4SYXHUG6en8Q==" saltValue="ZNpiAnOt6MO1CpjIU6Aieg==" spinCount="100000" sheet="1" objects="1" scenarios="1"/>
  <mergeCells count="13">
    <mergeCell ref="F1:R1"/>
    <mergeCell ref="D128:H128"/>
    <mergeCell ref="J128:K128"/>
    <mergeCell ref="A139:C139"/>
    <mergeCell ref="D132:H132"/>
    <mergeCell ref="D129:H129"/>
    <mergeCell ref="D131:H131"/>
    <mergeCell ref="D123:S125"/>
    <mergeCell ref="J131:M131"/>
    <mergeCell ref="A138:C138"/>
    <mergeCell ref="J132:M132"/>
    <mergeCell ref="D122:F122"/>
    <mergeCell ref="E138:F138"/>
  </mergeCells>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2">
    <cfRule type="expression" dxfId="63" priority="6">
      <formula>AND(B52&gt;0,OR(A52="",A52="Other: (Specify)"))</formula>
    </cfRule>
  </conditionalFormatting>
  <conditionalFormatting sqref="A60">
    <cfRule type="expression" dxfId="62" priority="5">
      <formula>AND(B60&gt;0,OR(A60="",A60="Other: (Specify)"))</formula>
    </cfRule>
  </conditionalFormatting>
  <conditionalFormatting sqref="A68">
    <cfRule type="expression" dxfId="61" priority="4">
      <formula>AND(B68&gt;0,OR(A68="",A68="Other: (Specify)"))</formula>
    </cfRule>
  </conditionalFormatting>
  <conditionalFormatting sqref="A75">
    <cfRule type="expression" dxfId="60" priority="3">
      <formula>AND(B75&gt;0,OR(A75="",A75="Other: (Specify)"))</formula>
    </cfRule>
  </conditionalFormatting>
  <conditionalFormatting sqref="A92:A94">
    <cfRule type="expression" dxfId="59" priority="2">
      <formula>AND(B92&gt;0,OR(A92="",A92="Other: (Specify)"))</formula>
    </cfRule>
  </conditionalFormatting>
  <conditionalFormatting sqref="A102">
    <cfRule type="expression" dxfId="58" priority="1">
      <formula>AND(B102&gt;0,OR(A102="",A102="Other: (Specify)"))</formula>
    </cfRule>
  </conditionalFormatting>
  <conditionalFormatting sqref="E104:Q104">
    <cfRule type="cellIs" dxfId="57" priority="185" stopIfTrue="1" operator="notEqual">
      <formula>E$107</formula>
    </cfRule>
  </conditionalFormatting>
  <conditionalFormatting sqref="R4:R15">
    <cfRule type="cellIs" dxfId="56"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5"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4"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3"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2"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1"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0"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9"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8" priority="192" stopIfTrue="1" operator="notEqual">
      <formula>$B78</formula>
    </cfRule>
  </conditionalFormatting>
  <conditionalFormatting sqref="R82:R96">
    <cfRule type="cellIs" dxfId="47"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6"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5" priority="121" stopIfTrue="1">
      <formula>(S10+T10)&gt;C10</formula>
    </cfRule>
  </conditionalFormatting>
  <conditionalFormatting sqref="S13:S14">
    <cfRule type="expression" dxfId="44" priority="109" stopIfTrue="1">
      <formula>(S13+T13)&gt;C13</formula>
    </cfRule>
  </conditionalFormatting>
  <conditionalFormatting sqref="S17:S25">
    <cfRule type="expression" dxfId="43" priority="101" stopIfTrue="1">
      <formula>(S17+T17)&gt;C17</formula>
    </cfRule>
  </conditionalFormatting>
  <conditionalFormatting sqref="S27">
    <cfRule type="expression" dxfId="42" priority="100" stopIfTrue="1">
      <formula>(S27+T27)&gt;C27</formula>
    </cfRule>
  </conditionalFormatting>
  <conditionalFormatting sqref="S29:S37">
    <cfRule type="expression" dxfId="41" priority="91" stopIfTrue="1">
      <formula>(S29+T29)&gt;C29</formula>
    </cfRule>
  </conditionalFormatting>
  <conditionalFormatting sqref="S40:S41">
    <cfRule type="expression" dxfId="40" priority="79" stopIfTrue="1">
      <formula>(S40+T40)&gt;C40</formula>
    </cfRule>
  </conditionalFormatting>
  <conditionalFormatting sqref="S43">
    <cfRule type="expression" dxfId="39" priority="78" stopIfTrue="1">
      <formula>(S43+T43)&gt;C43</formula>
    </cfRule>
  </conditionalFormatting>
  <conditionalFormatting sqref="S45:S52">
    <cfRule type="expression" dxfId="38" priority="68" stopIfTrue="1">
      <formula>(S45+T45)&gt;C45</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17:T25">
    <cfRule type="expression" dxfId="29" priority="111" stopIfTrue="1">
      <formula>(T17+S17)&gt;C17</formula>
    </cfRule>
  </conditionalFormatting>
  <conditionalFormatting sqref="T27">
    <cfRule type="expression" dxfId="28" priority="99" stopIfTrue="1">
      <formula>(T27+S27)&gt;C27</formula>
    </cfRule>
  </conditionalFormatting>
  <conditionalFormatting sqref="T29:T37">
    <cfRule type="expression" dxfId="27" priority="83" stopIfTrue="1">
      <formula>(T29+S29)&gt;C29</formula>
    </cfRule>
  </conditionalFormatting>
  <conditionalFormatting sqref="T40:T41">
    <cfRule type="expression" dxfId="26" priority="81" stopIfTrue="1">
      <formula>(T40+S40)&gt;C40</formula>
    </cfRule>
  </conditionalFormatting>
  <conditionalFormatting sqref="T43">
    <cfRule type="expression" dxfId="25" priority="77" stopIfTrue="1">
      <formula>(T43+S43)&gt;C43</formula>
    </cfRule>
  </conditionalFormatting>
  <conditionalFormatting sqref="T45:T52">
    <cfRule type="expression" dxfId="24" priority="59" stopIfTrue="1">
      <formula>(T45+S45)&gt;C45</formula>
    </cfRule>
  </conditionalFormatting>
  <conditionalFormatting sqref="T64:T68">
    <cfRule type="expression" dxfId="23" priority="57" stopIfTrue="1">
      <formula>(T64+S64)&gt;C64</formula>
    </cfRule>
  </conditionalFormatting>
  <conditionalFormatting sqref="T78:T79">
    <cfRule type="expression" dxfId="22" priority="53" stopIfTrue="1">
      <formula>(T78+S78)&gt;C78</formula>
    </cfRule>
  </conditionalFormatting>
  <conditionalFormatting sqref="T83:T86">
    <cfRule type="expression" dxfId="21" priority="43" stopIfTrue="1">
      <formula>(T83+S83)&gt;C83</formula>
    </cfRule>
  </conditionalFormatting>
  <conditionalFormatting sqref="T88:T94">
    <cfRule type="expression" dxfId="20" priority="25" stopIfTrue="1">
      <formula>(T88+S88)&gt;C88</formula>
    </cfRule>
  </conditionalFormatting>
  <conditionalFormatting sqref="T98:T102">
    <cfRule type="expression" dxfId="19" priority="9" stopIfTrue="1">
      <formula>(T98+S98)&gt;C98</formula>
    </cfRule>
  </conditionalFormatting>
  <dataValidations count="2">
    <dataValidation type="whole" operator="greaterThanOrEqual" allowBlank="1" showInputMessage="1" showErrorMessage="1" sqref="A1:A24 A26:A36 A38:A51 A53:A59 A61:A67 A69:A74 A76:A91 A95:A101 A103:A1048576 B1:XFD104857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headerFooter alignWithMargins="0">
    <oddFooter>&amp;C&amp;P&amp;R&amp;8 &amp;A</oddFooter>
  </headerFooter>
  <rowBreaks count="1" manualBreakCount="1">
    <brk id="76" max="19"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5" workbookViewId="0">
      <selection activeCell="T27" sqref="T27:X27"/>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45" width="2.42578125" hidden="1" customWidth="1"/>
    <col min="46" max="16384" width="2.42578125" hidden="1"/>
  </cols>
  <sheetData>
    <row r="1" spans="1:40" ht="12.95" customHeight="1">
      <c r="A1" s="1366" t="s">
        <v>1712</v>
      </c>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1073"/>
    </row>
    <row r="2" spans="1:40" ht="12.95" customHeight="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1169</v>
      </c>
      <c r="F5" s="3"/>
    </row>
    <row r="6" spans="1:40" ht="12.95" customHeight="1">
      <c r="B6" s="90" t="s">
        <v>1713</v>
      </c>
    </row>
    <row r="7" spans="1:40" ht="12.95" customHeight="1">
      <c r="B7" s="6"/>
      <c r="C7" s="7"/>
      <c r="D7" s="7"/>
      <c r="E7" s="7"/>
      <c r="F7" s="7"/>
      <c r="G7" s="7"/>
      <c r="H7" s="7"/>
      <c r="I7" s="7"/>
      <c r="J7" s="7"/>
      <c r="K7" s="7"/>
      <c r="L7" s="7"/>
      <c r="M7" s="7"/>
      <c r="N7" s="7"/>
      <c r="O7" s="7"/>
      <c r="P7" s="7"/>
      <c r="Q7" s="7"/>
      <c r="R7" s="7"/>
      <c r="S7" s="7"/>
      <c r="T7" s="1358" t="str">
        <f>IF(T25=100%,'Sources and Basis Breakdown'!G2,'Sources and Basis Breakdown'!F2)</f>
        <v>70% PVC for New Const/
Rehabilitation
DDA/QCT
Building(s)</v>
      </c>
      <c r="U7" s="1073"/>
      <c r="V7" s="1073"/>
      <c r="W7" s="1073"/>
      <c r="X7" s="1074"/>
      <c r="Y7" s="1358" t="str">
        <f>IF(T25=100%,"",'Sources and Basis Breakdown'!G2)</f>
        <v>70% PVC for New Const/
Rehabilitation
NON-DDA/
NON-QCT Building(s)</v>
      </c>
      <c r="Z7" s="1073"/>
      <c r="AA7" s="1073"/>
      <c r="AB7" s="1073"/>
      <c r="AC7" s="1074"/>
      <c r="AD7" s="1358" t="str">
        <f>IF(T25=100%,'Sources and Basis Breakdown'!J2,'Sources and Basis Breakdown'!I2)</f>
        <v>30% PVC for Acquisition
DDA/QCT Building(s)</v>
      </c>
      <c r="AE7" s="1073"/>
      <c r="AF7" s="1073"/>
      <c r="AG7" s="1073"/>
      <c r="AH7" s="1074"/>
      <c r="AI7" s="1358" t="str">
        <f>IF(T25=100%,"",'Sources and Basis Breakdown'!J2)</f>
        <v>30% PVC for Acquisition
NON-DDA/
NON-QCT Building(s)</v>
      </c>
      <c r="AJ7" s="1073"/>
      <c r="AK7" s="1073"/>
      <c r="AL7" s="1073"/>
      <c r="AM7" s="1074"/>
    </row>
    <row r="8" spans="1:40" ht="12.95" customHeight="1">
      <c r="B8" s="202"/>
      <c r="T8" s="1091"/>
      <c r="U8" s="976"/>
      <c r="V8" s="976"/>
      <c r="W8" s="976"/>
      <c r="X8" s="977"/>
      <c r="Y8" s="1091"/>
      <c r="Z8" s="976"/>
      <c r="AA8" s="976"/>
      <c r="AB8" s="976"/>
      <c r="AC8" s="977"/>
      <c r="AD8" s="1091"/>
      <c r="AE8" s="976"/>
      <c r="AF8" s="976"/>
      <c r="AG8" s="976"/>
      <c r="AH8" s="977"/>
      <c r="AI8" s="1091"/>
      <c r="AJ8" s="976"/>
      <c r="AK8" s="976"/>
      <c r="AL8" s="976"/>
      <c r="AM8" s="977"/>
    </row>
    <row r="9" spans="1:40" ht="12.95" customHeight="1">
      <c r="B9" s="202"/>
      <c r="T9" s="1091"/>
      <c r="U9" s="976"/>
      <c r="V9" s="976"/>
      <c r="W9" s="976"/>
      <c r="X9" s="977"/>
      <c r="Y9" s="1091"/>
      <c r="Z9" s="976"/>
      <c r="AA9" s="976"/>
      <c r="AB9" s="976"/>
      <c r="AC9" s="977"/>
      <c r="AD9" s="1091"/>
      <c r="AE9" s="976"/>
      <c r="AF9" s="976"/>
      <c r="AG9" s="976"/>
      <c r="AH9" s="977"/>
      <c r="AI9" s="1091"/>
      <c r="AJ9" s="976"/>
      <c r="AK9" s="976"/>
      <c r="AL9" s="976"/>
      <c r="AM9" s="977"/>
    </row>
    <row r="10" spans="1:40" ht="12.95" customHeight="1">
      <c r="B10" s="53"/>
      <c r="C10" s="54"/>
      <c r="D10" s="54"/>
      <c r="E10" s="54"/>
      <c r="F10" s="54"/>
      <c r="G10" s="54"/>
      <c r="H10" s="54"/>
      <c r="I10" s="54"/>
      <c r="J10" s="54"/>
      <c r="K10" s="54"/>
      <c r="L10" s="54"/>
      <c r="M10" s="54"/>
      <c r="N10" s="54"/>
      <c r="O10" s="54"/>
      <c r="P10" s="54"/>
      <c r="Q10" s="54"/>
      <c r="R10" s="54"/>
      <c r="S10" s="54"/>
      <c r="T10" s="1092"/>
      <c r="U10" s="1093"/>
      <c r="V10" s="1093"/>
      <c r="W10" s="1093"/>
      <c r="X10" s="1094"/>
      <c r="Y10" s="1092"/>
      <c r="Z10" s="1093"/>
      <c r="AA10" s="1093"/>
      <c r="AB10" s="1093"/>
      <c r="AC10" s="1094"/>
      <c r="AD10" s="1092"/>
      <c r="AE10" s="1093"/>
      <c r="AF10" s="1093"/>
      <c r="AG10" s="1093"/>
      <c r="AH10" s="1094"/>
      <c r="AI10" s="1092"/>
      <c r="AJ10" s="1093"/>
      <c r="AK10" s="1093"/>
      <c r="AL10" s="1093"/>
      <c r="AM10" s="1094"/>
    </row>
    <row r="11" spans="1:40" ht="12.95" customHeight="1">
      <c r="B11" s="1160" t="s">
        <v>1714</v>
      </c>
      <c r="C11" s="973"/>
      <c r="D11" s="973"/>
      <c r="E11" s="973"/>
      <c r="F11" s="973"/>
      <c r="G11" s="973"/>
      <c r="H11" s="973"/>
      <c r="I11" s="973"/>
      <c r="J11" s="973"/>
      <c r="K11" s="973"/>
      <c r="L11" s="973"/>
      <c r="M11" s="973"/>
      <c r="N11" s="973"/>
      <c r="O11" s="973"/>
      <c r="P11" s="973"/>
      <c r="Q11" s="973"/>
      <c r="R11" s="973"/>
      <c r="S11" s="974"/>
      <c r="T11" s="1370">
        <f>IF('Sources and Basis Breakdown'!F105=0,'Sources and Basis Breakdown'!E105,'Sources and Basis Breakdown'!F105)</f>
        <v>25514460</v>
      </c>
      <c r="U11" s="1073"/>
      <c r="V11" s="1073"/>
      <c r="W11" s="1073"/>
      <c r="X11" s="1074"/>
      <c r="Y11" s="1368">
        <f>IF(Y7="",0,IF('Sources and Basis Breakdown'!G105+'Sources and Basis Breakdown'!F105='Sources and Basis Breakdown'!E105,'Sources and Basis Breakdown'!G105,0))</f>
        <v>0</v>
      </c>
      <c r="Z11" s="1073"/>
      <c r="AA11" s="1073"/>
      <c r="AB11" s="1073"/>
      <c r="AC11" s="1074"/>
      <c r="AD11" s="1369">
        <f>IF('Sources and Basis Breakdown'!I105=0,'Sources and Basis Breakdown'!H105,'Sources and Basis Breakdown'!I105)</f>
        <v>0</v>
      </c>
      <c r="AE11" s="1073"/>
      <c r="AF11" s="1073"/>
      <c r="AG11" s="1073"/>
      <c r="AH11" s="1074"/>
      <c r="AI11" s="1369">
        <f>IF(AI7="",0,IF('Sources and Basis Breakdown'!I105+'Sources and Basis Breakdown'!J105='Sources and Basis Breakdown'!H105,'Sources and Basis Breakdown'!J105,0))</f>
        <v>0</v>
      </c>
      <c r="AJ11" s="1073"/>
      <c r="AK11" s="1073"/>
      <c r="AL11" s="1073"/>
      <c r="AM11" s="1074"/>
    </row>
    <row r="12" spans="1:40" ht="12.95" customHeight="1">
      <c r="B12" s="1365" t="s">
        <v>1715</v>
      </c>
      <c r="C12" s="973"/>
      <c r="D12" s="973"/>
      <c r="E12" s="973"/>
      <c r="F12" s="973"/>
      <c r="G12" s="973"/>
      <c r="H12" s="973"/>
      <c r="I12" s="973"/>
      <c r="J12" s="973"/>
      <c r="K12" s="973"/>
      <c r="L12" s="973"/>
      <c r="M12" s="973"/>
      <c r="N12" s="973"/>
      <c r="O12" s="973"/>
      <c r="P12" s="973"/>
      <c r="Q12" s="973"/>
      <c r="R12" s="973"/>
      <c r="S12" s="974"/>
      <c r="T12" s="1360"/>
      <c r="U12" s="973"/>
      <c r="V12" s="973"/>
      <c r="W12" s="973"/>
      <c r="X12" s="974"/>
      <c r="Y12" s="1360"/>
      <c r="Z12" s="973"/>
      <c r="AA12" s="973"/>
      <c r="AB12" s="973"/>
      <c r="AC12" s="974"/>
      <c r="AD12" s="1360"/>
      <c r="AE12" s="973"/>
      <c r="AF12" s="973"/>
      <c r="AG12" s="973"/>
      <c r="AH12" s="974"/>
      <c r="AI12" s="1360"/>
      <c r="AJ12" s="973"/>
      <c r="AK12" s="973"/>
      <c r="AL12" s="973"/>
      <c r="AM12" s="974"/>
    </row>
    <row r="13" spans="1:40" ht="12.95" customHeight="1">
      <c r="B13" s="8"/>
      <c r="C13" s="1364" t="s">
        <v>1716</v>
      </c>
      <c r="D13" s="973"/>
      <c r="E13" s="973"/>
      <c r="F13" s="973"/>
      <c r="G13" s="973"/>
      <c r="H13" s="973"/>
      <c r="I13" s="973"/>
      <c r="J13" s="973"/>
      <c r="K13" s="973"/>
      <c r="L13" s="973"/>
      <c r="M13" s="973"/>
      <c r="N13" s="973"/>
      <c r="O13" s="973"/>
      <c r="P13" s="973"/>
      <c r="Q13" s="973"/>
      <c r="R13" s="973"/>
      <c r="S13" s="974"/>
      <c r="T13" s="1361"/>
      <c r="U13" s="1060"/>
      <c r="V13" s="1060"/>
      <c r="W13" s="1060"/>
      <c r="X13" s="1096"/>
      <c r="Y13" s="1361"/>
      <c r="Z13" s="1060"/>
      <c r="AA13" s="1060"/>
      <c r="AB13" s="1060"/>
      <c r="AC13" s="1096"/>
      <c r="AD13" s="1371"/>
      <c r="AE13" s="1060"/>
      <c r="AF13" s="1060"/>
      <c r="AG13" s="1060"/>
      <c r="AH13" s="1096"/>
      <c r="AI13" s="1371"/>
      <c r="AJ13" s="1060"/>
      <c r="AK13" s="1060"/>
      <c r="AL13" s="1060"/>
      <c r="AM13" s="1096"/>
    </row>
    <row r="14" spans="1:40" ht="12.95" customHeight="1">
      <c r="B14" s="8"/>
      <c r="C14" s="1359" t="s">
        <v>1717</v>
      </c>
      <c r="D14" s="973"/>
      <c r="E14" s="973"/>
      <c r="F14" s="973"/>
      <c r="G14" s="973"/>
      <c r="H14" s="973"/>
      <c r="I14" s="973"/>
      <c r="J14" s="973"/>
      <c r="K14" s="973"/>
      <c r="L14" s="973"/>
      <c r="M14" s="973"/>
      <c r="N14" s="973"/>
      <c r="O14" s="973"/>
      <c r="P14" s="973"/>
      <c r="Q14" s="973"/>
      <c r="R14" s="973"/>
      <c r="S14" s="974"/>
      <c r="T14" s="1343"/>
      <c r="U14" s="1063"/>
      <c r="V14" s="1063"/>
      <c r="W14" s="1063"/>
      <c r="X14" s="1064"/>
      <c r="Y14" s="1343"/>
      <c r="Z14" s="1063"/>
      <c r="AA14" s="1063"/>
      <c r="AB14" s="1063"/>
      <c r="AC14" s="1064"/>
      <c r="AD14" s="1070"/>
      <c r="AE14" s="1063"/>
      <c r="AF14" s="1063"/>
      <c r="AG14" s="1063"/>
      <c r="AH14" s="1064"/>
      <c r="AI14" s="1070"/>
      <c r="AJ14" s="1063"/>
      <c r="AK14" s="1063"/>
      <c r="AL14" s="1063"/>
      <c r="AM14" s="1064"/>
    </row>
    <row r="15" spans="1:40" ht="12.95" customHeight="1">
      <c r="B15" s="8"/>
      <c r="C15" s="1359" t="s">
        <v>1718</v>
      </c>
      <c r="D15" s="973"/>
      <c r="E15" s="973"/>
      <c r="F15" s="973"/>
      <c r="G15" s="973"/>
      <c r="H15" s="973"/>
      <c r="I15" s="973"/>
      <c r="J15" s="973"/>
      <c r="K15" s="973"/>
      <c r="L15" s="973"/>
      <c r="M15" s="973"/>
      <c r="N15" s="973"/>
      <c r="O15" s="973"/>
      <c r="P15" s="973"/>
      <c r="Q15" s="973"/>
      <c r="R15" s="973"/>
      <c r="S15" s="974"/>
      <c r="T15" s="1343"/>
      <c r="U15" s="1063"/>
      <c r="V15" s="1063"/>
      <c r="W15" s="1063"/>
      <c r="X15" s="1064"/>
      <c r="Y15" s="1343"/>
      <c r="Z15" s="1063"/>
      <c r="AA15" s="1063"/>
      <c r="AB15" s="1063"/>
      <c r="AC15" s="1064"/>
      <c r="AD15" s="1070"/>
      <c r="AE15" s="1063"/>
      <c r="AF15" s="1063"/>
      <c r="AG15" s="1063"/>
      <c r="AH15" s="1064"/>
      <c r="AI15" s="1070"/>
      <c r="AJ15" s="1063"/>
      <c r="AK15" s="1063"/>
      <c r="AL15" s="1063"/>
      <c r="AM15" s="1064"/>
    </row>
    <row r="16" spans="1:40" ht="12.95" customHeight="1">
      <c r="B16" s="8"/>
      <c r="C16" s="1364" t="s">
        <v>1719</v>
      </c>
      <c r="D16" s="973"/>
      <c r="E16" s="973"/>
      <c r="F16" s="973"/>
      <c r="G16" s="973"/>
      <c r="H16" s="973"/>
      <c r="I16" s="973"/>
      <c r="J16" s="973"/>
      <c r="K16" s="973"/>
      <c r="L16" s="973"/>
      <c r="M16" s="973"/>
      <c r="N16" s="973"/>
      <c r="O16" s="973"/>
      <c r="P16" s="973"/>
      <c r="Q16" s="973"/>
      <c r="R16" s="973"/>
      <c r="S16" s="974"/>
      <c r="T16" s="1343"/>
      <c r="U16" s="1063"/>
      <c r="V16" s="1063"/>
      <c r="W16" s="1063"/>
      <c r="X16" s="1064"/>
      <c r="Y16" s="1343"/>
      <c r="Z16" s="1063"/>
      <c r="AA16" s="1063"/>
      <c r="AB16" s="1063"/>
      <c r="AC16" s="1064"/>
      <c r="AD16" s="1070"/>
      <c r="AE16" s="1063"/>
      <c r="AF16" s="1063"/>
      <c r="AG16" s="1063"/>
      <c r="AH16" s="1064"/>
      <c r="AI16" s="1070"/>
      <c r="AJ16" s="1063"/>
      <c r="AK16" s="1063"/>
      <c r="AL16" s="1063"/>
      <c r="AM16" s="1064"/>
    </row>
    <row r="17" spans="1:39" ht="12.95" customHeight="1">
      <c r="B17" s="8"/>
      <c r="C17" s="1359" t="s">
        <v>1720</v>
      </c>
      <c r="D17" s="973"/>
      <c r="E17" s="973"/>
      <c r="F17" s="973"/>
      <c r="G17" s="973"/>
      <c r="H17" s="973"/>
      <c r="I17" s="973"/>
      <c r="J17" s="973"/>
      <c r="K17" s="973"/>
      <c r="L17" s="973"/>
      <c r="M17" s="973"/>
      <c r="N17" s="973"/>
      <c r="O17" s="973"/>
      <c r="P17" s="973"/>
      <c r="Q17" s="973"/>
      <c r="R17" s="973"/>
      <c r="S17" s="974"/>
      <c r="T17" s="1343"/>
      <c r="U17" s="1063"/>
      <c r="V17" s="1063"/>
      <c r="W17" s="1063"/>
      <c r="X17" s="1064"/>
      <c r="Y17" s="1343"/>
      <c r="Z17" s="1063"/>
      <c r="AA17" s="1063"/>
      <c r="AB17" s="1063"/>
      <c r="AC17" s="1064"/>
      <c r="AD17" s="1070"/>
      <c r="AE17" s="1063"/>
      <c r="AF17" s="1063"/>
      <c r="AG17" s="1063"/>
      <c r="AH17" s="1064"/>
      <c r="AI17" s="1070"/>
      <c r="AJ17" s="1063"/>
      <c r="AK17" s="1063"/>
      <c r="AL17" s="1063"/>
      <c r="AM17" s="1064"/>
    </row>
    <row r="18" spans="1:39" ht="12.95" customHeight="1">
      <c r="B18" s="932"/>
      <c r="C18" s="1344" t="s">
        <v>1721</v>
      </c>
      <c r="D18" s="1063"/>
      <c r="E18" s="1063"/>
      <c r="F18" s="1063"/>
      <c r="G18" s="1063"/>
      <c r="H18" s="1063"/>
      <c r="I18" s="1063"/>
      <c r="J18" s="1063"/>
      <c r="K18" s="1063"/>
      <c r="L18" s="1063"/>
      <c r="M18" s="1063"/>
      <c r="N18" s="1063"/>
      <c r="O18" s="1063"/>
      <c r="P18" s="1063"/>
      <c r="Q18" s="1063"/>
      <c r="R18" s="1063"/>
      <c r="S18" s="1064"/>
      <c r="T18" s="1070"/>
      <c r="U18" s="1063"/>
      <c r="V18" s="1063"/>
      <c r="W18" s="1063"/>
      <c r="X18" s="1064"/>
      <c r="Y18" s="1343"/>
      <c r="Z18" s="1063"/>
      <c r="AA18" s="1063"/>
      <c r="AB18" s="1063"/>
      <c r="AC18" s="1064"/>
      <c r="AD18" s="1070"/>
      <c r="AE18" s="1063"/>
      <c r="AF18" s="1063"/>
      <c r="AG18" s="1063"/>
      <c r="AH18" s="1064"/>
      <c r="AI18" s="1070"/>
      <c r="AJ18" s="1063"/>
      <c r="AK18" s="1063"/>
      <c r="AL18" s="1063"/>
      <c r="AM18" s="1064"/>
    </row>
    <row r="19" spans="1:39" ht="12.95" customHeight="1">
      <c r="B19" s="481"/>
      <c r="C19" s="1344" t="s">
        <v>1721</v>
      </c>
      <c r="D19" s="1063"/>
      <c r="E19" s="1063"/>
      <c r="F19" s="1063"/>
      <c r="G19" s="1063"/>
      <c r="H19" s="1063"/>
      <c r="I19" s="1063"/>
      <c r="J19" s="1063"/>
      <c r="K19" s="1063"/>
      <c r="L19" s="1063"/>
      <c r="M19" s="1063"/>
      <c r="N19" s="1063"/>
      <c r="O19" s="1063"/>
      <c r="P19" s="1063"/>
      <c r="Q19" s="1063"/>
      <c r="R19" s="1063"/>
      <c r="S19" s="1064"/>
      <c r="T19" s="1343"/>
      <c r="U19" s="1063"/>
      <c r="V19" s="1063"/>
      <c r="W19" s="1063"/>
      <c r="X19" s="1064"/>
      <c r="Y19" s="1343"/>
      <c r="Z19" s="1063"/>
      <c r="AA19" s="1063"/>
      <c r="AB19" s="1063"/>
      <c r="AC19" s="1064"/>
      <c r="AD19" s="1070"/>
      <c r="AE19" s="1063"/>
      <c r="AF19" s="1063"/>
      <c r="AG19" s="1063"/>
      <c r="AH19" s="1064"/>
      <c r="AI19" s="1070"/>
      <c r="AJ19" s="1063"/>
      <c r="AK19" s="1063"/>
      <c r="AL19" s="1063"/>
      <c r="AM19" s="1064"/>
    </row>
    <row r="20" spans="1:39" ht="12.95" customHeight="1">
      <c r="B20" s="1160" t="s">
        <v>1722</v>
      </c>
      <c r="C20" s="973"/>
      <c r="D20" s="973"/>
      <c r="E20" s="973"/>
      <c r="F20" s="973"/>
      <c r="G20" s="973"/>
      <c r="H20" s="973"/>
      <c r="I20" s="973"/>
      <c r="J20" s="973"/>
      <c r="K20" s="973"/>
      <c r="L20" s="973"/>
      <c r="M20" s="973"/>
      <c r="N20" s="973"/>
      <c r="O20" s="973"/>
      <c r="P20" s="973"/>
      <c r="Q20" s="973"/>
      <c r="R20" s="973"/>
      <c r="S20" s="974"/>
      <c r="T20" s="1345">
        <f>SUM(T13:X19)</f>
        <v>0</v>
      </c>
      <c r="U20" s="973"/>
      <c r="V20" s="973"/>
      <c r="W20" s="973"/>
      <c r="X20" s="974"/>
      <c r="Y20" s="1345">
        <f>SUM(Y13:AC19)</f>
        <v>0</v>
      </c>
      <c r="Z20" s="973"/>
      <c r="AA20" s="973"/>
      <c r="AB20" s="973"/>
      <c r="AC20" s="974"/>
      <c r="AD20" s="1175">
        <f>SUM(AD13:AH19)</f>
        <v>0</v>
      </c>
      <c r="AE20" s="973"/>
      <c r="AF20" s="973"/>
      <c r="AG20" s="973"/>
      <c r="AH20" s="974"/>
      <c r="AI20" s="1175">
        <f>SUM(AI13:AM19)</f>
        <v>0</v>
      </c>
      <c r="AJ20" s="973"/>
      <c r="AK20" s="973"/>
      <c r="AL20" s="973"/>
      <c r="AM20" s="974"/>
    </row>
    <row r="21" spans="1:39" ht="12.95" customHeight="1">
      <c r="B21" s="1160" t="s">
        <v>1723</v>
      </c>
      <c r="C21" s="973"/>
      <c r="D21" s="973"/>
      <c r="E21" s="973"/>
      <c r="F21" s="973"/>
      <c r="G21" s="973"/>
      <c r="H21" s="973"/>
      <c r="I21" s="973"/>
      <c r="J21" s="973"/>
      <c r="K21" s="973"/>
      <c r="L21" s="973"/>
      <c r="M21" s="973"/>
      <c r="N21" s="973"/>
      <c r="O21" s="973"/>
      <c r="P21" s="973"/>
      <c r="Q21" s="973"/>
      <c r="R21" s="973"/>
      <c r="S21" s="974"/>
      <c r="T21" s="1343">
        <v>4146939</v>
      </c>
      <c r="U21" s="1063"/>
      <c r="V21" s="1063"/>
      <c r="W21" s="1063"/>
      <c r="X21" s="1064"/>
      <c r="Y21" s="1343"/>
      <c r="Z21" s="1063"/>
      <c r="AA21" s="1063"/>
      <c r="AB21" s="1063"/>
      <c r="AC21" s="1064"/>
      <c r="AD21" s="1343"/>
      <c r="AE21" s="1063"/>
      <c r="AF21" s="1063"/>
      <c r="AG21" s="1063"/>
      <c r="AH21" s="1064"/>
      <c r="AI21" s="1343"/>
      <c r="AJ21" s="1063"/>
      <c r="AK21" s="1063"/>
      <c r="AL21" s="1063"/>
      <c r="AM21" s="1064"/>
    </row>
    <row r="22" spans="1:39" ht="12.95" customHeight="1">
      <c r="B22" s="1160" t="s">
        <v>1724</v>
      </c>
      <c r="C22" s="973"/>
      <c r="D22" s="973"/>
      <c r="E22" s="973"/>
      <c r="F22" s="973"/>
      <c r="G22" s="973"/>
      <c r="H22" s="973"/>
      <c r="I22" s="973"/>
      <c r="J22" s="973"/>
      <c r="K22" s="973"/>
      <c r="L22" s="973"/>
      <c r="M22" s="973"/>
      <c r="N22" s="973"/>
      <c r="O22" s="973"/>
      <c r="P22" s="973"/>
      <c r="Q22" s="973"/>
      <c r="R22" s="973"/>
      <c r="S22" s="974"/>
      <c r="T22" s="1362">
        <f>(ABS(T20)+ABS(T21))*-1</f>
        <v>-4146939</v>
      </c>
      <c r="U22" s="973"/>
      <c r="V22" s="973"/>
      <c r="W22" s="973"/>
      <c r="X22" s="974"/>
      <c r="Y22" s="1362">
        <f>(ABS(Y20)+ABS(Y21))*-1</f>
        <v>0</v>
      </c>
      <c r="Z22" s="973"/>
      <c r="AA22" s="973"/>
      <c r="AB22" s="973"/>
      <c r="AC22" s="974"/>
      <c r="AD22" s="1362">
        <f>(ABS(AD20)+ABS(AD21))*-1</f>
        <v>0</v>
      </c>
      <c r="AE22" s="973"/>
      <c r="AF22" s="973"/>
      <c r="AG22" s="973"/>
      <c r="AH22" s="974"/>
      <c r="AI22" s="1362">
        <f>(ABS(AI20)+ABS(AI21))*-1</f>
        <v>0</v>
      </c>
      <c r="AJ22" s="973"/>
      <c r="AK22" s="973"/>
      <c r="AL22" s="973"/>
      <c r="AM22" s="974"/>
    </row>
    <row r="23" spans="1:39" ht="12.95" customHeight="1">
      <c r="B23" s="1160" t="s">
        <v>1725</v>
      </c>
      <c r="C23" s="973"/>
      <c r="D23" s="973"/>
      <c r="E23" s="973"/>
      <c r="F23" s="973"/>
      <c r="G23" s="973"/>
      <c r="H23" s="973"/>
      <c r="I23" s="973"/>
      <c r="J23" s="973"/>
      <c r="K23" s="973"/>
      <c r="L23" s="973"/>
      <c r="M23" s="973"/>
      <c r="N23" s="973"/>
      <c r="O23" s="973"/>
      <c r="P23" s="973"/>
      <c r="Q23" s="973"/>
      <c r="R23" s="973"/>
      <c r="S23" s="974"/>
      <c r="T23" s="1345">
        <f>T11+T22</f>
        <v>21367521</v>
      </c>
      <c r="U23" s="973"/>
      <c r="V23" s="973"/>
      <c r="W23" s="973"/>
      <c r="X23" s="974"/>
      <c r="Y23" s="1345">
        <f>Y11+Y22</f>
        <v>0</v>
      </c>
      <c r="Z23" s="973"/>
      <c r="AA23" s="973"/>
      <c r="AB23" s="973"/>
      <c r="AC23" s="974"/>
      <c r="AD23" s="1345">
        <f>IF(AD11=AD21,0,AD11)</f>
        <v>0</v>
      </c>
      <c r="AE23" s="973"/>
      <c r="AF23" s="973"/>
      <c r="AG23" s="973"/>
      <c r="AH23" s="974"/>
      <c r="AI23" s="1345">
        <f>IF(AI11=AI21,0,AI11)</f>
        <v>0</v>
      </c>
      <c r="AJ23" s="973"/>
      <c r="AK23" s="973"/>
      <c r="AL23" s="973"/>
      <c r="AM23" s="974"/>
    </row>
    <row r="24" spans="1:39" ht="12.95" customHeight="1">
      <c r="B24" s="1160" t="s">
        <v>1726</v>
      </c>
      <c r="C24" s="973"/>
      <c r="D24" s="973"/>
      <c r="E24" s="973"/>
      <c r="F24" s="973"/>
      <c r="G24" s="973"/>
      <c r="H24" s="973"/>
      <c r="I24" s="973"/>
      <c r="J24" s="973"/>
      <c r="K24" s="973"/>
      <c r="L24" s="973"/>
      <c r="M24" s="973"/>
      <c r="N24" s="973"/>
      <c r="O24" s="973"/>
      <c r="P24" s="973"/>
      <c r="Q24" s="973"/>
      <c r="R24" s="973"/>
      <c r="S24" s="974"/>
      <c r="T24" s="1175">
        <f>Application!AJ1029</f>
        <v>22455233.199999999</v>
      </c>
      <c r="U24" s="973"/>
      <c r="V24" s="973"/>
      <c r="W24" s="973"/>
      <c r="X24" s="973"/>
      <c r="Y24" s="973"/>
      <c r="Z24" s="973"/>
      <c r="AA24" s="973"/>
      <c r="AB24" s="973"/>
      <c r="AC24" s="973"/>
      <c r="AD24" s="973"/>
      <c r="AE24" s="973"/>
      <c r="AF24" s="973"/>
      <c r="AG24" s="973"/>
      <c r="AH24" s="973"/>
      <c r="AI24" s="973"/>
      <c r="AJ24" s="973"/>
      <c r="AK24" s="973"/>
      <c r="AL24" s="973"/>
      <c r="AM24" s="974"/>
    </row>
    <row r="25" spans="1:39" ht="12.95" customHeight="1">
      <c r="B25" s="1363" t="s">
        <v>1727</v>
      </c>
      <c r="C25" s="973"/>
      <c r="D25" s="973"/>
      <c r="E25" s="973"/>
      <c r="F25" s="973"/>
      <c r="G25" s="973"/>
      <c r="H25" s="973"/>
      <c r="I25" s="973"/>
      <c r="J25" s="973"/>
      <c r="K25" s="973"/>
      <c r="L25" s="973"/>
      <c r="M25" s="973"/>
      <c r="N25" s="973"/>
      <c r="O25" s="973"/>
      <c r="P25" s="973"/>
      <c r="Q25" s="973"/>
      <c r="R25" s="973"/>
      <c r="S25" s="974"/>
      <c r="T25" s="1353">
        <f>IF(OR(AND(Application!T193="no",Application!T194="no",Application!T196="no",Application!Y211="no"),Application!T195="yes"),1,1.3)</f>
        <v>1.3</v>
      </c>
      <c r="U25" s="1093"/>
      <c r="V25" s="1093"/>
      <c r="W25" s="1093"/>
      <c r="X25" s="1093"/>
      <c r="Y25" s="1351">
        <v>1</v>
      </c>
      <c r="Z25" s="1093"/>
      <c r="AA25" s="1093"/>
      <c r="AB25" s="1093"/>
      <c r="AC25" s="1094"/>
      <c r="AD25" s="1351">
        <v>1</v>
      </c>
      <c r="AE25" s="1093"/>
      <c r="AF25" s="1093"/>
      <c r="AG25" s="1093"/>
      <c r="AH25" s="1094"/>
      <c r="AI25" s="1351">
        <v>1</v>
      </c>
      <c r="AJ25" s="1093"/>
      <c r="AK25" s="1093"/>
      <c r="AL25" s="1093"/>
      <c r="AM25" s="1094"/>
    </row>
    <row r="26" spans="1:39" ht="12.95" customHeight="1">
      <c r="B26" s="1160" t="s">
        <v>1728</v>
      </c>
      <c r="C26" s="973"/>
      <c r="D26" s="973"/>
      <c r="E26" s="973"/>
      <c r="F26" s="973"/>
      <c r="G26" s="973"/>
      <c r="H26" s="973"/>
      <c r="I26" s="973"/>
      <c r="J26" s="973"/>
      <c r="K26" s="973"/>
      <c r="L26" s="973"/>
      <c r="M26" s="973"/>
      <c r="N26" s="973"/>
      <c r="O26" s="973"/>
      <c r="P26" s="973"/>
      <c r="Q26" s="973"/>
      <c r="R26" s="973"/>
      <c r="S26" s="974"/>
      <c r="T26" s="1347">
        <f>T23*T25</f>
        <v>27777777.300000001</v>
      </c>
      <c r="U26" s="973"/>
      <c r="V26" s="973"/>
      <c r="W26" s="973"/>
      <c r="X26" s="974"/>
      <c r="Y26" s="1347">
        <f>Y23*Y25</f>
        <v>0</v>
      </c>
      <c r="Z26" s="973"/>
      <c r="AA26" s="973"/>
      <c r="AB26" s="973"/>
      <c r="AC26" s="974"/>
      <c r="AD26" s="1347">
        <f>AD23*AD25</f>
        <v>0</v>
      </c>
      <c r="AE26" s="973"/>
      <c r="AF26" s="973"/>
      <c r="AG26" s="973"/>
      <c r="AH26" s="974"/>
      <c r="AI26" s="1347">
        <f>AI23*AI25</f>
        <v>0</v>
      </c>
      <c r="AJ26" s="973"/>
      <c r="AK26" s="973"/>
      <c r="AL26" s="973"/>
      <c r="AM26" s="974"/>
    </row>
    <row r="27" spans="1:39" ht="12.95" customHeight="1">
      <c r="A27" s="4"/>
      <c r="B27" s="1357" t="s">
        <v>1729</v>
      </c>
      <c r="C27" s="973"/>
      <c r="D27" s="973"/>
      <c r="E27" s="973"/>
      <c r="F27" s="973"/>
      <c r="G27" s="973"/>
      <c r="H27" s="973"/>
      <c r="I27" s="973"/>
      <c r="J27" s="973"/>
      <c r="K27" s="973"/>
      <c r="L27" s="973"/>
      <c r="M27" s="973"/>
      <c r="N27" s="973"/>
      <c r="O27" s="973"/>
      <c r="P27" s="973"/>
      <c r="Q27" s="973"/>
      <c r="R27" s="973"/>
      <c r="S27" s="974"/>
      <c r="T27" s="1342">
        <f>Application!AG446</f>
        <v>1</v>
      </c>
      <c r="U27" s="973"/>
      <c r="V27" s="973"/>
      <c r="W27" s="973"/>
      <c r="X27" s="974"/>
      <c r="Y27" s="1342">
        <f>Application!AG446</f>
        <v>1</v>
      </c>
      <c r="Z27" s="973"/>
      <c r="AA27" s="973"/>
      <c r="AB27" s="973"/>
      <c r="AC27" s="974"/>
      <c r="AD27" s="1342">
        <f>Application!AG446</f>
        <v>1</v>
      </c>
      <c r="AE27" s="973"/>
      <c r="AF27" s="973"/>
      <c r="AG27" s="973"/>
      <c r="AH27" s="974"/>
      <c r="AI27" s="1342">
        <f>Application!AG446</f>
        <v>1</v>
      </c>
      <c r="AJ27" s="973"/>
      <c r="AK27" s="973"/>
      <c r="AL27" s="973"/>
      <c r="AM27" s="974"/>
    </row>
    <row r="28" spans="1:39" ht="12.95" customHeight="1">
      <c r="A28" s="3"/>
      <c r="B28" s="1160" t="s">
        <v>1730</v>
      </c>
      <c r="C28" s="973"/>
      <c r="D28" s="973"/>
      <c r="E28" s="973"/>
      <c r="F28" s="973"/>
      <c r="G28" s="973"/>
      <c r="H28" s="973"/>
      <c r="I28" s="973"/>
      <c r="J28" s="973"/>
      <c r="K28" s="973"/>
      <c r="L28" s="973"/>
      <c r="M28" s="973"/>
      <c r="N28" s="973"/>
      <c r="O28" s="973"/>
      <c r="P28" s="973"/>
      <c r="Q28" s="973"/>
      <c r="R28" s="973"/>
      <c r="S28" s="974"/>
      <c r="T28" s="1347">
        <f>IF(ISERROR((T26*T27)),0,(T26*T27))</f>
        <v>27777777.300000001</v>
      </c>
      <c r="U28" s="973"/>
      <c r="V28" s="973"/>
      <c r="W28" s="973"/>
      <c r="X28" s="974"/>
      <c r="Y28" s="1347">
        <f>IF(ISERROR((Y26*Y27)),0,(Y26*Y27))</f>
        <v>0</v>
      </c>
      <c r="Z28" s="973"/>
      <c r="AA28" s="973"/>
      <c r="AB28" s="973"/>
      <c r="AC28" s="974"/>
      <c r="AD28" s="1347">
        <f>IF(ISERROR((AD26*AD27)),0,(AD26*AD27))</f>
        <v>0</v>
      </c>
      <c r="AE28" s="973"/>
      <c r="AF28" s="973"/>
      <c r="AG28" s="973"/>
      <c r="AH28" s="974"/>
      <c r="AI28" s="1347">
        <f>IF(ISERROR((AI26*AI27)),0,(AI26*AI27))</f>
        <v>0</v>
      </c>
      <c r="AJ28" s="973"/>
      <c r="AK28" s="973"/>
      <c r="AL28" s="973"/>
      <c r="AM28" s="974"/>
    </row>
    <row r="29" spans="1:39" ht="12.95" customHeight="1">
      <c r="B29" s="1160" t="s">
        <v>1731</v>
      </c>
      <c r="C29" s="973"/>
      <c r="D29" s="973"/>
      <c r="E29" s="973"/>
      <c r="F29" s="973"/>
      <c r="G29" s="973"/>
      <c r="H29" s="973"/>
      <c r="I29" s="973"/>
      <c r="J29" s="973"/>
      <c r="K29" s="973"/>
      <c r="L29" s="973"/>
      <c r="M29" s="973"/>
      <c r="N29" s="973"/>
      <c r="O29" s="973"/>
      <c r="P29" s="973"/>
      <c r="Q29" s="973"/>
      <c r="R29" s="973"/>
      <c r="S29" s="974"/>
      <c r="T29" s="1175">
        <f>T28+Y28+AD28+AI28</f>
        <v>27777777.300000001</v>
      </c>
      <c r="U29" s="973"/>
      <c r="V29" s="973"/>
      <c r="W29" s="973"/>
      <c r="X29" s="973"/>
      <c r="Y29" s="973"/>
      <c r="Z29" s="973"/>
      <c r="AA29" s="973"/>
      <c r="AB29" s="973"/>
      <c r="AC29" s="973"/>
      <c r="AD29" s="973"/>
      <c r="AE29" s="973"/>
      <c r="AF29" s="973"/>
      <c r="AG29" s="973"/>
      <c r="AH29" s="973"/>
      <c r="AI29" s="973"/>
      <c r="AJ29" s="973"/>
      <c r="AK29" s="973"/>
      <c r="AL29" s="973"/>
      <c r="AM29" s="974"/>
    </row>
    <row r="30" spans="1:39" ht="12.95" customHeight="1">
      <c r="B30" s="1352" t="s">
        <v>1732</v>
      </c>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row>
    <row r="31" spans="1:39" ht="12.95" customHeight="1">
      <c r="B31" s="1367" t="s">
        <v>1733</v>
      </c>
      <c r="C31" s="976"/>
      <c r="D31" s="976"/>
      <c r="E31" s="976"/>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133</v>
      </c>
      <c r="C34" s="3" t="s">
        <v>1178</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358" t="s">
        <v>1734</v>
      </c>
      <c r="Z35" s="1073"/>
      <c r="AA35" s="1073"/>
      <c r="AB35" s="1073"/>
      <c r="AC35" s="1074"/>
      <c r="AD35" s="1198" t="s">
        <v>1735</v>
      </c>
      <c r="AE35" s="1073"/>
      <c r="AF35" s="1073"/>
      <c r="AG35" s="1073"/>
      <c r="AH35" s="1074"/>
    </row>
    <row r="36" spans="1:44" ht="12.95" customHeight="1">
      <c r="B36" s="202"/>
      <c r="X36" s="71"/>
      <c r="Y36" s="1091"/>
      <c r="Z36" s="976"/>
      <c r="AA36" s="976"/>
      <c r="AB36" s="976"/>
      <c r="AC36" s="977"/>
      <c r="AD36" s="1091"/>
      <c r="AE36" s="976"/>
      <c r="AF36" s="976"/>
      <c r="AG36" s="976"/>
      <c r="AH36" s="97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92"/>
      <c r="Z37" s="1093"/>
      <c r="AA37" s="1093"/>
      <c r="AB37" s="1093"/>
      <c r="AC37" s="1094"/>
      <c r="AD37" s="1092"/>
      <c r="AE37" s="1093"/>
      <c r="AF37" s="1093"/>
      <c r="AG37" s="1093"/>
      <c r="AH37" s="1094"/>
    </row>
    <row r="38" spans="1:44" ht="12.95" customHeight="1">
      <c r="A38" s="3"/>
      <c r="B38" s="1160" t="s">
        <v>1730</v>
      </c>
      <c r="C38" s="973"/>
      <c r="D38" s="973"/>
      <c r="E38" s="973"/>
      <c r="F38" s="973"/>
      <c r="G38" s="973"/>
      <c r="H38" s="973"/>
      <c r="I38" s="973"/>
      <c r="J38" s="973"/>
      <c r="K38" s="973"/>
      <c r="L38" s="973"/>
      <c r="M38" s="973"/>
      <c r="N38" s="973"/>
      <c r="O38" s="973"/>
      <c r="P38" s="973"/>
      <c r="Q38" s="973"/>
      <c r="R38" s="973"/>
      <c r="S38" s="973"/>
      <c r="T38" s="973"/>
      <c r="U38" s="973"/>
      <c r="V38" s="973"/>
      <c r="W38" s="973"/>
      <c r="X38" s="974"/>
      <c r="Y38" s="1175">
        <f>IF(T24&gt;=(T23+Y23+AD23+AI23),T28+Y28,0)</f>
        <v>27777777.300000001</v>
      </c>
      <c r="Z38" s="973"/>
      <c r="AA38" s="973"/>
      <c r="AB38" s="973"/>
      <c r="AC38" s="974"/>
      <c r="AD38" s="1175">
        <f>IF(T24&gt;=(T23+Y23+AD23+AI23),AD28+AI28,0)</f>
        <v>0</v>
      </c>
      <c r="AE38" s="973"/>
      <c r="AF38" s="973"/>
      <c r="AG38" s="973"/>
      <c r="AH38" s="974"/>
    </row>
    <row r="39" spans="1:44" ht="12.95" customHeight="1">
      <c r="B39" s="1160" t="s">
        <v>1736</v>
      </c>
      <c r="C39" s="973"/>
      <c r="D39" s="973"/>
      <c r="E39" s="973"/>
      <c r="F39" s="973"/>
      <c r="G39" s="973"/>
      <c r="H39" s="973"/>
      <c r="I39" s="973"/>
      <c r="J39" s="973"/>
      <c r="K39" s="973"/>
      <c r="L39" s="973"/>
      <c r="M39" s="973"/>
      <c r="N39" s="973"/>
      <c r="O39" s="973"/>
      <c r="P39" s="973"/>
      <c r="Q39" s="973"/>
      <c r="R39" s="973"/>
      <c r="S39" s="973"/>
      <c r="T39" s="973"/>
      <c r="U39" s="973"/>
      <c r="V39" s="973"/>
      <c r="W39" s="973"/>
      <c r="X39" s="974"/>
      <c r="Y39" s="1354">
        <v>0.09</v>
      </c>
      <c r="Z39" s="973"/>
      <c r="AA39" s="973"/>
      <c r="AB39" s="973"/>
      <c r="AC39" s="974"/>
      <c r="AD39" s="1354">
        <v>0.04</v>
      </c>
      <c r="AE39" s="973"/>
      <c r="AF39" s="973"/>
      <c r="AG39" s="973"/>
      <c r="AH39" s="974"/>
    </row>
    <row r="40" spans="1:44" ht="12.95" customHeight="1">
      <c r="A40" s="3"/>
      <c r="B40" s="1160" t="s">
        <v>1737</v>
      </c>
      <c r="C40" s="973"/>
      <c r="D40" s="973"/>
      <c r="E40" s="973"/>
      <c r="F40" s="973"/>
      <c r="G40" s="973"/>
      <c r="H40" s="973"/>
      <c r="I40" s="973"/>
      <c r="J40" s="973"/>
      <c r="K40" s="973"/>
      <c r="L40" s="973"/>
      <c r="M40" s="973"/>
      <c r="N40" s="973"/>
      <c r="O40" s="973"/>
      <c r="P40" s="973"/>
      <c r="Q40" s="973"/>
      <c r="R40" s="973"/>
      <c r="S40" s="973"/>
      <c r="T40" s="973"/>
      <c r="U40" s="973"/>
      <c r="V40" s="973"/>
      <c r="W40" s="973"/>
      <c r="X40" s="974"/>
      <c r="Y40" s="1175">
        <f>ROUND(Y38*Y39,0)</f>
        <v>2500000</v>
      </c>
      <c r="Z40" s="973"/>
      <c r="AA40" s="973"/>
      <c r="AB40" s="973"/>
      <c r="AC40" s="974"/>
      <c r="AD40" s="1345">
        <f>ROUND(AD38*AD39,0)</f>
        <v>0</v>
      </c>
      <c r="AE40" s="973"/>
      <c r="AF40" s="973"/>
      <c r="AG40" s="973"/>
      <c r="AH40" s="974"/>
    </row>
    <row r="41" spans="1:44" ht="12.95" customHeight="1">
      <c r="B41" s="1160" t="s">
        <v>1738</v>
      </c>
      <c r="C41" s="973"/>
      <c r="D41" s="973"/>
      <c r="E41" s="973"/>
      <c r="F41" s="973"/>
      <c r="G41" s="973"/>
      <c r="H41" s="973"/>
      <c r="I41" s="973"/>
      <c r="J41" s="973"/>
      <c r="K41" s="973"/>
      <c r="L41" s="973"/>
      <c r="M41" s="973"/>
      <c r="N41" s="973"/>
      <c r="O41" s="973"/>
      <c r="P41" s="973"/>
      <c r="Q41" s="973"/>
      <c r="R41" s="973"/>
      <c r="S41" s="973"/>
      <c r="T41" s="973"/>
      <c r="U41" s="973"/>
      <c r="V41" s="973"/>
      <c r="W41" s="973"/>
      <c r="X41" s="974"/>
      <c r="Y41" s="1175">
        <f>IF(Application!Y211="No",'Basis &amp; Credits'!AR42,AR43)</f>
        <v>2500000</v>
      </c>
      <c r="Z41" s="973"/>
      <c r="AA41" s="973"/>
      <c r="AB41" s="973"/>
      <c r="AC41" s="973"/>
      <c r="AD41" s="973"/>
      <c r="AE41" s="973"/>
      <c r="AF41" s="973"/>
      <c r="AG41" s="973"/>
      <c r="AH41" s="974"/>
    </row>
    <row r="42" spans="1:44" ht="12.95" customHeight="1">
      <c r="A42" s="3"/>
      <c r="B42" s="1373" t="s">
        <v>1739</v>
      </c>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26"/>
      <c r="AJ42" s="26"/>
      <c r="AK42" s="26"/>
      <c r="AL42" s="26"/>
      <c r="AM42" s="26"/>
      <c r="AN42" s="26"/>
      <c r="AR42">
        <f>IF((Y40+AD40)&gt;2800000,2800000,Y40+AD40)</f>
        <v>2500000</v>
      </c>
    </row>
    <row r="43" spans="1:44"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R43">
        <f>IF((Y40+AD40)&gt;4000000,4000000,Y40+AD40)</f>
        <v>2500000</v>
      </c>
    </row>
    <row r="44" spans="1:44"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4" ht="12.95" customHeight="1">
      <c r="A45" s="3" t="s">
        <v>213</v>
      </c>
      <c r="C45" s="3" t="s">
        <v>1181</v>
      </c>
    </row>
    <row r="46" spans="1:44" ht="12.95" customHeight="1">
      <c r="D46" s="3" t="s">
        <v>1740</v>
      </c>
      <c r="AB46" s="1088">
        <f>'Sources and Uses Budget'!B104-(MAX(IF('Sources and Uses Budget'!B15="",0,'Sources and Uses Budget'!B15),IF(Application!AG395="",0,Application!AG395)))</f>
        <v>30083438</v>
      </c>
      <c r="AC46" s="973"/>
      <c r="AD46" s="973"/>
      <c r="AE46" s="973"/>
      <c r="AF46" s="974"/>
    </row>
    <row r="47" spans="1:44" ht="12.95" customHeight="1">
      <c r="D47" s="3" t="s">
        <v>657</v>
      </c>
      <c r="AB47" s="1088">
        <f>Application!AO641-MAX(IF('Sources and Uses Budget'!B15="",0,'Sources and Uses Budget'!B15),IF(Application!AG395="",0,Application!AG395))</f>
        <v>9333438</v>
      </c>
      <c r="AC47" s="973"/>
      <c r="AD47" s="973"/>
      <c r="AE47" s="973"/>
      <c r="AF47" s="974"/>
    </row>
    <row r="48" spans="1:44" ht="12.95" customHeight="1">
      <c r="D48" s="3" t="s">
        <v>1741</v>
      </c>
      <c r="AB48" s="1088">
        <f>AB46-AB47</f>
        <v>20750000</v>
      </c>
      <c r="AC48" s="973"/>
      <c r="AD48" s="973"/>
      <c r="AE48" s="973"/>
      <c r="AF48" s="974"/>
    </row>
    <row r="49" spans="1:40" ht="12.95" customHeight="1">
      <c r="D49" s="3" t="s">
        <v>1742</v>
      </c>
      <c r="AA49" s="34"/>
      <c r="AB49" s="1350">
        <v>0.83</v>
      </c>
      <c r="AC49" s="1063"/>
      <c r="AD49" s="1063"/>
      <c r="AE49" s="1063"/>
      <c r="AF49" s="1064"/>
    </row>
    <row r="50" spans="1:40" s="321" customFormat="1" ht="12.95" customHeight="1">
      <c r="E50" s="1349" t="s">
        <v>1743</v>
      </c>
      <c r="F50" s="1023"/>
      <c r="G50" s="1023"/>
      <c r="H50" s="1023"/>
      <c r="I50" s="1023"/>
      <c r="J50" s="1023"/>
      <c r="K50" s="1023"/>
      <c r="L50" s="1023"/>
      <c r="M50" s="1023"/>
      <c r="N50" s="1023"/>
      <c r="O50" s="1023"/>
      <c r="P50" s="1023"/>
      <c r="Q50" s="1023"/>
      <c r="R50" s="1023"/>
      <c r="S50" s="1023"/>
      <c r="T50" s="1023"/>
      <c r="U50" s="1023"/>
      <c r="V50" s="1023"/>
      <c r="W50" s="1023"/>
      <c r="X50" s="1023"/>
      <c r="Y50" s="1023"/>
      <c r="Z50" s="1023"/>
      <c r="AA50" s="351"/>
      <c r="AB50" s="351"/>
      <c r="AC50" s="351"/>
      <c r="AD50" s="351"/>
      <c r="AE50" s="351"/>
      <c r="AF50" s="351"/>
    </row>
    <row r="51" spans="1:40" s="321" customFormat="1" ht="12.95" customHeight="1">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1744</v>
      </c>
      <c r="AB53" s="1088">
        <f>ROUND(IF(ISERROR((AB48/AB49)),0,(AB48/AB49)),0)</f>
        <v>25000000</v>
      </c>
      <c r="AC53" s="973"/>
      <c r="AD53" s="973"/>
      <c r="AE53" s="973"/>
      <c r="AF53" s="974"/>
    </row>
    <row r="54" spans="1:40" ht="12.95" customHeight="1">
      <c r="D54" s="3" t="s">
        <v>1745</v>
      </c>
      <c r="AB54" s="1088">
        <f>(AB53/10)</f>
        <v>2500000</v>
      </c>
      <c r="AC54" s="973"/>
      <c r="AD54" s="973"/>
      <c r="AE54" s="973"/>
      <c r="AF54" s="974"/>
    </row>
    <row r="55" spans="1:40" ht="12.95" customHeight="1">
      <c r="D55" s="3" t="s">
        <v>1746</v>
      </c>
      <c r="AB55" s="1088">
        <f>(IF((Y41&lt;AB54),Y41,AB54))</f>
        <v>2500000</v>
      </c>
      <c r="AC55" s="973"/>
      <c r="AD55" s="973"/>
      <c r="AE55" s="973"/>
      <c r="AF55" s="974"/>
    </row>
    <row r="56" spans="1:40" ht="12.95" customHeight="1">
      <c r="D56" s="3" t="s">
        <v>1747</v>
      </c>
      <c r="AB56" s="1088">
        <f>ROUND((10*AB55*AB49),0)</f>
        <v>20750000</v>
      </c>
      <c r="AC56" s="973"/>
      <c r="AD56" s="973"/>
      <c r="AE56" s="973"/>
      <c r="AF56" s="974"/>
    </row>
    <row r="57" spans="1:40" ht="12.95" customHeight="1">
      <c r="D57" s="3"/>
      <c r="AB57" s="274"/>
      <c r="AC57" s="274"/>
      <c r="AD57" s="274"/>
      <c r="AE57" s="274"/>
      <c r="AF57" s="274"/>
    </row>
    <row r="58" spans="1:40" ht="12.95" customHeight="1">
      <c r="D58" s="3" t="s">
        <v>1748</v>
      </c>
      <c r="AB58" s="1088">
        <f>AB48-AB56</f>
        <v>0</v>
      </c>
      <c r="AC58" s="973"/>
      <c r="AD58" s="973"/>
      <c r="AE58" s="973"/>
      <c r="AF58" s="97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372" t="s">
        <v>1749</v>
      </c>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row>
    <row r="61" spans="1:40" ht="12.95" customHeight="1" thickTop="1">
      <c r="A61" s="1341"/>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row>
    <row r="62" spans="1:40" ht="12.95" customHeight="1">
      <c r="A62" s="3" t="s">
        <v>235</v>
      </c>
      <c r="C62" s="3" t="s">
        <v>1187</v>
      </c>
      <c r="Y62" s="1185" t="s">
        <v>1750</v>
      </c>
      <c r="Z62" s="976"/>
      <c r="AA62" s="976"/>
      <c r="AB62" s="976"/>
      <c r="AC62" s="976"/>
      <c r="AD62" s="1185" t="s">
        <v>1735</v>
      </c>
      <c r="AE62" s="976"/>
      <c r="AF62" s="976"/>
      <c r="AG62" s="976"/>
      <c r="AH62" s="976"/>
    </row>
    <row r="63" spans="1:40" ht="12.95" customHeight="1">
      <c r="C63" s="3"/>
      <c r="D63" s="126" t="s">
        <v>1751</v>
      </c>
      <c r="E63" s="15"/>
      <c r="F63" s="15"/>
      <c r="G63" s="15"/>
      <c r="H63" s="15"/>
      <c r="I63" s="15"/>
      <c r="J63" s="15"/>
      <c r="K63" s="15"/>
      <c r="L63" s="15"/>
      <c r="M63" s="15"/>
      <c r="N63" s="15"/>
      <c r="O63" s="15"/>
      <c r="P63" s="15"/>
      <c r="Q63" s="15"/>
      <c r="R63" s="15"/>
      <c r="S63" s="15"/>
      <c r="T63" s="15"/>
      <c r="U63" s="15"/>
      <c r="V63" s="15"/>
      <c r="W63" s="15"/>
      <c r="X63" s="15"/>
      <c r="Y63" s="1108">
        <f>IF(AND(Application!T193="No",Application!T194="No"),T28,IF(OR(AND(T25=1.3,Application!T196="Yes",Application!D214="Special Needs"),T25=1),(T23*T27)+Y28,Y28))</f>
        <v>0</v>
      </c>
      <c r="Z63" s="973"/>
      <c r="AA63" s="973"/>
      <c r="AB63" s="973"/>
      <c r="AC63" s="974"/>
      <c r="AD63" s="1175">
        <f>IF(AND(T25=1.3,Application!D214="At-Risk"),AI28,IF(Application!D214&lt;&gt;"At-Risk",0,AD28))</f>
        <v>0</v>
      </c>
      <c r="AE63" s="973"/>
      <c r="AF63" s="973"/>
      <c r="AG63" s="973"/>
      <c r="AH63" s="974"/>
    </row>
    <row r="64" spans="1:40" ht="12.95" customHeight="1">
      <c r="C64" s="3"/>
      <c r="E64" s="1346" t="s">
        <v>1752</v>
      </c>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row>
    <row r="65" spans="1:34" ht="21.75" customHeight="1">
      <c r="C65" s="3"/>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row>
    <row r="66" spans="1:34" ht="12.95" customHeight="1">
      <c r="C66" s="3"/>
      <c r="D66" s="3" t="s">
        <v>1753</v>
      </c>
      <c r="E66" s="101"/>
      <c r="F66" s="101"/>
      <c r="G66" s="101"/>
      <c r="H66" s="101"/>
      <c r="I66" s="101"/>
      <c r="J66" s="101"/>
      <c r="K66" s="101"/>
      <c r="L66" s="101"/>
      <c r="M66" s="101"/>
      <c r="N66" s="101"/>
      <c r="O66" s="101"/>
      <c r="P66" s="101"/>
      <c r="Q66" s="101"/>
      <c r="R66" s="101"/>
      <c r="S66" s="101"/>
      <c r="T66" s="101"/>
      <c r="U66" s="101"/>
      <c r="V66" s="101"/>
      <c r="W66" s="101"/>
      <c r="X66" s="101"/>
      <c r="Y66" s="1355">
        <f>IF(Application!W198="Yes",95%, 30%)</f>
        <v>0.3</v>
      </c>
      <c r="Z66" s="1073"/>
      <c r="AA66" s="1073"/>
      <c r="AB66" s="1073"/>
      <c r="AC66" s="1074"/>
      <c r="AD66" s="1355">
        <f>IF(OR(Application!D211="At-Risk",Application!D214="At-Risk"),IF(Application!W198="Yes",95%, 13%),0)</f>
        <v>0</v>
      </c>
      <c r="AE66" s="1073"/>
      <c r="AF66" s="1073"/>
      <c r="AG66" s="1073"/>
      <c r="AH66" s="1074"/>
    </row>
    <row r="67" spans="1:34" ht="12.95" customHeight="1">
      <c r="C67" s="3"/>
      <c r="D67" s="3" t="s">
        <v>1754</v>
      </c>
      <c r="Y67" s="1175">
        <f>IF(AND(T25=1.3,NOT(Application!V215&gt;=50%)),0,ROUND(Y63*Y66,0))</f>
        <v>0</v>
      </c>
      <c r="Z67" s="973"/>
      <c r="AA67" s="973"/>
      <c r="AB67" s="973"/>
      <c r="AC67" s="974"/>
      <c r="AD67" s="1175">
        <f>IF(AND(T25=1.3,NOT(Application!T212&gt;=50%)),0,ROUND(AD63*AD66,0))</f>
        <v>0</v>
      </c>
      <c r="AE67" s="973"/>
      <c r="AF67" s="973"/>
      <c r="AG67" s="973"/>
      <c r="AH67" s="974"/>
    </row>
    <row r="68" spans="1:34" ht="12.95" customHeight="1">
      <c r="C68" s="3"/>
      <c r="E68" s="790" t="s">
        <v>1755</v>
      </c>
      <c r="F68" s="341"/>
      <c r="G68" s="789"/>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row>
    <row r="69" spans="1:34" ht="12.95" customHeight="1">
      <c r="A69" s="3" t="s">
        <v>247</v>
      </c>
      <c r="C69" s="3" t="s">
        <v>1190</v>
      </c>
      <c r="E69" s="789"/>
      <c r="F69" s="789"/>
      <c r="G69" s="789"/>
      <c r="H69" s="789"/>
      <c r="I69" s="789"/>
      <c r="J69" s="789"/>
      <c r="K69" s="789"/>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row>
    <row r="70" spans="1:34" ht="12.95" customHeight="1">
      <c r="A70" s="3"/>
      <c r="C70" s="3"/>
      <c r="D70" s="3" t="s">
        <v>1756</v>
      </c>
      <c r="AB70" s="1350"/>
      <c r="AC70" s="1063"/>
      <c r="AD70" s="1063"/>
      <c r="AE70" s="1063"/>
      <c r="AF70" s="1064"/>
    </row>
    <row r="71" spans="1:34" ht="12.95" customHeight="1">
      <c r="A71" s="3"/>
      <c r="C71" s="3"/>
      <c r="D71" s="3"/>
      <c r="E71" s="1348" t="s">
        <v>1757</v>
      </c>
      <c r="F71" s="976"/>
      <c r="G71" s="976"/>
      <c r="H71" s="976"/>
      <c r="I71" s="976"/>
      <c r="J71" s="976"/>
      <c r="K71" s="976"/>
      <c r="L71" s="976"/>
      <c r="M71" s="976"/>
      <c r="N71" s="976"/>
      <c r="O71" s="976"/>
      <c r="P71" s="976"/>
      <c r="Q71" s="976"/>
      <c r="R71" s="976"/>
      <c r="S71" s="976"/>
      <c r="T71" s="976"/>
      <c r="U71" s="976"/>
      <c r="V71" s="976"/>
      <c r="W71" s="976"/>
      <c r="X71" s="976"/>
      <c r="Y71" s="976"/>
      <c r="Z71" s="976"/>
      <c r="AA71" s="251"/>
      <c r="AB71" s="251"/>
      <c r="AC71" s="251"/>
    </row>
    <row r="72" spans="1:34" ht="12.95" customHeight="1">
      <c r="A72" s="3"/>
      <c r="C72" s="3"/>
      <c r="D72" s="3"/>
      <c r="E72" s="976"/>
      <c r="F72" s="976"/>
      <c r="G72" s="976"/>
      <c r="H72" s="976"/>
      <c r="I72" s="976"/>
      <c r="J72" s="976"/>
      <c r="K72" s="976"/>
      <c r="L72" s="976"/>
      <c r="M72" s="976"/>
      <c r="N72" s="976"/>
      <c r="O72" s="976"/>
      <c r="P72" s="976"/>
      <c r="Q72" s="976"/>
      <c r="R72" s="976"/>
      <c r="S72" s="976"/>
      <c r="T72" s="976"/>
      <c r="U72" s="976"/>
      <c r="V72" s="976"/>
      <c r="W72" s="976"/>
      <c r="X72" s="976"/>
      <c r="Y72" s="976"/>
      <c r="Z72" s="976"/>
      <c r="AA72" s="251"/>
      <c r="AB72" s="251"/>
      <c r="AC72" s="251"/>
    </row>
    <row r="73" spans="1:34" ht="12.95" customHeight="1">
      <c r="A73" s="3"/>
      <c r="C73" s="3"/>
      <c r="D73" s="3"/>
      <c r="E73" s="976"/>
      <c r="F73" s="976"/>
      <c r="G73" s="976"/>
      <c r="H73" s="976"/>
      <c r="I73" s="976"/>
      <c r="J73" s="976"/>
      <c r="K73" s="976"/>
      <c r="L73" s="976"/>
      <c r="M73" s="976"/>
      <c r="N73" s="976"/>
      <c r="O73" s="976"/>
      <c r="P73" s="976"/>
      <c r="Q73" s="976"/>
      <c r="R73" s="976"/>
      <c r="S73" s="976"/>
      <c r="T73" s="976"/>
      <c r="U73" s="976"/>
      <c r="V73" s="976"/>
      <c r="W73" s="976"/>
      <c r="X73" s="976"/>
      <c r="Y73" s="976"/>
      <c r="Z73" s="97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1758</v>
      </c>
      <c r="AB75" s="1162">
        <f>ROUND(IF(ISERROR((AB58/AB70)),0,(AB58/AB70)),0)</f>
        <v>0</v>
      </c>
      <c r="AC75" s="973"/>
      <c r="AD75" s="973"/>
      <c r="AE75" s="973"/>
      <c r="AF75" s="974"/>
    </row>
    <row r="76" spans="1:34" ht="12.95" customHeight="1">
      <c r="C76" s="3"/>
      <c r="D76" s="3" t="s">
        <v>1759</v>
      </c>
      <c r="AB76" s="1162">
        <f>ROUNDUP(MIN((Y67+AD67),AB75),0)</f>
        <v>0</v>
      </c>
      <c r="AC76" s="973"/>
      <c r="AD76" s="973"/>
      <c r="AE76" s="973"/>
      <c r="AF76" s="974"/>
    </row>
    <row r="77" spans="1:34" ht="12.95" customHeight="1">
      <c r="C77" s="3"/>
      <c r="D77" s="3" t="s">
        <v>1760</v>
      </c>
      <c r="AB77" s="1356">
        <f>AB76*AB70</f>
        <v>0</v>
      </c>
      <c r="AC77" s="973"/>
      <c r="AD77" s="973"/>
      <c r="AE77" s="973"/>
      <c r="AF77" s="974"/>
    </row>
    <row r="78" spans="1:34" ht="12.95" customHeight="1">
      <c r="C78" s="3"/>
      <c r="D78" s="3"/>
      <c r="AB78" s="593"/>
      <c r="AC78" s="593"/>
      <c r="AD78" s="593"/>
      <c r="AE78" s="593"/>
      <c r="AF78" s="593"/>
    </row>
    <row r="79" spans="1:34" ht="12.95" customHeight="1">
      <c r="D79" s="3" t="s">
        <v>1748</v>
      </c>
      <c r="AB79" s="1088">
        <f>AB48-(AB56+AB77)</f>
        <v>0</v>
      </c>
      <c r="AC79" s="973"/>
      <c r="AD79" s="973"/>
      <c r="AE79" s="973"/>
      <c r="AF79" s="974"/>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mergeCells count="137">
    <mergeCell ref="AI14:AM14"/>
    <mergeCell ref="Y15:AC15"/>
    <mergeCell ref="AI13:AM13"/>
    <mergeCell ref="AD13:AH13"/>
    <mergeCell ref="AD25:AH25"/>
    <mergeCell ref="AD63:AH63"/>
    <mergeCell ref="Y40:AC40"/>
    <mergeCell ref="T24:AM24"/>
    <mergeCell ref="A60:AN60"/>
    <mergeCell ref="AI22:AM22"/>
    <mergeCell ref="AB55:AF55"/>
    <mergeCell ref="T14:X14"/>
    <mergeCell ref="AI19:AM19"/>
    <mergeCell ref="AD38:AH38"/>
    <mergeCell ref="AI28:AM28"/>
    <mergeCell ref="T15:X15"/>
    <mergeCell ref="B41:X41"/>
    <mergeCell ref="B23:S23"/>
    <mergeCell ref="AB54:AF54"/>
    <mergeCell ref="B42:AH42"/>
    <mergeCell ref="AB53:AF53"/>
    <mergeCell ref="T19:X19"/>
    <mergeCell ref="Y23:AC23"/>
    <mergeCell ref="C13:S13"/>
    <mergeCell ref="A1:AN2"/>
    <mergeCell ref="B31:AM31"/>
    <mergeCell ref="T7:X10"/>
    <mergeCell ref="Y11:AC11"/>
    <mergeCell ref="AI15:AM15"/>
    <mergeCell ref="AD19:AH19"/>
    <mergeCell ref="AD28:AH28"/>
    <mergeCell ref="AD27:AH27"/>
    <mergeCell ref="Y26:AC26"/>
    <mergeCell ref="Y7:AC10"/>
    <mergeCell ref="AI7:AM10"/>
    <mergeCell ref="AD23:AH23"/>
    <mergeCell ref="AI12:AM12"/>
    <mergeCell ref="T16:X16"/>
    <mergeCell ref="AI21:AM21"/>
    <mergeCell ref="B11:S11"/>
    <mergeCell ref="T20:X20"/>
    <mergeCell ref="AD20:AH20"/>
    <mergeCell ref="AD14:AH14"/>
    <mergeCell ref="AD7:AH10"/>
    <mergeCell ref="AI11:AM11"/>
    <mergeCell ref="AD11:AH11"/>
    <mergeCell ref="T11:X11"/>
    <mergeCell ref="Y21:AC21"/>
    <mergeCell ref="AD12:AH12"/>
    <mergeCell ref="AD21:AH21"/>
    <mergeCell ref="AD39:AH39"/>
    <mergeCell ref="Y13:AC13"/>
    <mergeCell ref="T22:X22"/>
    <mergeCell ref="AD22:AH22"/>
    <mergeCell ref="B25:S25"/>
    <mergeCell ref="B20:S20"/>
    <mergeCell ref="T23:X23"/>
    <mergeCell ref="T13:X13"/>
    <mergeCell ref="C17:S17"/>
    <mergeCell ref="C15:S15"/>
    <mergeCell ref="C16:S16"/>
    <mergeCell ref="Y22:AC22"/>
    <mergeCell ref="T12:X12"/>
    <mergeCell ref="B12:S12"/>
    <mergeCell ref="Y12:AC12"/>
    <mergeCell ref="AB79:AF79"/>
    <mergeCell ref="B29:S29"/>
    <mergeCell ref="Y41:AH41"/>
    <mergeCell ref="Y39:AC39"/>
    <mergeCell ref="Y20:AC20"/>
    <mergeCell ref="Y14:AC14"/>
    <mergeCell ref="AD66:AH66"/>
    <mergeCell ref="AB77:AF77"/>
    <mergeCell ref="T28:X28"/>
    <mergeCell ref="B27:S27"/>
    <mergeCell ref="Y66:AC66"/>
    <mergeCell ref="AD15:AH15"/>
    <mergeCell ref="AD40:AH40"/>
    <mergeCell ref="Y35:AC37"/>
    <mergeCell ref="T21:X21"/>
    <mergeCell ref="Y17:AC17"/>
    <mergeCell ref="AB56:AF56"/>
    <mergeCell ref="AB70:AF70"/>
    <mergeCell ref="AB48:AF48"/>
    <mergeCell ref="T26:X26"/>
    <mergeCell ref="Y25:AC25"/>
    <mergeCell ref="AB76:AF76"/>
    <mergeCell ref="T29:AM29"/>
    <mergeCell ref="C14:S14"/>
    <mergeCell ref="AI16:AM16"/>
    <mergeCell ref="Y16:AC16"/>
    <mergeCell ref="AI25:AM25"/>
    <mergeCell ref="B38:X38"/>
    <mergeCell ref="Y27:AC27"/>
    <mergeCell ref="AI18:AM18"/>
    <mergeCell ref="AD26:AH26"/>
    <mergeCell ref="Y18:AC18"/>
    <mergeCell ref="B40:X40"/>
    <mergeCell ref="AD16:AH16"/>
    <mergeCell ref="B22:S22"/>
    <mergeCell ref="Y38:AC38"/>
    <mergeCell ref="B39:X39"/>
    <mergeCell ref="AI26:AM26"/>
    <mergeCell ref="T27:X27"/>
    <mergeCell ref="B30:AM30"/>
    <mergeCell ref="AD17:AH17"/>
    <mergeCell ref="T17:X17"/>
    <mergeCell ref="B21:S21"/>
    <mergeCell ref="C18:S18"/>
    <mergeCell ref="AI17:AM17"/>
    <mergeCell ref="AI20:AM20"/>
    <mergeCell ref="AD35:AH37"/>
    <mergeCell ref="T25:X25"/>
    <mergeCell ref="A61:AN61"/>
    <mergeCell ref="Y63:AC63"/>
    <mergeCell ref="AB75:AF75"/>
    <mergeCell ref="B28:S28"/>
    <mergeCell ref="Y67:AC67"/>
    <mergeCell ref="AB46:AF46"/>
    <mergeCell ref="AI27:AM27"/>
    <mergeCell ref="Y19:AC19"/>
    <mergeCell ref="AD18:AH18"/>
    <mergeCell ref="T18:X18"/>
    <mergeCell ref="C19:S19"/>
    <mergeCell ref="AI23:AM23"/>
    <mergeCell ref="E64:AH65"/>
    <mergeCell ref="B24:S24"/>
    <mergeCell ref="Y28:AC28"/>
    <mergeCell ref="B26:S26"/>
    <mergeCell ref="E71:Z73"/>
    <mergeCell ref="E50:Z51"/>
    <mergeCell ref="AD62:AH62"/>
    <mergeCell ref="AB49:AF49"/>
    <mergeCell ref="AB47:AF47"/>
    <mergeCell ref="AB58:AF58"/>
    <mergeCell ref="Y62:AC62"/>
    <mergeCell ref="AD67:AH67"/>
  </mergeCells>
  <conditionalFormatting sqref="B18">
    <cfRule type="expression" dxfId="18" priority="4">
      <formula>AND($T$18&gt;0,OR($C$18="",$C$18="Subtract (specify other ineligible amounts):"))</formula>
    </cfRule>
  </conditionalFormatting>
  <conditionalFormatting sqref="B19">
    <cfRule type="expression" dxfId="17" priority="3">
      <formula>AND($T$19&gt;0,OR($C$19="",$C$19="Subtract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8:AF59 AB79:AF79">
    <cfRule type="cellIs" dxfId="15"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headerFooter alignWithMargins="0">
    <oddFooter>&amp;C&amp;P&amp;R&amp;8 &amp;A</oddFooter>
  </headerFooter>
  <rowBreaks count="1" manualBreakCount="1">
    <brk id="43" max="39" man="1"/>
  </rowBreak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6"/>
  <sheetViews>
    <sheetView showGridLines="0" tabSelected="1" topLeftCell="A54" workbookViewId="0">
      <selection activeCell="O86" sqref="O86"/>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1" customWidth="1"/>
    <col min="11" max="11" width="7" style="577" customWidth="1"/>
    <col min="12" max="12" width="8.85546875" style="478" customWidth="1"/>
    <col min="13" max="16384" width="8.85546875" style="478"/>
  </cols>
  <sheetData>
    <row r="1" spans="1:11" s="349" customFormat="1" ht="12.75" customHeight="1">
      <c r="A1" s="972" t="s">
        <v>1761</v>
      </c>
      <c r="B1" s="973"/>
      <c r="C1" s="973"/>
      <c r="D1" s="973"/>
      <c r="E1" s="973"/>
      <c r="F1" s="973"/>
      <c r="G1" s="973"/>
      <c r="H1" s="973"/>
      <c r="I1" s="973"/>
      <c r="J1" s="974"/>
      <c r="K1" s="574"/>
    </row>
    <row r="2" spans="1:11" s="591" customFormat="1" ht="72" customHeight="1">
      <c r="A2" s="589"/>
      <c r="B2" s="230" t="s">
        <v>1762</v>
      </c>
      <c r="C2" s="230" t="s">
        <v>1763</v>
      </c>
      <c r="D2" s="230" t="s">
        <v>1764</v>
      </c>
      <c r="E2" s="230" t="s">
        <v>1765</v>
      </c>
      <c r="F2" s="230" t="s">
        <v>1766</v>
      </c>
      <c r="G2" s="230" t="s">
        <v>1767</v>
      </c>
      <c r="H2" s="230" t="s">
        <v>1768</v>
      </c>
      <c r="I2" s="230" t="s">
        <v>1769</v>
      </c>
      <c r="J2" s="659" t="s">
        <v>1770</v>
      </c>
      <c r="K2" s="590"/>
    </row>
    <row r="3" spans="1:11" s="251" customFormat="1">
      <c r="A3" s="233" t="s">
        <v>1599</v>
      </c>
      <c r="B3" s="579"/>
      <c r="C3" s="579"/>
      <c r="D3" s="579"/>
      <c r="E3" s="579"/>
      <c r="F3" s="579"/>
      <c r="G3" s="579"/>
      <c r="H3" s="579"/>
      <c r="I3" s="579"/>
      <c r="J3" s="579"/>
      <c r="K3" s="575"/>
    </row>
    <row r="4" spans="1:11" s="251" customFormat="1" ht="13.5" customHeight="1">
      <c r="A4" s="298" t="s">
        <v>1600</v>
      </c>
      <c r="B4" s="580">
        <f>'Sources and Uses Budget'!C4</f>
        <v>4200000</v>
      </c>
      <c r="C4" s="581">
        <v>4200000</v>
      </c>
      <c r="D4" s="581"/>
      <c r="E4" s="582"/>
      <c r="F4" s="582"/>
      <c r="G4" s="582"/>
      <c r="H4" s="582"/>
      <c r="I4" s="582"/>
      <c r="J4" s="582"/>
      <c r="K4" s="575"/>
    </row>
    <row r="5" spans="1:11" s="251" customFormat="1" ht="13.5" customHeight="1">
      <c r="A5" s="298" t="s">
        <v>1601</v>
      </c>
      <c r="B5" s="580">
        <f>'Sources and Uses Budget'!C5</f>
        <v>0</v>
      </c>
      <c r="C5" s="581"/>
      <c r="D5" s="581"/>
      <c r="E5" s="582"/>
      <c r="F5" s="582"/>
      <c r="G5" s="582"/>
      <c r="H5" s="582"/>
      <c r="I5" s="582"/>
      <c r="J5" s="582"/>
      <c r="K5" s="575"/>
    </row>
    <row r="6" spans="1:11" s="251" customFormat="1">
      <c r="A6" s="237" t="s">
        <v>1602</v>
      </c>
      <c r="B6" s="580">
        <f>'Sources and Uses Budget'!C6</f>
        <v>0</v>
      </c>
      <c r="C6" s="581"/>
      <c r="D6" s="581"/>
      <c r="E6" s="582"/>
      <c r="F6" s="582"/>
      <c r="G6" s="582"/>
      <c r="H6" s="582"/>
      <c r="I6" s="582"/>
      <c r="J6" s="582"/>
      <c r="K6" s="575"/>
    </row>
    <row r="7" spans="1:11" s="251" customFormat="1">
      <c r="A7" s="237" t="s">
        <v>1603</v>
      </c>
      <c r="B7" s="580">
        <f>'Sources and Uses Budget'!C7</f>
        <v>0</v>
      </c>
      <c r="C7" s="581"/>
      <c r="D7" s="581"/>
      <c r="E7" s="582"/>
      <c r="F7" s="582"/>
      <c r="G7" s="582"/>
      <c r="H7" s="582"/>
      <c r="I7" s="582"/>
      <c r="J7" s="582"/>
      <c r="K7" s="575"/>
    </row>
    <row r="8" spans="1:11" s="251" customFormat="1" ht="13.5" customHeight="1">
      <c r="A8" s="299" t="s">
        <v>1604</v>
      </c>
      <c r="B8" s="580">
        <f>'Sources and Uses Budget'!C8</f>
        <v>4200000</v>
      </c>
      <c r="C8" s="580">
        <f>SUM(C4:C7)</f>
        <v>4200000</v>
      </c>
      <c r="D8" s="580">
        <f>SUM(D4:D7)</f>
        <v>0</v>
      </c>
      <c r="E8" s="582"/>
      <c r="F8" s="582"/>
      <c r="G8" s="582"/>
      <c r="H8" s="582"/>
      <c r="I8" s="582"/>
      <c r="J8" s="582"/>
      <c r="K8" s="575"/>
    </row>
    <row r="9" spans="1:11" s="251" customFormat="1">
      <c r="A9" s="237" t="s">
        <v>1605</v>
      </c>
      <c r="B9" s="580">
        <f>'Sources and Uses Budget'!C9</f>
        <v>0</v>
      </c>
      <c r="C9" s="581"/>
      <c r="D9" s="581"/>
      <c r="E9" s="582"/>
      <c r="F9" s="582"/>
      <c r="G9" s="582"/>
      <c r="H9" s="580">
        <f>'Sources and Uses Budget'!T9</f>
        <v>0</v>
      </c>
      <c r="I9" s="581"/>
      <c r="J9" s="581"/>
      <c r="K9" s="575"/>
    </row>
    <row r="10" spans="1:11" s="251" customFormat="1" ht="13.5" customHeight="1">
      <c r="A10" s="298" t="s">
        <v>1606</v>
      </c>
      <c r="B10" s="580">
        <f>'Sources and Uses Budget'!C10</f>
        <v>0</v>
      </c>
      <c r="C10" s="581"/>
      <c r="D10" s="581"/>
      <c r="E10" s="580">
        <f>'Sources and Uses Budget'!S10</f>
        <v>0</v>
      </c>
      <c r="F10" s="581"/>
      <c r="G10" s="581"/>
      <c r="H10" s="580">
        <f>'Sources and Uses Budget'!T10</f>
        <v>0</v>
      </c>
      <c r="I10" s="581"/>
      <c r="J10" s="581"/>
      <c r="K10" s="575"/>
    </row>
    <row r="11" spans="1:11" s="251" customFormat="1">
      <c r="A11" s="241" t="s">
        <v>1607</v>
      </c>
      <c r="B11" s="580">
        <f>'Sources and Uses Budget'!C11</f>
        <v>0</v>
      </c>
      <c r="C11" s="580">
        <f>SUM(C9:C10)</f>
        <v>0</v>
      </c>
      <c r="D11" s="580">
        <f>SUM(D9:D10)</f>
        <v>0</v>
      </c>
      <c r="E11" s="582"/>
      <c r="F11" s="582"/>
      <c r="G11" s="582"/>
      <c r="H11" s="580">
        <f>'Sources and Uses Budget'!T11</f>
        <v>0</v>
      </c>
      <c r="I11" s="580">
        <f>SUM(I9:I10)</f>
        <v>0</v>
      </c>
      <c r="J11" s="580">
        <f>SUM(J9:J10)</f>
        <v>0</v>
      </c>
      <c r="K11" s="575"/>
    </row>
    <row r="12" spans="1:11" s="251" customFormat="1">
      <c r="A12" s="241" t="s">
        <v>1608</v>
      </c>
      <c r="B12" s="580">
        <f>'Sources and Uses Budget'!C12</f>
        <v>4200000</v>
      </c>
      <c r="C12" s="580">
        <f>SUM(C8+C11)</f>
        <v>4200000</v>
      </c>
      <c r="D12" s="580">
        <f>SUM(D8+D11)</f>
        <v>0</v>
      </c>
      <c r="E12" s="582"/>
      <c r="F12" s="582"/>
      <c r="G12" s="582"/>
      <c r="H12" s="582"/>
      <c r="I12" s="582"/>
      <c r="J12" s="582"/>
      <c r="K12" s="575"/>
    </row>
    <row r="13" spans="1:11" s="251" customFormat="1">
      <c r="A13" s="453" t="s">
        <v>1609</v>
      </c>
      <c r="B13" s="580">
        <f>'Sources and Uses Budget'!C13</f>
        <v>0</v>
      </c>
      <c r="C13" s="581"/>
      <c r="D13" s="581"/>
      <c r="E13" s="580">
        <f>'Sources and Uses Budget'!S13</f>
        <v>0</v>
      </c>
      <c r="F13" s="581"/>
      <c r="G13" s="581"/>
      <c r="H13" s="580">
        <f>'Sources and Uses Budget'!T13</f>
        <v>0</v>
      </c>
      <c r="I13" s="581"/>
      <c r="J13" s="581"/>
      <c r="K13" s="575"/>
    </row>
    <row r="14" spans="1:11" s="251" customFormat="1" ht="24" customHeight="1">
      <c r="A14" s="237" t="s">
        <v>1610</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1611</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1612</v>
      </c>
      <c r="B16" s="579"/>
      <c r="C16" s="579"/>
      <c r="D16" s="579"/>
      <c r="E16" s="579"/>
      <c r="F16" s="579"/>
      <c r="G16" s="579"/>
      <c r="H16" s="579"/>
      <c r="I16" s="579"/>
      <c r="J16" s="579"/>
      <c r="K16" s="575"/>
    </row>
    <row r="17" spans="1:11" s="251" customFormat="1">
      <c r="A17" s="237" t="s">
        <v>1613</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1614</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1615</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1616</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1617</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1618</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1619</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1622</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1623</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1624</v>
      </c>
      <c r="B27" s="579"/>
      <c r="C27" s="579"/>
      <c r="D27" s="579"/>
      <c r="E27" s="579"/>
      <c r="F27" s="579"/>
      <c r="G27" s="579"/>
      <c r="H27" s="579"/>
      <c r="I27" s="579"/>
      <c r="J27" s="579"/>
      <c r="K27" s="575"/>
    </row>
    <row r="28" spans="1:11" s="251" customFormat="1">
      <c r="A28" s="237" t="s">
        <v>1613</v>
      </c>
      <c r="B28" s="580">
        <f>'Sources and Uses Budget'!C29</f>
        <v>0</v>
      </c>
      <c r="C28" s="581"/>
      <c r="D28" s="581"/>
      <c r="E28" s="580">
        <f>'Sources and Uses Budget'!S29</f>
        <v>0</v>
      </c>
      <c r="F28" s="581"/>
      <c r="G28" s="581"/>
      <c r="H28" s="580">
        <f>'Sources and Uses Budget'!T29</f>
        <v>0</v>
      </c>
      <c r="I28" s="581"/>
      <c r="J28" s="581"/>
      <c r="K28" s="575"/>
    </row>
    <row r="29" spans="1:11" s="251" customFormat="1">
      <c r="A29" s="237" t="s">
        <v>1614</v>
      </c>
      <c r="B29" s="580">
        <f>'Sources and Uses Budget'!C30</f>
        <v>15000000</v>
      </c>
      <c r="C29" s="581">
        <v>15000000</v>
      </c>
      <c r="D29" s="581"/>
      <c r="E29" s="580">
        <f>'Sources and Uses Budget'!S30</f>
        <v>15000000</v>
      </c>
      <c r="F29" s="581">
        <v>15000000</v>
      </c>
      <c r="G29" s="581"/>
      <c r="H29" s="580">
        <f>'Sources and Uses Budget'!T30</f>
        <v>0</v>
      </c>
      <c r="I29" s="581"/>
      <c r="J29" s="581"/>
      <c r="K29" s="575"/>
    </row>
    <row r="30" spans="1:11" s="251" customFormat="1">
      <c r="A30" s="237" t="s">
        <v>1615</v>
      </c>
      <c r="B30" s="580">
        <f>'Sources and Uses Budget'!C31</f>
        <v>900000</v>
      </c>
      <c r="C30" s="581">
        <v>900000</v>
      </c>
      <c r="D30" s="581"/>
      <c r="E30" s="580">
        <f>'Sources and Uses Budget'!S31</f>
        <v>900000</v>
      </c>
      <c r="F30" s="581">
        <v>900000</v>
      </c>
      <c r="G30" s="581"/>
      <c r="H30" s="580">
        <f>'Sources and Uses Budget'!T31</f>
        <v>0</v>
      </c>
      <c r="I30" s="581"/>
      <c r="J30" s="581"/>
      <c r="K30" s="575"/>
    </row>
    <row r="31" spans="1:11" s="251" customFormat="1">
      <c r="A31" s="237" t="s">
        <v>1616</v>
      </c>
      <c r="B31" s="580">
        <f>'Sources and Uses Budget'!C32</f>
        <v>318000</v>
      </c>
      <c r="C31" s="581">
        <v>318000</v>
      </c>
      <c r="D31" s="581"/>
      <c r="E31" s="580">
        <f>'Sources and Uses Budget'!S32</f>
        <v>318000</v>
      </c>
      <c r="F31" s="581">
        <v>318000</v>
      </c>
      <c r="G31" s="581"/>
      <c r="H31" s="580">
        <f>'Sources and Uses Budget'!T32</f>
        <v>0</v>
      </c>
      <c r="I31" s="581"/>
      <c r="J31" s="581"/>
      <c r="K31" s="575"/>
    </row>
    <row r="32" spans="1:11" s="251" customFormat="1">
      <c r="A32" s="237" t="s">
        <v>1617</v>
      </c>
      <c r="B32" s="580">
        <f>'Sources and Uses Budget'!C33</f>
        <v>954000</v>
      </c>
      <c r="C32" s="581">
        <v>954000</v>
      </c>
      <c r="D32" s="581"/>
      <c r="E32" s="580">
        <f>'Sources and Uses Budget'!S33</f>
        <v>954000</v>
      </c>
      <c r="F32" s="581">
        <v>954000</v>
      </c>
      <c r="G32" s="581"/>
      <c r="H32" s="580">
        <f>'Sources and Uses Budget'!T33</f>
        <v>0</v>
      </c>
      <c r="I32" s="581"/>
      <c r="J32" s="581"/>
      <c r="K32" s="575"/>
    </row>
    <row r="33" spans="1:11" s="251" customFormat="1">
      <c r="A33" s="237" t="s">
        <v>1618</v>
      </c>
      <c r="B33" s="580">
        <f>'Sources and Uses Budget'!C34</f>
        <v>0</v>
      </c>
      <c r="C33" s="581"/>
      <c r="D33" s="581"/>
      <c r="E33" s="580">
        <f>'Sources and Uses Budget'!S34</f>
        <v>0</v>
      </c>
      <c r="F33" s="581"/>
      <c r="G33" s="581"/>
      <c r="H33" s="580">
        <f>'Sources and Uses Budget'!T34</f>
        <v>0</v>
      </c>
      <c r="I33" s="581"/>
      <c r="J33" s="581"/>
      <c r="K33" s="575"/>
    </row>
    <row r="34" spans="1:11" s="251" customFormat="1">
      <c r="A34" s="237" t="s">
        <v>1619</v>
      </c>
      <c r="B34" s="580">
        <f>'Sources and Uses Budget'!C35</f>
        <v>515160</v>
      </c>
      <c r="C34" s="581">
        <v>515160</v>
      </c>
      <c r="D34" s="581"/>
      <c r="E34" s="580">
        <f>'Sources and Uses Budget'!S35</f>
        <v>515160</v>
      </c>
      <c r="F34" s="581">
        <v>515160</v>
      </c>
      <c r="G34" s="581"/>
      <c r="H34" s="580">
        <f>'Sources and Uses Budget'!T35</f>
        <v>0</v>
      </c>
      <c r="I34" s="581"/>
      <c r="J34" s="581"/>
      <c r="K34" s="575"/>
    </row>
    <row r="35" spans="1:11" s="251" customFormat="1">
      <c r="A35" s="237" t="str">
        <f>'Sources and Uses Budget'!$A36</f>
        <v>Third-party Construction Management</v>
      </c>
      <c r="B35" s="580">
        <f>'Sources and Uses Budget'!C36</f>
        <v>0</v>
      </c>
      <c r="C35" s="581"/>
      <c r="D35" s="581"/>
      <c r="E35" s="580">
        <f>'Sources and Uses Budget'!S36</f>
        <v>0</v>
      </c>
      <c r="F35" s="581"/>
      <c r="G35" s="581"/>
      <c r="H35" s="580">
        <f>'Sources and Uses Budget'!T36</f>
        <v>0</v>
      </c>
      <c r="I35" s="581"/>
      <c r="J35" s="581"/>
      <c r="K35" s="575"/>
    </row>
    <row r="36" spans="1:11" s="251" customFormat="1">
      <c r="A36" s="237" t="str">
        <f>'Sources and Uses Budget'!$A37</f>
        <v>Other: (Specify)</v>
      </c>
      <c r="B36" s="580">
        <f>'Sources and Uses Budget'!C37</f>
        <v>0</v>
      </c>
      <c r="C36" s="581"/>
      <c r="D36" s="581"/>
      <c r="E36" s="580">
        <f>'Sources and Uses Budget'!S37</f>
        <v>0</v>
      </c>
      <c r="F36" s="581"/>
      <c r="G36" s="581"/>
      <c r="H36" s="580">
        <f>'Sources and Uses Budget'!T37</f>
        <v>0</v>
      </c>
      <c r="I36" s="581"/>
      <c r="J36" s="581"/>
      <c r="K36" s="575"/>
    </row>
    <row r="37" spans="1:11" s="251" customFormat="1">
      <c r="A37" s="241" t="s">
        <v>1625</v>
      </c>
      <c r="B37" s="580">
        <f>'Sources and Uses Budget'!C38</f>
        <v>17687160</v>
      </c>
      <c r="C37" s="580">
        <f>SUM(C28:C36)</f>
        <v>17687160</v>
      </c>
      <c r="D37" s="580">
        <f>SUM(D28:D36)</f>
        <v>0</v>
      </c>
      <c r="E37" s="580">
        <f>'Sources and Uses Budget'!S38</f>
        <v>17687160</v>
      </c>
      <c r="F37" s="583">
        <f>SUM(F28:F36)</f>
        <v>17687160</v>
      </c>
      <c r="G37" s="583">
        <f>SUM(G28:G36)</f>
        <v>0</v>
      </c>
      <c r="H37" s="580">
        <f>'Sources and Uses Budget'!T38</f>
        <v>0</v>
      </c>
      <c r="I37" s="583">
        <f>SUM(I28:I36)</f>
        <v>0</v>
      </c>
      <c r="J37" s="583">
        <f>SUM(J28:J36)</f>
        <v>0</v>
      </c>
      <c r="K37" s="575"/>
    </row>
    <row r="38" spans="1:11" s="251" customFormat="1">
      <c r="A38" s="233" t="s">
        <v>1626</v>
      </c>
      <c r="B38" s="579"/>
      <c r="C38" s="579"/>
      <c r="D38" s="579"/>
      <c r="E38" s="579"/>
      <c r="F38" s="579"/>
      <c r="G38" s="579"/>
      <c r="H38" s="579"/>
      <c r="I38" s="579"/>
      <c r="J38" s="579"/>
      <c r="K38" s="575"/>
    </row>
    <row r="39" spans="1:11" s="251" customFormat="1">
      <c r="A39" s="237" t="s">
        <v>1627</v>
      </c>
      <c r="B39" s="580">
        <f>'Sources and Uses Budget'!C40</f>
        <v>800000</v>
      </c>
      <c r="C39" s="581">
        <v>800000</v>
      </c>
      <c r="D39" s="581"/>
      <c r="E39" s="580">
        <f>'Sources and Uses Budget'!S40</f>
        <v>800000</v>
      </c>
      <c r="F39" s="581">
        <v>800000</v>
      </c>
      <c r="G39" s="581"/>
      <c r="H39" s="580">
        <f>'Sources and Uses Budget'!T40</f>
        <v>0</v>
      </c>
      <c r="I39" s="581"/>
      <c r="J39" s="581"/>
      <c r="K39" s="575"/>
    </row>
    <row r="40" spans="1:11" s="251" customFormat="1">
      <c r="A40" s="237" t="s">
        <v>1628</v>
      </c>
      <c r="B40" s="580">
        <f>'Sources and Uses Budget'!C41</f>
        <v>0</v>
      </c>
      <c r="C40" s="581"/>
      <c r="D40" s="581"/>
      <c r="E40" s="580">
        <f>'Sources and Uses Budget'!S41</f>
        <v>0</v>
      </c>
      <c r="F40" s="581"/>
      <c r="G40" s="581"/>
      <c r="H40" s="580">
        <f>'Sources and Uses Budget'!T41</f>
        <v>0</v>
      </c>
      <c r="I40" s="581"/>
      <c r="J40" s="581"/>
      <c r="K40" s="575"/>
    </row>
    <row r="41" spans="1:11" s="251" customFormat="1">
      <c r="A41" s="241" t="s">
        <v>1629</v>
      </c>
      <c r="B41" s="580">
        <f>'Sources and Uses Budget'!C42</f>
        <v>800000</v>
      </c>
      <c r="C41" s="580">
        <f>SUM(C38:C40)</f>
        <v>800000</v>
      </c>
      <c r="D41" s="580">
        <f>SUM(D38:D40)</f>
        <v>0</v>
      </c>
      <c r="E41" s="580">
        <f>'Sources and Uses Budget'!S42</f>
        <v>800000</v>
      </c>
      <c r="F41" s="583">
        <f>SUM(F39:F40)</f>
        <v>800000</v>
      </c>
      <c r="G41" s="583">
        <f>SUM(G39:G40)</f>
        <v>0</v>
      </c>
      <c r="H41" s="580">
        <f>'Sources and Uses Budget'!T42</f>
        <v>0</v>
      </c>
      <c r="I41" s="583">
        <f>SUM(I39:I40)</f>
        <v>0</v>
      </c>
      <c r="J41" s="583">
        <f>SUM(J39:J40)</f>
        <v>0</v>
      </c>
      <c r="K41" s="575"/>
    </row>
    <row r="42" spans="1:11" s="251" customFormat="1">
      <c r="A42" s="241" t="s">
        <v>1630</v>
      </c>
      <c r="B42" s="580">
        <f>'Sources and Uses Budget'!C43</f>
        <v>250000</v>
      </c>
      <c r="C42" s="581">
        <v>250000</v>
      </c>
      <c r="D42" s="581"/>
      <c r="E42" s="580">
        <f>'Sources and Uses Budget'!S43</f>
        <v>250000</v>
      </c>
      <c r="F42" s="581">
        <v>250000</v>
      </c>
      <c r="G42" s="581"/>
      <c r="H42" s="580">
        <f>'Sources and Uses Budget'!T43</f>
        <v>0</v>
      </c>
      <c r="I42" s="581"/>
      <c r="J42" s="581"/>
      <c r="K42" s="575"/>
    </row>
    <row r="43" spans="1:11" s="251" customFormat="1">
      <c r="A43" s="233" t="s">
        <v>1631</v>
      </c>
      <c r="B43" s="579"/>
      <c r="C43" s="579"/>
      <c r="D43" s="579"/>
      <c r="E43" s="579"/>
      <c r="F43" s="579"/>
      <c r="G43" s="579"/>
      <c r="H43" s="579"/>
      <c r="I43" s="579"/>
      <c r="J43" s="579"/>
      <c r="K43" s="575"/>
    </row>
    <row r="44" spans="1:11" s="251" customFormat="1">
      <c r="A44" s="237" t="s">
        <v>1632</v>
      </c>
      <c r="B44" s="580">
        <f>'Sources and Uses Budget'!C45</f>
        <v>885218</v>
      </c>
      <c r="C44" s="581">
        <v>885218</v>
      </c>
      <c r="D44" s="581"/>
      <c r="E44" s="580">
        <f>'Sources and Uses Budget'!S45</f>
        <v>885218</v>
      </c>
      <c r="F44" s="581">
        <v>885218</v>
      </c>
      <c r="G44" s="581"/>
      <c r="H44" s="580">
        <f>'Sources and Uses Budget'!T45</f>
        <v>0</v>
      </c>
      <c r="I44" s="581"/>
      <c r="J44" s="581"/>
      <c r="K44" s="575"/>
    </row>
    <row r="45" spans="1:11" s="251" customFormat="1">
      <c r="A45" s="237" t="s">
        <v>1633</v>
      </c>
      <c r="B45" s="580">
        <f>'Sources and Uses Budget'!C46</f>
        <v>256677</v>
      </c>
      <c r="C45" s="581">
        <v>256677</v>
      </c>
      <c r="D45" s="581"/>
      <c r="E45" s="580">
        <f>'Sources and Uses Budget'!S46</f>
        <v>256677</v>
      </c>
      <c r="F45" s="581">
        <v>256677</v>
      </c>
      <c r="G45" s="581"/>
      <c r="H45" s="580">
        <f>'Sources and Uses Budget'!T46</f>
        <v>0</v>
      </c>
      <c r="I45" s="581"/>
      <c r="J45" s="581"/>
      <c r="K45" s="575"/>
    </row>
    <row r="46" spans="1:11" s="251" customFormat="1" ht="12" customHeight="1">
      <c r="A46" s="237" t="s">
        <v>1634</v>
      </c>
      <c r="B46" s="580">
        <f>'Sources and Uses Budget'!C47</f>
        <v>35000</v>
      </c>
      <c r="C46" s="581">
        <v>35000</v>
      </c>
      <c r="D46" s="581"/>
      <c r="E46" s="580">
        <f>'Sources and Uses Budget'!S47</f>
        <v>35000</v>
      </c>
      <c r="F46" s="581">
        <v>35000</v>
      </c>
      <c r="G46" s="581"/>
      <c r="H46" s="580">
        <f>'Sources and Uses Budget'!T47</f>
        <v>0</v>
      </c>
      <c r="I46" s="581"/>
      <c r="J46" s="581"/>
      <c r="K46" s="575"/>
    </row>
    <row r="47" spans="1:11" s="251" customFormat="1">
      <c r="A47" s="237" t="s">
        <v>1635</v>
      </c>
      <c r="B47" s="580">
        <f>'Sources and Uses Budget'!C48</f>
        <v>0</v>
      </c>
      <c r="C47" s="581"/>
      <c r="D47" s="581"/>
      <c r="E47" s="580">
        <f>'Sources and Uses Budget'!S48</f>
        <v>0</v>
      </c>
      <c r="F47" s="581"/>
      <c r="G47" s="581"/>
      <c r="H47" s="580">
        <f>'Sources and Uses Budget'!T48</f>
        <v>0</v>
      </c>
      <c r="I47" s="581"/>
      <c r="J47" s="581"/>
      <c r="K47" s="575"/>
    </row>
    <row r="48" spans="1:11" s="251" customFormat="1">
      <c r="A48" s="237" t="s">
        <v>1636</v>
      </c>
      <c r="B48" s="580">
        <f>'Sources and Uses Budget'!C49</f>
        <v>40000</v>
      </c>
      <c r="C48" s="581">
        <v>40000</v>
      </c>
      <c r="D48" s="581"/>
      <c r="E48" s="580">
        <f>'Sources and Uses Budget'!S49</f>
        <v>40000</v>
      </c>
      <c r="F48" s="581">
        <v>40000</v>
      </c>
      <c r="G48" s="581"/>
      <c r="H48" s="580">
        <f>'Sources and Uses Budget'!T49</f>
        <v>0</v>
      </c>
      <c r="I48" s="581"/>
      <c r="J48" s="581"/>
      <c r="K48" s="575"/>
    </row>
    <row r="49" spans="1:11" s="251" customFormat="1">
      <c r="A49" s="237" t="s">
        <v>1637</v>
      </c>
      <c r="B49" s="580">
        <f>'Sources and Uses Budget'!C50</f>
        <v>84000</v>
      </c>
      <c r="C49" s="581">
        <v>84000</v>
      </c>
      <c r="D49" s="581"/>
      <c r="E49" s="580">
        <f>'Sources and Uses Budget'!S50</f>
        <v>84000</v>
      </c>
      <c r="F49" s="581">
        <v>84000</v>
      </c>
      <c r="G49" s="581"/>
      <c r="H49" s="580">
        <f>'Sources and Uses Budget'!T50</f>
        <v>0</v>
      </c>
      <c r="I49" s="581"/>
      <c r="J49" s="581"/>
      <c r="K49" s="575"/>
    </row>
    <row r="50" spans="1:11" s="251" customFormat="1">
      <c r="A50" s="237" t="s">
        <v>772</v>
      </c>
      <c r="B50" s="580">
        <f>'Sources and Uses Budget'!C51</f>
        <v>0</v>
      </c>
      <c r="C50" s="581"/>
      <c r="D50" s="581"/>
      <c r="E50" s="580">
        <f>'Sources and Uses Budget'!S51</f>
        <v>0</v>
      </c>
      <c r="F50" s="581"/>
      <c r="G50" s="581"/>
      <c r="H50" s="580">
        <f>'Sources and Uses Budget'!T51</f>
        <v>0</v>
      </c>
      <c r="I50" s="581"/>
      <c r="J50" s="581"/>
      <c r="K50" s="575"/>
    </row>
    <row r="51" spans="1:11" s="251" customFormat="1">
      <c r="A51" s="237" t="str">
        <f>'Sources and Uses Budget'!$A52</f>
        <v>Other: Inspection Fees</v>
      </c>
      <c r="B51" s="580">
        <f>'Sources and Uses Budget'!C52</f>
        <v>20000</v>
      </c>
      <c r="C51" s="581">
        <v>20000</v>
      </c>
      <c r="D51" s="581"/>
      <c r="E51" s="580">
        <f>'Sources and Uses Budget'!S52</f>
        <v>20000</v>
      </c>
      <c r="F51" s="581">
        <v>20000</v>
      </c>
      <c r="G51" s="581"/>
      <c r="H51" s="580">
        <f>'Sources and Uses Budget'!T52</f>
        <v>0</v>
      </c>
      <c r="I51" s="581"/>
      <c r="J51" s="581"/>
      <c r="K51" s="575"/>
    </row>
    <row r="52" spans="1:11" s="573" customFormat="1">
      <c r="A52" s="241" t="s">
        <v>1638</v>
      </c>
      <c r="B52" s="580">
        <f>'Sources and Uses Budget'!C53</f>
        <v>1320895</v>
      </c>
      <c r="C52" s="583">
        <f>SUM(C44:C51)</f>
        <v>1320895</v>
      </c>
      <c r="D52" s="583">
        <f>SUM(D44:D51)</f>
        <v>0</v>
      </c>
      <c r="E52" s="580">
        <f>'Sources and Uses Budget'!S53</f>
        <v>1320895</v>
      </c>
      <c r="F52" s="583">
        <f>SUM(F44:F51)</f>
        <v>1320895</v>
      </c>
      <c r="G52" s="583">
        <f>SUM(G44:G51)</f>
        <v>0</v>
      </c>
      <c r="H52" s="580">
        <f>'Sources and Uses Budget'!T53</f>
        <v>0</v>
      </c>
      <c r="I52" s="583">
        <f>SUM(I44:I51)</f>
        <v>0</v>
      </c>
      <c r="J52" s="583">
        <f>SUM(J44:J51)</f>
        <v>0</v>
      </c>
      <c r="K52" s="576"/>
    </row>
    <row r="53" spans="1:11" s="251" customFormat="1">
      <c r="A53" s="233" t="s">
        <v>578</v>
      </c>
      <c r="B53" s="579"/>
      <c r="C53" s="579"/>
      <c r="D53" s="579"/>
      <c r="E53" s="579"/>
      <c r="F53" s="579"/>
      <c r="G53" s="579"/>
      <c r="H53" s="579"/>
      <c r="I53" s="579"/>
      <c r="J53" s="579"/>
      <c r="K53" s="575"/>
    </row>
    <row r="54" spans="1:11" s="251" customFormat="1">
      <c r="A54" s="237" t="s">
        <v>1639</v>
      </c>
      <c r="B54" s="580">
        <f>'Sources and Uses Budget'!C55</f>
        <v>0</v>
      </c>
      <c r="C54" s="581"/>
      <c r="D54" s="581"/>
      <c r="E54" s="582"/>
      <c r="F54" s="582"/>
      <c r="G54" s="582"/>
      <c r="H54" s="582"/>
      <c r="I54" s="582"/>
      <c r="J54" s="582"/>
      <c r="K54" s="575"/>
    </row>
    <row r="55" spans="1:11" s="251" customFormat="1" ht="12" customHeight="1">
      <c r="A55" s="237" t="s">
        <v>1634</v>
      </c>
      <c r="B55" s="580">
        <f>'Sources and Uses Budget'!C56</f>
        <v>0</v>
      </c>
      <c r="C55" s="581"/>
      <c r="D55" s="581"/>
      <c r="E55" s="582"/>
      <c r="F55" s="582"/>
      <c r="G55" s="582"/>
      <c r="H55" s="582"/>
      <c r="I55" s="582"/>
      <c r="J55" s="582"/>
      <c r="K55" s="575"/>
    </row>
    <row r="56" spans="1:11" s="251" customFormat="1">
      <c r="A56" s="237" t="s">
        <v>1636</v>
      </c>
      <c r="B56" s="580">
        <f>'Sources and Uses Budget'!C57</f>
        <v>10000</v>
      </c>
      <c r="C56" s="581">
        <v>10000</v>
      </c>
      <c r="D56" s="581"/>
      <c r="E56" s="582"/>
      <c r="F56" s="582"/>
      <c r="G56" s="582"/>
      <c r="H56" s="582"/>
      <c r="I56" s="582"/>
      <c r="J56" s="582"/>
      <c r="K56" s="575"/>
    </row>
    <row r="57" spans="1:11" s="251" customFormat="1">
      <c r="A57" s="237" t="s">
        <v>1637</v>
      </c>
      <c r="B57" s="580">
        <f>'Sources and Uses Budget'!C58</f>
        <v>5000</v>
      </c>
      <c r="C57" s="581">
        <v>5000</v>
      </c>
      <c r="D57" s="581"/>
      <c r="E57" s="582"/>
      <c r="F57" s="582"/>
      <c r="G57" s="582"/>
      <c r="H57" s="582"/>
      <c r="I57" s="582"/>
      <c r="J57" s="582"/>
      <c r="K57" s="575"/>
    </row>
    <row r="58" spans="1:11" s="251" customFormat="1">
      <c r="A58" s="237" t="s">
        <v>772</v>
      </c>
      <c r="B58" s="580">
        <f>'Sources and Uses Budget'!C59</f>
        <v>0</v>
      </c>
      <c r="C58" s="581"/>
      <c r="D58" s="581"/>
      <c r="E58" s="582"/>
      <c r="F58" s="582"/>
      <c r="G58" s="582"/>
      <c r="H58" s="582"/>
      <c r="I58" s="582"/>
      <c r="J58" s="582"/>
      <c r="K58" s="575"/>
    </row>
    <row r="59" spans="1:11" s="251" customFormat="1">
      <c r="A59" s="237" t="str">
        <f>'Sources and Uses Budget'!$A60</f>
        <v>Other: (Specify)</v>
      </c>
      <c r="B59" s="580">
        <f>'Sources and Uses Budget'!C60</f>
        <v>0</v>
      </c>
      <c r="C59" s="581"/>
      <c r="D59" s="581"/>
      <c r="E59" s="582"/>
      <c r="F59" s="582"/>
      <c r="G59" s="582"/>
      <c r="H59" s="582"/>
      <c r="I59" s="582"/>
      <c r="J59" s="582"/>
      <c r="K59" s="575"/>
    </row>
    <row r="60" spans="1:11" s="251" customFormat="1" ht="13.9" customHeight="1">
      <c r="A60" s="241" t="s">
        <v>1640</v>
      </c>
      <c r="B60" s="580">
        <f>'Sources and Uses Budget'!C61</f>
        <v>15000</v>
      </c>
      <c r="C60" s="580">
        <f>SUM(C54:C59)</f>
        <v>15000</v>
      </c>
      <c r="D60" s="580">
        <f>SUM(D54:D59)</f>
        <v>0</v>
      </c>
      <c r="E60" s="582"/>
      <c r="F60" s="582"/>
      <c r="G60" s="582"/>
      <c r="H60" s="582"/>
      <c r="I60" s="582"/>
      <c r="J60" s="582"/>
      <c r="K60" s="575"/>
    </row>
    <row r="61" spans="1:11" s="251" customFormat="1">
      <c r="A61" s="247" t="s">
        <v>1641</v>
      </c>
      <c r="B61" s="580">
        <f>'Sources and Uses Budget'!C62</f>
        <v>24273055</v>
      </c>
      <c r="C61" s="580">
        <f>SUM(C8+C11+C13+C14+C15+C25+C26+C37+C41+C42+C52+C60)</f>
        <v>24273055</v>
      </c>
      <c r="D61" s="580">
        <f>SUM(D8+D11+D13+D14+D15+D25+D26+D37+D41+D42+D52+D60)</f>
        <v>0</v>
      </c>
      <c r="E61" s="580">
        <f>'Sources and Uses Budget'!S62</f>
        <v>20058055</v>
      </c>
      <c r="F61" s="580">
        <f>SUM(F10+F13+F14+F15+F25+F26+F37+F41+F42+F52)</f>
        <v>20058055</v>
      </c>
      <c r="G61" s="580">
        <f>SUM(G10+G13+G14+G15+G25+G26+G37+G41+G42+G52)</f>
        <v>0</v>
      </c>
      <c r="H61" s="580">
        <f>'Sources and Uses Budget'!T62</f>
        <v>0</v>
      </c>
      <c r="I61" s="580">
        <f>SUM(I11+I13+I14+I15+I25+I26+I37+I41+I42+I52)</f>
        <v>0</v>
      </c>
      <c r="J61" s="580">
        <f>SUM(J11+J13+J14+J15+J25+J26+J37+J41+J42+J52)</f>
        <v>0</v>
      </c>
      <c r="K61" s="575"/>
    </row>
    <row r="62" spans="1:11" s="251" customFormat="1" ht="24" customHeight="1">
      <c r="A62" s="233" t="s">
        <v>1642</v>
      </c>
      <c r="B62" s="579"/>
      <c r="C62" s="579"/>
      <c r="D62" s="579"/>
      <c r="E62" s="579"/>
      <c r="F62" s="579"/>
      <c r="G62" s="579"/>
      <c r="H62" s="579"/>
      <c r="I62" s="579"/>
      <c r="J62" s="579"/>
      <c r="K62" s="575"/>
    </row>
    <row r="63" spans="1:11" s="251" customFormat="1">
      <c r="A63" s="237" t="s">
        <v>1643</v>
      </c>
      <c r="B63" s="580">
        <f>'Sources and Uses Budget'!C64</f>
        <v>65000</v>
      </c>
      <c r="C63" s="581">
        <v>65000</v>
      </c>
      <c r="D63" s="581"/>
      <c r="E63" s="580">
        <f>'Sources and Uses Budget'!S64</f>
        <v>65000</v>
      </c>
      <c r="F63" s="581">
        <v>65000</v>
      </c>
      <c r="G63" s="581"/>
      <c r="H63" s="580">
        <f>'Sources and Uses Budget'!T64</f>
        <v>0</v>
      </c>
      <c r="I63" s="581"/>
      <c r="J63" s="581"/>
      <c r="K63" s="575"/>
    </row>
    <row r="64" spans="1:11" s="251" customFormat="1" ht="24" customHeight="1">
      <c r="A64" s="237" t="s">
        <v>1644</v>
      </c>
      <c r="B64" s="580">
        <f>'Sources and Uses Budget'!C65</f>
        <v>0</v>
      </c>
      <c r="C64" s="581"/>
      <c r="D64" s="581"/>
      <c r="E64" s="580">
        <f>'Sources and Uses Budget'!S65</f>
        <v>0</v>
      </c>
      <c r="F64" s="581"/>
      <c r="G64" s="581"/>
      <c r="H64" s="580">
        <f>'Sources and Uses Budget'!T65</f>
        <v>0</v>
      </c>
      <c r="I64" s="581"/>
      <c r="J64" s="581"/>
      <c r="K64" s="575"/>
    </row>
    <row r="65" spans="1:11" s="251" customFormat="1" ht="24" customHeight="1">
      <c r="A65" s="237" t="s">
        <v>1645</v>
      </c>
      <c r="B65" s="580">
        <f>'Sources and Uses Budget'!C66</f>
        <v>0</v>
      </c>
      <c r="C65" s="581"/>
      <c r="D65" s="581"/>
      <c r="E65" s="580">
        <f>'Sources and Uses Budget'!S66</f>
        <v>0</v>
      </c>
      <c r="F65" s="581"/>
      <c r="G65" s="581"/>
      <c r="H65" s="580">
        <f>'Sources and Uses Budget'!T66</f>
        <v>0</v>
      </c>
      <c r="I65" s="581"/>
      <c r="J65" s="581"/>
      <c r="K65" s="575"/>
    </row>
    <row r="66" spans="1:11" s="251" customFormat="1">
      <c r="A66" s="237" t="s">
        <v>1646</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Other: Borrower's Attorney</v>
      </c>
      <c r="B67" s="580">
        <f>'Sources and Uses Budget'!C68</f>
        <v>50000</v>
      </c>
      <c r="C67" s="581">
        <v>50000</v>
      </c>
      <c r="D67" s="581"/>
      <c r="E67" s="580">
        <f>'Sources and Uses Budget'!S68</f>
        <v>50000</v>
      </c>
      <c r="F67" s="581">
        <v>50000</v>
      </c>
      <c r="G67" s="581"/>
      <c r="H67" s="580">
        <f>'Sources and Uses Budget'!T68</f>
        <v>0</v>
      </c>
      <c r="I67" s="581"/>
      <c r="J67" s="581"/>
      <c r="K67" s="575"/>
    </row>
    <row r="68" spans="1:11" s="251" customFormat="1">
      <c r="A68" s="241" t="s">
        <v>1647</v>
      </c>
      <c r="B68" s="580">
        <f>'Sources and Uses Budget'!C69</f>
        <v>115000</v>
      </c>
      <c r="C68" s="580">
        <f>SUM(C62:C67)</f>
        <v>115000</v>
      </c>
      <c r="D68" s="580">
        <f>SUM(D62:D67)</f>
        <v>0</v>
      </c>
      <c r="E68" s="580">
        <f>'Sources and Uses Budget'!S69</f>
        <v>115000</v>
      </c>
      <c r="F68" s="583">
        <f>SUM(F63:F67)</f>
        <v>115000</v>
      </c>
      <c r="G68" s="583">
        <f>SUM(G63:G67)</f>
        <v>0</v>
      </c>
      <c r="H68" s="580">
        <f>'Sources and Uses Budget'!T69</f>
        <v>0</v>
      </c>
      <c r="I68" s="583">
        <f>SUM(I63:I67)</f>
        <v>0</v>
      </c>
      <c r="J68" s="583">
        <f>SUM(J63:J67)</f>
        <v>0</v>
      </c>
      <c r="K68" s="575"/>
    </row>
    <row r="69" spans="1:11" s="251" customFormat="1">
      <c r="A69" s="233" t="s">
        <v>1648</v>
      </c>
      <c r="B69" s="579"/>
      <c r="C69" s="579"/>
      <c r="D69" s="579"/>
      <c r="E69" s="579"/>
      <c r="F69" s="579"/>
      <c r="G69" s="579"/>
      <c r="H69" s="579"/>
      <c r="I69" s="579"/>
      <c r="J69" s="579"/>
      <c r="K69" s="575"/>
    </row>
    <row r="70" spans="1:11" s="251" customFormat="1">
      <c r="A70" s="237" t="s">
        <v>1649</v>
      </c>
      <c r="B70" s="580">
        <f>'Sources and Uses Budget'!C71</f>
        <v>30000</v>
      </c>
      <c r="C70" s="581">
        <v>30000</v>
      </c>
      <c r="D70" s="581"/>
      <c r="E70" s="582"/>
      <c r="F70" s="582"/>
      <c r="G70" s="582"/>
      <c r="H70" s="582"/>
      <c r="I70" s="582"/>
      <c r="J70" s="582"/>
      <c r="K70" s="575"/>
    </row>
    <row r="71" spans="1:11" s="251" customFormat="1">
      <c r="A71" s="237" t="s">
        <v>1650</v>
      </c>
      <c r="B71" s="580">
        <f>'Sources and Uses Budget'!C72</f>
        <v>0</v>
      </c>
      <c r="C71" s="581"/>
      <c r="D71" s="581"/>
      <c r="E71" s="582"/>
      <c r="F71" s="582"/>
      <c r="G71" s="582"/>
      <c r="H71" s="582"/>
      <c r="I71" s="582"/>
      <c r="J71" s="582"/>
      <c r="K71" s="575"/>
    </row>
    <row r="72" spans="1:11" s="251" customFormat="1">
      <c r="A72" s="453" t="s">
        <v>1651</v>
      </c>
      <c r="B72" s="580">
        <f>'Sources and Uses Budget'!C73</f>
        <v>0</v>
      </c>
      <c r="C72" s="581"/>
      <c r="D72" s="581"/>
      <c r="E72" s="582"/>
      <c r="F72" s="582"/>
      <c r="G72" s="582"/>
      <c r="H72" s="582"/>
      <c r="I72" s="582"/>
      <c r="J72" s="582"/>
      <c r="K72" s="575"/>
    </row>
    <row r="73" spans="1:11" s="251" customFormat="1">
      <c r="A73" s="237" t="s">
        <v>1652</v>
      </c>
      <c r="B73" s="580">
        <f>'Sources and Uses Budget'!C74</f>
        <v>155012</v>
      </c>
      <c r="C73" s="581">
        <v>155012</v>
      </c>
      <c r="D73" s="581"/>
      <c r="E73" s="582"/>
      <c r="F73" s="582"/>
      <c r="G73" s="582"/>
      <c r="H73" s="582"/>
      <c r="I73" s="582"/>
      <c r="J73" s="582"/>
      <c r="K73" s="575"/>
    </row>
    <row r="74" spans="1:11" s="251" customFormat="1">
      <c r="A74" s="237" t="str">
        <f>'Sources and Uses Budget'!$A75</f>
        <v>Other: (Specify)</v>
      </c>
      <c r="B74" s="580">
        <f>'Sources and Uses Budget'!C75</f>
        <v>0</v>
      </c>
      <c r="C74" s="581"/>
      <c r="D74" s="581"/>
      <c r="E74" s="582"/>
      <c r="F74" s="582"/>
      <c r="G74" s="582"/>
      <c r="H74" s="582"/>
      <c r="I74" s="582"/>
      <c r="J74" s="582"/>
      <c r="K74" s="575"/>
    </row>
    <row r="75" spans="1:11" s="251" customFormat="1">
      <c r="A75" s="241" t="s">
        <v>1653</v>
      </c>
      <c r="B75" s="580">
        <f>'Sources and Uses Budget'!C76</f>
        <v>185012</v>
      </c>
      <c r="C75" s="580">
        <f>SUM(C70:C74)</f>
        <v>185012</v>
      </c>
      <c r="D75" s="580">
        <f>SUM(D70:D74)</f>
        <v>0</v>
      </c>
      <c r="E75" s="582"/>
      <c r="F75" s="582"/>
      <c r="G75" s="582"/>
      <c r="H75" s="582"/>
      <c r="I75" s="582"/>
      <c r="J75" s="582"/>
      <c r="K75" s="575"/>
    </row>
    <row r="76" spans="1:11" s="251" customFormat="1">
      <c r="A76" s="233" t="s">
        <v>1654</v>
      </c>
      <c r="B76" s="579"/>
      <c r="C76" s="579"/>
      <c r="D76" s="579"/>
      <c r="E76" s="579"/>
      <c r="F76" s="579"/>
      <c r="G76" s="579"/>
      <c r="H76" s="579"/>
      <c r="I76" s="579"/>
      <c r="J76" s="579"/>
      <c r="K76" s="575"/>
    </row>
    <row r="77" spans="1:11" s="251" customFormat="1">
      <c r="A77" s="237" t="s">
        <v>1771</v>
      </c>
      <c r="B77" s="580">
        <f>'Sources and Uses Budget'!C78</f>
        <v>884358</v>
      </c>
      <c r="C77" s="581">
        <v>884358</v>
      </c>
      <c r="D77" s="581"/>
      <c r="E77" s="580">
        <f>'Sources and Uses Budget'!S78</f>
        <v>884358</v>
      </c>
      <c r="F77" s="581">
        <v>884358</v>
      </c>
      <c r="G77" s="581"/>
      <c r="H77" s="580">
        <f>'Sources and Uses Budget'!T78</f>
        <v>0</v>
      </c>
      <c r="I77" s="581"/>
      <c r="J77" s="581"/>
      <c r="K77" s="575"/>
    </row>
    <row r="78" spans="1:11" s="251" customFormat="1">
      <c r="A78" s="237" t="s">
        <v>1656</v>
      </c>
      <c r="B78" s="580">
        <f>'Sources and Uses Budget'!C79</f>
        <v>177547</v>
      </c>
      <c r="C78" s="581">
        <v>177547</v>
      </c>
      <c r="D78" s="581"/>
      <c r="E78" s="580">
        <f>'Sources and Uses Budget'!S79</f>
        <v>177547</v>
      </c>
      <c r="F78" s="581">
        <v>177547</v>
      </c>
      <c r="G78" s="581"/>
      <c r="H78" s="580">
        <f>'Sources and Uses Budget'!T79</f>
        <v>0</v>
      </c>
      <c r="I78" s="581"/>
      <c r="J78" s="581"/>
      <c r="K78" s="575"/>
    </row>
    <row r="79" spans="1:11" s="251" customFormat="1">
      <c r="A79" s="241" t="s">
        <v>1657</v>
      </c>
      <c r="B79" s="580">
        <f>'Sources and Uses Budget'!C80</f>
        <v>1061905</v>
      </c>
      <c r="C79" s="662">
        <f>SUM(C77:C78)</f>
        <v>1061905</v>
      </c>
      <c r="D79" s="662">
        <f>SUM(D77:D78)</f>
        <v>0</v>
      </c>
      <c r="E79" s="580">
        <f>'Sources and Uses Budget'!S80</f>
        <v>1061905</v>
      </c>
      <c r="F79" s="662">
        <f>SUM(F77:F78)</f>
        <v>1061905</v>
      </c>
      <c r="G79" s="662">
        <f>SUM(G77:G78)</f>
        <v>0</v>
      </c>
      <c r="H79" s="580">
        <f>'Sources and Uses Budget'!T80</f>
        <v>0</v>
      </c>
      <c r="I79" s="662">
        <f>SUM(I77:I78)</f>
        <v>0</v>
      </c>
      <c r="J79" s="662">
        <f>SUM(J77:J78)</f>
        <v>0</v>
      </c>
      <c r="K79" s="575"/>
    </row>
    <row r="80" spans="1:11" s="251" customFormat="1">
      <c r="A80" s="233" t="s">
        <v>1658</v>
      </c>
      <c r="B80" s="579"/>
      <c r="C80" s="579"/>
      <c r="D80" s="579"/>
      <c r="E80" s="579"/>
      <c r="F80" s="579"/>
      <c r="G80" s="579"/>
      <c r="H80" s="579"/>
      <c r="I80" s="579"/>
      <c r="J80" s="579"/>
      <c r="K80" s="575"/>
    </row>
    <row r="81" spans="1:11" s="251" customFormat="1" ht="13.9" customHeight="1">
      <c r="A81" s="237" t="s">
        <v>1659</v>
      </c>
      <c r="B81" s="580">
        <f>'Sources and Uses Budget'!C82</f>
        <v>101681</v>
      </c>
      <c r="C81" s="581">
        <v>101681</v>
      </c>
      <c r="D81" s="581"/>
      <c r="E81" s="582"/>
      <c r="F81" s="582"/>
      <c r="G81" s="582"/>
      <c r="H81" s="582"/>
      <c r="I81" s="582"/>
      <c r="J81" s="582"/>
      <c r="K81" s="575"/>
    </row>
    <row r="82" spans="1:11" s="251" customFormat="1">
      <c r="A82" s="237" t="s">
        <v>1660</v>
      </c>
      <c r="B82" s="580">
        <f>'Sources and Uses Budget'!C83</f>
        <v>7000</v>
      </c>
      <c r="C82" s="581">
        <v>7000</v>
      </c>
      <c r="D82" s="581"/>
      <c r="E82" s="580">
        <f>'Sources and Uses Budget'!S83</f>
        <v>7000</v>
      </c>
      <c r="F82" s="581">
        <v>7000</v>
      </c>
      <c r="G82" s="581"/>
      <c r="H82" s="580">
        <f>'Sources and Uses Budget'!T83</f>
        <v>0</v>
      </c>
      <c r="I82" s="581"/>
      <c r="J82" s="581"/>
      <c r="K82" s="575"/>
    </row>
    <row r="83" spans="1:11" s="251" customFormat="1">
      <c r="A83" s="237" t="s">
        <v>1661</v>
      </c>
      <c r="B83" s="580">
        <f>'Sources and Uses Budget'!C84</f>
        <v>236395</v>
      </c>
      <c r="C83" s="581">
        <f>B83</f>
        <v>236395</v>
      </c>
      <c r="D83" s="581"/>
      <c r="E83" s="580">
        <f>'Sources and Uses Budget'!S84</f>
        <v>236395</v>
      </c>
      <c r="F83" s="581">
        <f>E83</f>
        <v>236395</v>
      </c>
      <c r="G83" s="581"/>
      <c r="H83" s="580">
        <f>'Sources and Uses Budget'!T84</f>
        <v>0</v>
      </c>
      <c r="I83" s="581"/>
      <c r="J83" s="581"/>
      <c r="K83" s="575"/>
    </row>
    <row r="84" spans="1:11" s="251" customFormat="1">
      <c r="A84" s="237" t="s">
        <v>1662</v>
      </c>
      <c r="B84" s="580">
        <f>'Sources and Uses Budget'!C85</f>
        <v>1433605</v>
      </c>
      <c r="C84" s="581">
        <f>B84</f>
        <v>1433605</v>
      </c>
      <c r="D84" s="581"/>
      <c r="E84" s="580">
        <f>'Sources and Uses Budget'!S85</f>
        <v>1433605</v>
      </c>
      <c r="F84" s="581">
        <f>E84</f>
        <v>1433605</v>
      </c>
      <c r="G84" s="581"/>
      <c r="H84" s="580">
        <f>'Sources and Uses Budget'!T85</f>
        <v>0</v>
      </c>
      <c r="I84" s="581"/>
      <c r="J84" s="581"/>
      <c r="K84" s="575"/>
    </row>
    <row r="85" spans="1:11" s="251" customFormat="1">
      <c r="A85" s="237" t="s">
        <v>1663</v>
      </c>
      <c r="B85" s="580">
        <f>'Sources and Uses Budget'!C86</f>
        <v>0</v>
      </c>
      <c r="C85" s="581"/>
      <c r="D85" s="581"/>
      <c r="E85" s="580">
        <f>'Sources and Uses Budget'!S86</f>
        <v>0</v>
      </c>
      <c r="F85" s="581"/>
      <c r="G85" s="581"/>
      <c r="H85" s="580">
        <f>'Sources and Uses Budget'!T86</f>
        <v>0</v>
      </c>
      <c r="I85" s="581"/>
      <c r="J85" s="581"/>
      <c r="K85" s="575"/>
    </row>
    <row r="86" spans="1:11" s="251" customFormat="1">
      <c r="A86" s="237" t="s">
        <v>1664</v>
      </c>
      <c r="B86" s="580">
        <f>'Sources and Uses Budget'!C87</f>
        <v>67285</v>
      </c>
      <c r="C86" s="581">
        <v>67285</v>
      </c>
      <c r="D86" s="581"/>
      <c r="E86" s="582"/>
      <c r="F86" s="582"/>
      <c r="G86" s="582"/>
      <c r="H86" s="582"/>
      <c r="I86" s="582"/>
      <c r="J86" s="582"/>
      <c r="K86" s="575"/>
    </row>
    <row r="87" spans="1:11" s="251" customFormat="1">
      <c r="A87" s="237" t="s">
        <v>1665</v>
      </c>
      <c r="B87" s="580">
        <f>'Sources and Uses Budget'!C88</f>
        <v>40000</v>
      </c>
      <c r="C87" s="581">
        <v>40000</v>
      </c>
      <c r="D87" s="581"/>
      <c r="E87" s="580">
        <f>'Sources and Uses Budget'!S88</f>
        <v>40000</v>
      </c>
      <c r="F87" s="581">
        <v>40000</v>
      </c>
      <c r="G87" s="581"/>
      <c r="H87" s="580">
        <f>'Sources and Uses Budget'!T88</f>
        <v>0</v>
      </c>
      <c r="I87" s="581"/>
      <c r="J87" s="581"/>
      <c r="K87" s="575"/>
    </row>
    <row r="88" spans="1:11" s="251" customFormat="1">
      <c r="A88" s="237" t="s">
        <v>1666</v>
      </c>
      <c r="B88" s="580">
        <f>'Sources and Uses Budget'!C89</f>
        <v>10000</v>
      </c>
      <c r="C88" s="581">
        <v>10000</v>
      </c>
      <c r="D88" s="581"/>
      <c r="E88" s="580">
        <f>'Sources and Uses Budget'!S89</f>
        <v>10000</v>
      </c>
      <c r="F88" s="581">
        <v>10000</v>
      </c>
      <c r="G88" s="581"/>
      <c r="H88" s="580">
        <f>'Sources and Uses Budget'!T89</f>
        <v>0</v>
      </c>
      <c r="I88" s="581"/>
      <c r="J88" s="581"/>
      <c r="K88" s="575"/>
    </row>
    <row r="89" spans="1:11" s="251" customFormat="1">
      <c r="A89" s="237" t="s">
        <v>1667</v>
      </c>
      <c r="B89" s="580">
        <f>'Sources and Uses Budget'!C90</f>
        <v>45000</v>
      </c>
      <c r="C89" s="581">
        <v>45000</v>
      </c>
      <c r="D89" s="581"/>
      <c r="E89" s="580">
        <f>'Sources and Uses Budget'!S90</f>
        <v>45000</v>
      </c>
      <c r="F89" s="581">
        <v>45000</v>
      </c>
      <c r="G89" s="581"/>
      <c r="H89" s="580">
        <f>'Sources and Uses Budget'!T90</f>
        <v>0</v>
      </c>
      <c r="I89" s="581"/>
      <c r="J89" s="581"/>
      <c r="K89" s="575"/>
    </row>
    <row r="90" spans="1:11" s="251" customFormat="1">
      <c r="A90" s="237" t="s">
        <v>1668</v>
      </c>
      <c r="B90" s="580">
        <f>'Sources and Uses Budget'!C91</f>
        <v>7500</v>
      </c>
      <c r="C90" s="581">
        <v>7500</v>
      </c>
      <c r="D90" s="581"/>
      <c r="E90" s="580">
        <f>'Sources and Uses Budget'!S91</f>
        <v>7500</v>
      </c>
      <c r="F90" s="581">
        <v>7500</v>
      </c>
      <c r="G90" s="581"/>
      <c r="H90" s="580">
        <f>'Sources and Uses Budget'!T91</f>
        <v>0</v>
      </c>
      <c r="I90" s="581"/>
      <c r="J90" s="581"/>
      <c r="K90" s="575"/>
    </row>
    <row r="91" spans="1:11" s="251" customFormat="1">
      <c r="A91" s="237" t="str">
        <f>'Sources and Uses Budget'!$A92</f>
        <v>Other: (Specify)</v>
      </c>
      <c r="B91" s="580">
        <f>'Sources and Uses Budget'!C92</f>
        <v>0</v>
      </c>
      <c r="C91" s="581"/>
      <c r="D91" s="581"/>
      <c r="E91" s="580">
        <f>'Sources and Uses Budget'!S92</f>
        <v>0</v>
      </c>
      <c r="F91" s="581"/>
      <c r="G91" s="581"/>
      <c r="H91" s="580">
        <f>'Sources and Uses Budget'!T92</f>
        <v>0</v>
      </c>
      <c r="I91" s="581"/>
      <c r="J91" s="581"/>
      <c r="K91" s="575"/>
    </row>
    <row r="92" spans="1:11" s="251" customFormat="1">
      <c r="A92" s="237" t="str">
        <f>'Sources and Uses Budget'!$A93</f>
        <v>Other: (Specify)</v>
      </c>
      <c r="B92" s="580">
        <f>'Sources and Uses Budget'!C93</f>
        <v>0</v>
      </c>
      <c r="C92" s="581"/>
      <c r="D92" s="581"/>
      <c r="E92" s="580">
        <f>'Sources and Uses Budget'!S93</f>
        <v>0</v>
      </c>
      <c r="F92" s="581"/>
      <c r="G92" s="581"/>
      <c r="H92" s="580">
        <f>'Sources and Uses Budget'!T93</f>
        <v>0</v>
      </c>
      <c r="I92" s="581"/>
      <c r="J92" s="581"/>
      <c r="K92" s="575"/>
    </row>
    <row r="93" spans="1:11" s="251" customFormat="1">
      <c r="A93" s="237" t="str">
        <f>'Sources and Uses Budget'!$A94</f>
        <v>Other: (Specify)</v>
      </c>
      <c r="B93" s="580">
        <f>'Sources and Uses Budget'!C94</f>
        <v>0</v>
      </c>
      <c r="C93" s="581"/>
      <c r="D93" s="581"/>
      <c r="E93" s="580">
        <f>'Sources and Uses Budget'!S94</f>
        <v>0</v>
      </c>
      <c r="F93" s="581"/>
      <c r="G93" s="581"/>
      <c r="H93" s="580">
        <f>'Sources and Uses Budget'!T94</f>
        <v>0</v>
      </c>
      <c r="I93" s="581"/>
      <c r="J93" s="581"/>
      <c r="K93" s="575"/>
    </row>
    <row r="94" spans="1:11" s="251" customFormat="1">
      <c r="A94" s="241" t="s">
        <v>1669</v>
      </c>
      <c r="B94" s="580">
        <f>'Sources and Uses Budget'!C95</f>
        <v>1948466</v>
      </c>
      <c r="C94" s="580">
        <f>SUM(C81:C93)</f>
        <v>1948466</v>
      </c>
      <c r="D94" s="580">
        <f>SUM(D81:D93)</f>
        <v>0</v>
      </c>
      <c r="E94" s="580">
        <f>'Sources and Uses Budget'!S95</f>
        <v>1779500</v>
      </c>
      <c r="F94" s="583">
        <f>SUM(F82:F85,F87:F93)</f>
        <v>1779500</v>
      </c>
      <c r="G94" s="583">
        <f>SUM(G82:G85,G87:G93)</f>
        <v>0</v>
      </c>
      <c r="H94" s="580">
        <f>'Sources and Uses Budget'!T95</f>
        <v>0</v>
      </c>
      <c r="I94" s="580">
        <f>SUM(I82:I85,I87:I93)</f>
        <v>0</v>
      </c>
      <c r="J94" s="580">
        <f>SUM(J82:J85,J87:J93)</f>
        <v>0</v>
      </c>
      <c r="K94" s="575"/>
    </row>
    <row r="95" spans="1:11" s="251" customFormat="1">
      <c r="A95" s="241" t="s">
        <v>1772</v>
      </c>
      <c r="B95" s="580">
        <f>'Sources and Uses Budget'!C96</f>
        <v>27583438</v>
      </c>
      <c r="C95" s="580">
        <f>SUM(C61+C68+C75+C79+C94)</f>
        <v>27583438</v>
      </c>
      <c r="D95" s="580">
        <f>SUM(D61+D68+D75+D79+D94)</f>
        <v>0</v>
      </c>
      <c r="E95" s="580">
        <f>'Sources and Uses Budget'!S96</f>
        <v>23014460</v>
      </c>
      <c r="F95" s="583">
        <f>SUM(+F61+F68+F79+F94)</f>
        <v>23014460</v>
      </c>
      <c r="G95" s="583">
        <f>SUM(+G61+G68+G79+G94)</f>
        <v>0</v>
      </c>
      <c r="H95" s="580">
        <f>'Sources and Uses Budget'!T96</f>
        <v>0</v>
      </c>
      <c r="I95" s="583">
        <f>SUM(I61+I68+I79+I94)</f>
        <v>0</v>
      </c>
      <c r="J95" s="583">
        <f>SUM(J61+J68+J79+J94)</f>
        <v>0</v>
      </c>
      <c r="K95" s="575"/>
    </row>
    <row r="96" spans="1:11" s="251" customFormat="1">
      <c r="A96" s="233" t="s">
        <v>1671</v>
      </c>
      <c r="B96" s="579"/>
      <c r="C96" s="579"/>
      <c r="D96" s="579"/>
      <c r="E96" s="579"/>
      <c r="F96" s="579"/>
      <c r="G96" s="579"/>
      <c r="H96" s="579"/>
      <c r="I96" s="579"/>
      <c r="J96" s="579"/>
      <c r="K96" s="575"/>
    </row>
    <row r="97" spans="1:11" s="251" customFormat="1">
      <c r="A97" s="237" t="s">
        <v>1672</v>
      </c>
      <c r="B97" s="580">
        <f>'Sources and Uses Budget'!C98</f>
        <v>2500000</v>
      </c>
      <c r="C97" s="581">
        <v>2500000</v>
      </c>
      <c r="D97" s="581"/>
      <c r="E97" s="580">
        <f>'Sources and Uses Budget'!S98</f>
        <v>2500000</v>
      </c>
      <c r="F97" s="581">
        <v>2500000</v>
      </c>
      <c r="G97" s="581"/>
      <c r="H97" s="580">
        <f>'Sources and Uses Budget'!T98</f>
        <v>0</v>
      </c>
      <c r="I97" s="581"/>
      <c r="J97" s="581"/>
      <c r="K97" s="575"/>
    </row>
    <row r="98" spans="1:11" s="251" customFormat="1">
      <c r="A98" s="237" t="s">
        <v>1673</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1674</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1675</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1676</v>
      </c>
      <c r="B102" s="580">
        <f>'Sources and Uses Budget'!C103</f>
        <v>2500000</v>
      </c>
      <c r="C102" s="580">
        <f>SUM(C97:C101)</f>
        <v>2500000</v>
      </c>
      <c r="D102" s="580">
        <f>SUM(D97:D101)</f>
        <v>0</v>
      </c>
      <c r="E102" s="580">
        <f>'Sources and Uses Budget'!S103</f>
        <v>2500000</v>
      </c>
      <c r="F102" s="583">
        <f>SUM(F97:F101)</f>
        <v>2500000</v>
      </c>
      <c r="G102" s="583">
        <f>SUM(G97:G101)</f>
        <v>0</v>
      </c>
      <c r="H102" s="580">
        <f>'Sources and Uses Budget'!T103</f>
        <v>0</v>
      </c>
      <c r="I102" s="583">
        <f>SUM(I97:I101)</f>
        <v>0</v>
      </c>
      <c r="J102" s="583">
        <f>SUM(J97:J101)</f>
        <v>0</v>
      </c>
      <c r="K102" s="575"/>
    </row>
    <row r="103" spans="1:11" s="251" customFormat="1">
      <c r="A103" s="241" t="s">
        <v>1773</v>
      </c>
      <c r="B103" s="580">
        <f>'Sources and Uses Budget'!C104</f>
        <v>30083438</v>
      </c>
      <c r="C103" s="583">
        <f>SUM(C95+C102)</f>
        <v>30083438</v>
      </c>
      <c r="D103" s="583">
        <f>SUM(D95+D102)</f>
        <v>0</v>
      </c>
      <c r="E103" s="580">
        <f>'Sources and Uses Budget'!S104</f>
        <v>25514460</v>
      </c>
      <c r="F103" s="583">
        <f>F95+F102</f>
        <v>25514460</v>
      </c>
      <c r="G103" s="583">
        <f>G95+G102</f>
        <v>0</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25514460</v>
      </c>
      <c r="F105" s="583">
        <f>F103+F104</f>
        <v>25514460</v>
      </c>
      <c r="G105" s="583">
        <f>G103+G104</f>
        <v>0</v>
      </c>
      <c r="H105" s="580">
        <f>'Sources and Uses Budget'!T106</f>
        <v>0</v>
      </c>
      <c r="I105" s="583">
        <f>I103+I104</f>
        <v>0</v>
      </c>
      <c r="J105" s="583">
        <f>J103+J104</f>
        <v>0</v>
      </c>
      <c r="K105" s="575"/>
    </row>
    <row r="106" spans="1:11" s="251" customFormat="1" hidden="1">
      <c r="A106" s="557"/>
      <c r="B106" s="250"/>
      <c r="C106" s="250"/>
      <c r="D106" s="250"/>
      <c r="J106" s="578"/>
      <c r="K106" s="575"/>
    </row>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headerFooter alignWithMargins="0">
    <oddFooter>&amp;C&amp;P&amp;R&amp;8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Q729"/>
  <sheetViews>
    <sheetView showGridLines="0" topLeftCell="A592" workbookViewId="0">
      <selection activeCell="R679" sqref="R67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3"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10" width="9.140625" style="21" hidden="1" customWidth="1"/>
    <col min="111" max="16384" width="9.140625" style="21" hidden="1"/>
  </cols>
  <sheetData>
    <row r="1" spans="1:43" ht="15.75" customHeight="1">
      <c r="A1" s="1503" t="s">
        <v>1774</v>
      </c>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row>
    <row r="2" spans="1:43" s="5" customFormat="1" ht="12.75" customHeight="1"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664"/>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5"/>
    </row>
    <row r="4" spans="1:43" s="3" customFormat="1" ht="12.75" customHeight="1">
      <c r="A4" s="63" t="s">
        <v>1775</v>
      </c>
      <c r="AE4" s="1435" t="s">
        <v>1776</v>
      </c>
      <c r="AF4" s="1428"/>
      <c r="AG4" s="1428"/>
      <c r="AH4" s="1428"/>
      <c r="AI4" s="1428"/>
      <c r="AJ4" s="1428"/>
      <c r="AK4" s="1428"/>
      <c r="AL4" s="18"/>
      <c r="AN4" s="665"/>
    </row>
    <row r="5" spans="1:43" s="3" customFormat="1" ht="12.95" customHeight="1">
      <c r="A5" s="63"/>
      <c r="AE5" s="18"/>
      <c r="AF5" s="18"/>
      <c r="AG5" s="18"/>
      <c r="AH5" s="18"/>
      <c r="AI5" s="18"/>
      <c r="AJ5" s="18"/>
      <c r="AK5" s="18"/>
      <c r="AL5" s="18"/>
      <c r="AN5" s="665"/>
    </row>
    <row r="6" spans="1:43" s="5" customFormat="1" ht="12.75" customHeight="1">
      <c r="A6" s="63"/>
      <c r="B6" s="63" t="s">
        <v>1777</v>
      </c>
      <c r="C6" s="3"/>
      <c r="D6" s="3"/>
      <c r="E6" s="3"/>
      <c r="F6" s="3"/>
      <c r="G6" s="3"/>
      <c r="H6" s="3"/>
      <c r="I6" s="3"/>
      <c r="J6" s="3"/>
      <c r="K6" s="3"/>
      <c r="L6" s="3"/>
      <c r="M6" s="3"/>
      <c r="N6" s="3"/>
      <c r="O6" s="3"/>
      <c r="P6" s="3"/>
      <c r="Q6" s="3"/>
      <c r="R6" s="3"/>
      <c r="S6" s="3"/>
      <c r="T6" s="3"/>
      <c r="U6" s="3"/>
      <c r="V6" s="3"/>
      <c r="W6" s="3"/>
      <c r="X6" s="3"/>
      <c r="Y6" s="3"/>
      <c r="Z6" s="3"/>
      <c r="AA6" s="3"/>
      <c r="AB6" s="3"/>
      <c r="AC6" s="3"/>
      <c r="AD6" s="3"/>
      <c r="AF6" s="1452" t="s">
        <v>1778</v>
      </c>
      <c r="AG6" s="983"/>
      <c r="AH6" s="983"/>
      <c r="AI6" s="983"/>
      <c r="AJ6" s="983"/>
      <c r="AK6" s="983"/>
      <c r="AL6" s="983"/>
      <c r="AM6" s="3"/>
      <c r="AN6" s="664"/>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316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4"/>
    </row>
    <row r="8" spans="1:43" s="5" customFormat="1" ht="15" customHeight="1">
      <c r="A8" s="63"/>
      <c r="B8" s="1381" t="s">
        <v>2447</v>
      </c>
      <c r="C8" s="1060"/>
      <c r="D8" s="1060"/>
      <c r="E8" s="1060"/>
      <c r="F8" s="1060"/>
      <c r="G8" s="1060"/>
      <c r="H8" s="1060"/>
      <c r="I8" s="1060"/>
      <c r="J8" s="1060"/>
      <c r="K8" s="1060"/>
      <c r="L8" s="1060"/>
      <c r="M8" s="1060"/>
      <c r="N8" s="1060"/>
      <c r="O8" s="1060"/>
      <c r="P8" s="1060"/>
      <c r="Q8" s="1060"/>
      <c r="R8" s="1060"/>
      <c r="S8" s="1060"/>
      <c r="T8" s="1060"/>
      <c r="U8" s="1060"/>
      <c r="V8" s="1060"/>
      <c r="W8" s="1060"/>
      <c r="X8" s="1060"/>
      <c r="Y8" s="1060"/>
      <c r="Z8" s="1060"/>
      <c r="AA8" s="1060"/>
      <c r="AB8" s="1060"/>
      <c r="AC8" s="1060"/>
      <c r="AD8" s="3"/>
      <c r="AE8" s="106"/>
      <c r="AF8" s="106"/>
      <c r="AG8" s="106"/>
      <c r="AH8" s="106"/>
      <c r="AI8" s="106"/>
      <c r="AJ8" s="106"/>
      <c r="AK8" s="106"/>
      <c r="AL8" s="106"/>
      <c r="AM8" s="3"/>
      <c r="AN8" s="664"/>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4"/>
      <c r="AO9" s="417" t="s">
        <v>48</v>
      </c>
      <c r="AP9" s="467"/>
    </row>
    <row r="10" spans="1:43" s="5" customFormat="1" ht="12.75" customHeight="1">
      <c r="A10" s="63"/>
      <c r="B10" s="20" t="s">
        <v>1779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4"/>
      <c r="AO10" s="358" t="s">
        <v>1780</v>
      </c>
      <c r="AP10" s="367">
        <v>5</v>
      </c>
    </row>
    <row r="11" spans="1:43" s="5" customFormat="1" ht="12.75" customHeight="1">
      <c r="A11" s="63"/>
      <c r="B11" s="1381" t="s">
        <v>1781</v>
      </c>
      <c r="C11" s="1060"/>
      <c r="D11" s="1060"/>
      <c r="E11" s="1060"/>
      <c r="F11" s="1060"/>
      <c r="G11" s="1060"/>
      <c r="H11" s="1060"/>
      <c r="I11" s="1060"/>
      <c r="J11" s="1060"/>
      <c r="K11" s="1060"/>
      <c r="L11" s="1060"/>
      <c r="M11" s="1060"/>
      <c r="N11" s="1060"/>
      <c r="O11" s="1060"/>
      <c r="P11" s="1060"/>
      <c r="Q11" s="1060"/>
      <c r="R11" s="1060"/>
      <c r="S11" s="1060"/>
      <c r="T11" s="1060"/>
      <c r="U11" s="1060"/>
      <c r="V11" s="1060"/>
      <c r="W11" s="1060"/>
      <c r="X11" s="1060"/>
      <c r="Y11" s="1060"/>
      <c r="Z11" s="1060"/>
      <c r="AA11" s="1060"/>
      <c r="AB11" s="1060"/>
      <c r="AC11" s="1060"/>
      <c r="AD11" s="1060"/>
      <c r="AE11" s="1060"/>
      <c r="AF11" s="1060"/>
      <c r="AG11" s="1060"/>
      <c r="AH11" s="1060"/>
      <c r="AI11" s="1060"/>
      <c r="AM11" s="3"/>
      <c r="AN11" s="664"/>
      <c r="AO11" s="358" t="s">
        <v>1781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4"/>
      <c r="AO12" s="358"/>
      <c r="AP12" s="367"/>
    </row>
    <row r="13" spans="1:43" s="5" customFormat="1" ht="12.75" customHeight="1">
      <c r="A13" s="63"/>
      <c r="B13" s="20" t="s">
        <v>1782</v>
      </c>
      <c r="AB13" s="1505" t="s">
        <v>155</v>
      </c>
      <c r="AC13" s="1060"/>
      <c r="AD13" s="18"/>
      <c r="AM13" s="3"/>
      <c r="AN13" s="664"/>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4"/>
      <c r="AO14" s="417" t="s">
        <v>1783</v>
      </c>
      <c r="AP14" s="367"/>
    </row>
    <row r="15" spans="1:43" s="5" customFormat="1" ht="12.75" customHeight="1">
      <c r="A15" s="63"/>
      <c r="B15" s="61" t="s">
        <v>1784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4"/>
      <c r="AO15" s="358" t="s">
        <v>1785</v>
      </c>
      <c r="AP15" s="367">
        <v>5</v>
      </c>
    </row>
    <row r="16" spans="1:43" s="5" customFormat="1" ht="12.75" customHeight="1">
      <c r="A16" s="63"/>
      <c r="B16" s="1381" t="s">
        <v>1783</v>
      </c>
      <c r="C16" s="1060"/>
      <c r="D16" s="1060"/>
      <c r="E16" s="1060"/>
      <c r="F16" s="1060"/>
      <c r="G16" s="1060"/>
      <c r="H16" s="1060"/>
      <c r="I16" s="1060"/>
      <c r="J16" s="1060"/>
      <c r="K16" s="1060"/>
      <c r="L16" s="1060"/>
      <c r="M16" s="1060"/>
      <c r="N16" s="1060"/>
      <c r="O16" s="1060"/>
      <c r="P16" s="1060"/>
      <c r="Q16" s="1060"/>
      <c r="R16" s="1060"/>
      <c r="S16" s="1060"/>
      <c r="T16" s="1060"/>
      <c r="U16" s="1060"/>
      <c r="V16" s="1060"/>
      <c r="W16" s="1060"/>
      <c r="X16" s="1060"/>
      <c r="Y16" s="1060"/>
      <c r="Z16" s="1060"/>
      <c r="AA16" s="1060"/>
      <c r="AB16" s="1060"/>
      <c r="AC16" s="1060"/>
      <c r="AD16" s="1060"/>
      <c r="AE16" s="1060"/>
      <c r="AF16" s="1060"/>
      <c r="AG16" s="1060"/>
      <c r="AH16" s="1060"/>
      <c r="AI16" s="1060"/>
      <c r="AJ16" s="1060"/>
      <c r="AK16" s="488"/>
      <c r="AL16" s="488"/>
      <c r="AM16" s="488"/>
      <c r="AN16" s="664"/>
      <c r="AO16" s="358" t="s">
        <v>1786</v>
      </c>
      <c r="AP16" s="367">
        <v>7</v>
      </c>
    </row>
    <row r="17" spans="1:42" s="5" customFormat="1" ht="12.75" customHeight="1">
      <c r="B17" s="61" t="s">
        <v>1787</v>
      </c>
      <c r="C17" s="29"/>
      <c r="D17" s="29"/>
      <c r="E17" s="29"/>
      <c r="F17" s="29"/>
      <c r="G17" s="29"/>
      <c r="H17" s="29"/>
      <c r="I17" s="29"/>
      <c r="J17" s="29"/>
      <c r="K17" s="29"/>
      <c r="L17" s="29"/>
      <c r="M17" s="29"/>
      <c r="N17" s="29"/>
      <c r="O17" s="29"/>
      <c r="P17" s="29"/>
      <c r="Q17" s="29"/>
      <c r="R17" s="29"/>
      <c r="S17" s="29"/>
      <c r="T17" s="29"/>
      <c r="U17" s="29"/>
      <c r="AM17" s="3"/>
      <c r="AN17" s="664"/>
      <c r="AO17" s="358"/>
      <c r="AP17" s="367"/>
    </row>
    <row r="18" spans="1:42" s="5" customFormat="1" ht="12.75" customHeight="1">
      <c r="B18" s="20" t="s">
        <v>1788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4"/>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4"/>
    </row>
    <row r="20" spans="1:42" s="5" customFormat="1" ht="12.75" customHeight="1">
      <c r="B20" s="1397" t="s">
        <v>1789</v>
      </c>
      <c r="C20" s="98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c r="AL20" s="101"/>
      <c r="AM20" s="27"/>
      <c r="AN20" s="664"/>
    </row>
    <row r="21" spans="1:42" s="5" customFormat="1" ht="12.75" customHeight="1">
      <c r="A21" s="27"/>
      <c r="B21" s="983"/>
      <c r="C21" s="98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c r="AL21" s="101"/>
      <c r="AM21" s="27"/>
      <c r="AN21" s="664"/>
      <c r="AP21" s="338"/>
    </row>
    <row r="22" spans="1:42" s="5" customFormat="1" ht="12.75" customHeight="1">
      <c r="A22" s="27"/>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101"/>
      <c r="AM22" s="27"/>
      <c r="AN22" s="664"/>
    </row>
    <row r="23" spans="1:42" s="4" customFormat="1" ht="12.75" customHeight="1">
      <c r="A23" s="27"/>
      <c r="B23" s="1376"/>
      <c r="C23" s="1376"/>
      <c r="D23" s="1376"/>
      <c r="E23" s="1376"/>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c r="AD23" s="1376"/>
      <c r="AE23" s="1376"/>
      <c r="AF23" s="1376"/>
      <c r="AG23" s="1376"/>
      <c r="AH23" s="1376"/>
      <c r="AI23" s="1376"/>
      <c r="AJ23" s="1376"/>
      <c r="AK23" s="1376"/>
      <c r="AL23" s="101"/>
      <c r="AM23" s="27"/>
      <c r="AN23" s="279"/>
    </row>
    <row r="24" spans="1:42" s="4" customFormat="1" ht="12.75" customHeight="1">
      <c r="A24" s="27"/>
      <c r="B24" s="1376"/>
      <c r="C24" s="1376"/>
      <c r="D24" s="1376"/>
      <c r="E24" s="1376"/>
      <c r="F24" s="1376"/>
      <c r="G24" s="1376"/>
      <c r="H24" s="1376"/>
      <c r="I24" s="1376"/>
      <c r="J24" s="1376"/>
      <c r="K24" s="1376"/>
      <c r="L24" s="1376"/>
      <c r="M24" s="1376"/>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76"/>
      <c r="AJ24" s="1376"/>
      <c r="AK24" s="1376"/>
      <c r="AL24" s="101"/>
      <c r="AM24" s="27"/>
      <c r="AN24" s="666"/>
      <c r="AO24" s="91"/>
    </row>
    <row r="25" spans="1:42" s="4" customFormat="1" ht="12.75" customHeight="1">
      <c r="A25" s="27"/>
      <c r="B25" s="1376"/>
      <c r="C25" s="1376"/>
      <c r="D25" s="1376"/>
      <c r="E25" s="1376"/>
      <c r="F25" s="1376"/>
      <c r="G25" s="1376"/>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1376"/>
      <c r="AE25" s="1376"/>
      <c r="AF25" s="1376"/>
      <c r="AG25" s="1376"/>
      <c r="AH25" s="1376"/>
      <c r="AI25" s="1376"/>
      <c r="AJ25" s="1376"/>
      <c r="AK25" s="1376"/>
      <c r="AL25" s="101"/>
      <c r="AM25" s="27"/>
      <c r="AN25" s="666"/>
    </row>
    <row r="26" spans="1:42" s="4" customFormat="1" ht="12.75" customHeight="1">
      <c r="A26" s="27"/>
      <c r="B26" s="1376"/>
      <c r="C26" s="1376"/>
      <c r="D26" s="1376"/>
      <c r="E26" s="1376"/>
      <c r="F26" s="1376"/>
      <c r="G26" s="1376"/>
      <c r="H26" s="1376"/>
      <c r="I26" s="1376"/>
      <c r="J26" s="1376"/>
      <c r="K26" s="1376"/>
      <c r="L26" s="1376"/>
      <c r="M26" s="1376"/>
      <c r="N26" s="1376"/>
      <c r="O26" s="1376"/>
      <c r="P26" s="1376"/>
      <c r="Q26" s="1376"/>
      <c r="R26" s="1376"/>
      <c r="S26" s="1376"/>
      <c r="T26" s="1376"/>
      <c r="U26" s="1376"/>
      <c r="V26" s="1376"/>
      <c r="W26" s="1376"/>
      <c r="X26" s="1376"/>
      <c r="Y26" s="1376"/>
      <c r="Z26" s="1376"/>
      <c r="AA26" s="1376"/>
      <c r="AB26" s="1376"/>
      <c r="AC26" s="1376"/>
      <c r="AD26" s="1376"/>
      <c r="AE26" s="1376"/>
      <c r="AF26" s="1376"/>
      <c r="AG26" s="1376"/>
      <c r="AH26" s="1376"/>
      <c r="AI26" s="1376"/>
      <c r="AJ26" s="1376"/>
      <c r="AK26" s="1376"/>
      <c r="AL26" s="101"/>
      <c r="AM26" s="27"/>
      <c r="AN26" s="279"/>
    </row>
    <row r="27" spans="1:42" s="4" customFormat="1" ht="12.75" customHeight="1">
      <c r="A27" s="27"/>
      <c r="B27" s="1376"/>
      <c r="C27" s="1376"/>
      <c r="D27" s="1376"/>
      <c r="E27" s="1376"/>
      <c r="F27" s="1376"/>
      <c r="G27" s="1376"/>
      <c r="H27" s="1376"/>
      <c r="I27" s="1376"/>
      <c r="J27" s="1376"/>
      <c r="K27" s="1376"/>
      <c r="L27" s="1376"/>
      <c r="M27" s="1376"/>
      <c r="N27" s="1376"/>
      <c r="O27" s="1376"/>
      <c r="P27" s="1376"/>
      <c r="Q27" s="1376"/>
      <c r="R27" s="1376"/>
      <c r="S27" s="1376"/>
      <c r="T27" s="1376"/>
      <c r="U27" s="1376"/>
      <c r="V27" s="1376"/>
      <c r="W27" s="1376"/>
      <c r="X27" s="1376"/>
      <c r="Y27" s="1376"/>
      <c r="Z27" s="1376"/>
      <c r="AA27" s="1376"/>
      <c r="AB27" s="1376"/>
      <c r="AC27" s="1376"/>
      <c r="AD27" s="1376"/>
      <c r="AE27" s="1376"/>
      <c r="AF27" s="1376"/>
      <c r="AG27" s="1376"/>
      <c r="AH27" s="1376"/>
      <c r="AI27" s="1376"/>
      <c r="AJ27" s="1376"/>
      <c r="AK27" s="1376"/>
      <c r="AL27" s="101"/>
      <c r="AM27" s="27"/>
      <c r="AN27" s="609"/>
    </row>
    <row r="28" spans="1:42" s="4" customFormat="1" ht="12.75" customHeight="1">
      <c r="A28" s="27"/>
      <c r="B28" s="1376"/>
      <c r="C28" s="1376"/>
      <c r="D28" s="1376"/>
      <c r="E28" s="1376"/>
      <c r="F28" s="1376"/>
      <c r="G28" s="1376"/>
      <c r="H28" s="1376"/>
      <c r="I28" s="1376"/>
      <c r="J28" s="1376"/>
      <c r="K28" s="1376"/>
      <c r="L28" s="1376"/>
      <c r="M28" s="1376"/>
      <c r="N28" s="1376"/>
      <c r="O28" s="1376"/>
      <c r="P28" s="1376"/>
      <c r="Q28" s="1376"/>
      <c r="R28" s="1376"/>
      <c r="S28" s="1376"/>
      <c r="T28" s="1376"/>
      <c r="U28" s="1376"/>
      <c r="V28" s="1376"/>
      <c r="W28" s="1376"/>
      <c r="X28" s="1376"/>
      <c r="Y28" s="1376"/>
      <c r="Z28" s="1376"/>
      <c r="AA28" s="1376"/>
      <c r="AB28" s="1376"/>
      <c r="AC28" s="1376"/>
      <c r="AD28" s="1376"/>
      <c r="AE28" s="1376"/>
      <c r="AF28" s="1376"/>
      <c r="AG28" s="1376"/>
      <c r="AH28" s="1376"/>
      <c r="AI28" s="1376"/>
      <c r="AJ28" s="1376"/>
      <c r="AK28" s="1376"/>
      <c r="AL28" s="101"/>
      <c r="AM28" s="27"/>
      <c r="AN28" s="609"/>
    </row>
    <row r="29" spans="1:42" s="4" customFormat="1" ht="31.7" customHeight="1">
      <c r="A29" s="27"/>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01"/>
      <c r="AM29" s="27"/>
      <c r="AN29" s="609"/>
    </row>
    <row r="30" spans="1:42" s="4" customFormat="1" ht="12.75" customHeight="1">
      <c r="A30" s="5"/>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1093"/>
      <c r="Y30" s="1093"/>
      <c r="Z30" s="1093"/>
      <c r="AA30" s="1093"/>
      <c r="AB30" s="1093"/>
      <c r="AC30" s="1093"/>
      <c r="AD30" s="1093"/>
      <c r="AE30" s="1093"/>
      <c r="AF30" s="1093"/>
      <c r="AG30" s="1093"/>
      <c r="AH30" s="1093"/>
      <c r="AI30" s="1093"/>
      <c r="AJ30" s="1093"/>
      <c r="AK30" s="1093"/>
      <c r="AL30" s="10"/>
      <c r="AM30" s="5"/>
      <c r="AN30" s="609"/>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1790</v>
      </c>
      <c r="AJ31" s="10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74"/>
      <c r="AL31" s="10"/>
      <c r="AM31" s="5"/>
      <c r="AN31" s="609"/>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09"/>
    </row>
    <row r="33" spans="1:42" s="4" customFormat="1" ht="12.75" customHeight="1">
      <c r="A33" s="5"/>
      <c r="B33" s="63" t="s">
        <v>1791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452" t="s">
        <v>1792</v>
      </c>
      <c r="AG33" s="1376"/>
      <c r="AH33" s="1376"/>
      <c r="AI33" s="1376"/>
      <c r="AJ33" s="1376"/>
      <c r="AK33" s="1376"/>
      <c r="AL33" s="1376"/>
      <c r="AM33" s="27"/>
      <c r="AN33" s="609"/>
      <c r="AO33" s="358" t="s">
        <v>48</v>
      </c>
      <c r="AP33" s="358"/>
    </row>
    <row r="34" spans="1:42" s="4" customFormat="1" ht="12.75" customHeight="1">
      <c r="A34" s="5"/>
      <c r="B34" s="63" t="s">
        <v>1793</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09"/>
      <c r="AO34" s="358" t="s">
        <v>1794</v>
      </c>
      <c r="AP34" s="468">
        <v>2</v>
      </c>
    </row>
    <row r="35" spans="1:42" s="4" customFormat="1" ht="12.75" customHeight="1">
      <c r="A35" s="5"/>
      <c r="B35" s="1459" t="str">
        <f>Application!AA329</f>
        <v>Danco Property Management</v>
      </c>
      <c r="C35" s="1093"/>
      <c r="D35" s="1093"/>
      <c r="E35" s="1093"/>
      <c r="F35" s="1093"/>
      <c r="G35" s="1093"/>
      <c r="H35" s="1093"/>
      <c r="I35" s="1093"/>
      <c r="J35" s="1093"/>
      <c r="K35" s="1093"/>
      <c r="L35" s="1093"/>
      <c r="M35" s="1093"/>
      <c r="N35" s="1093"/>
      <c r="O35" s="1093"/>
      <c r="P35" s="1093"/>
      <c r="Q35" s="1093"/>
      <c r="R35" s="1093"/>
      <c r="S35" s="1093"/>
      <c r="T35" s="1093"/>
      <c r="U35" s="1093"/>
      <c r="V35" s="1093"/>
      <c r="W35" s="1093"/>
      <c r="X35" s="1093"/>
      <c r="Y35" s="1093"/>
      <c r="Z35" s="1093"/>
      <c r="AA35" s="1093"/>
      <c r="AB35" s="1093"/>
      <c r="AC35" s="1093"/>
      <c r="AM35" s="27"/>
      <c r="AN35" s="279"/>
      <c r="AO35" s="358" t="s">
        <v>1795</v>
      </c>
      <c r="AP35" s="468">
        <v>3</v>
      </c>
    </row>
    <row r="36" spans="1:42" s="4" customFormat="1" ht="12.75" customHeight="1">
      <c r="A36" s="5"/>
      <c r="AM36" s="27"/>
      <c r="AN36" s="279"/>
    </row>
    <row r="37" spans="1:42" s="4" customFormat="1" ht="12.75" customHeight="1">
      <c r="A37" s="5"/>
      <c r="B37" s="20" t="s">
        <v>1779</v>
      </c>
      <c r="AA37" s="3"/>
      <c r="AB37" s="3"/>
      <c r="AC37" s="3"/>
      <c r="AD37" s="3"/>
      <c r="AM37" s="27"/>
      <c r="AN37" s="279"/>
    </row>
    <row r="38" spans="1:42" s="4" customFormat="1" ht="12.75" customHeight="1">
      <c r="A38" s="5"/>
      <c r="B38" s="1381" t="s">
        <v>1795</v>
      </c>
      <c r="C38" s="1060"/>
      <c r="D38" s="1060"/>
      <c r="E38" s="1060"/>
      <c r="F38" s="1060"/>
      <c r="G38" s="1060"/>
      <c r="H38" s="1060"/>
      <c r="I38" s="1060"/>
      <c r="J38" s="1060"/>
      <c r="K38" s="1060"/>
      <c r="L38" s="1060"/>
      <c r="M38" s="1060"/>
      <c r="N38" s="1060"/>
      <c r="O38" s="1060"/>
      <c r="P38" s="1060"/>
      <c r="Q38" s="1060"/>
      <c r="R38" s="1060"/>
      <c r="S38" s="1060"/>
      <c r="T38" s="1060"/>
      <c r="U38" s="1060"/>
      <c r="V38" s="1060"/>
      <c r="W38" s="1060"/>
      <c r="X38" s="1060"/>
      <c r="Y38" s="1060"/>
      <c r="Z38" s="1060"/>
      <c r="AA38" s="1060"/>
      <c r="AB38" s="1060"/>
      <c r="AC38" s="1060"/>
      <c r="AM38" s="27"/>
      <c r="AN38" s="279"/>
      <c r="AO38" s="358" t="s">
        <v>1783</v>
      </c>
      <c r="AP38" s="358"/>
    </row>
    <row r="39" spans="1:42" s="4" customFormat="1" ht="12.75" customHeight="1">
      <c r="A39" s="5"/>
      <c r="AM39" s="27"/>
      <c r="AN39" s="279"/>
      <c r="AO39" s="358" t="s">
        <v>1796</v>
      </c>
      <c r="AP39" s="468">
        <v>2</v>
      </c>
    </row>
    <row r="40" spans="1:42" s="4" customFormat="1" ht="12.75" customHeight="1">
      <c r="A40" s="5"/>
      <c r="B40" s="20" t="s">
        <v>1797</v>
      </c>
      <c r="D40" s="5"/>
      <c r="E40" s="5"/>
      <c r="F40" s="5"/>
      <c r="G40" s="5"/>
      <c r="H40" s="5"/>
      <c r="I40" s="5"/>
      <c r="J40" s="5"/>
      <c r="K40" s="5"/>
      <c r="L40" s="5"/>
      <c r="M40" s="5"/>
      <c r="N40" s="5"/>
      <c r="O40" s="5"/>
      <c r="P40" s="5"/>
      <c r="Q40" s="5"/>
      <c r="R40" s="5"/>
      <c r="S40" s="5"/>
      <c r="T40" s="5"/>
      <c r="U40" s="5"/>
      <c r="V40" s="5"/>
      <c r="W40" s="5"/>
      <c r="X40" s="5"/>
      <c r="Y40" s="5"/>
      <c r="Z40" s="1381" t="s">
        <v>155</v>
      </c>
      <c r="AA40" s="1060"/>
      <c r="AB40" s="5"/>
      <c r="AM40" s="27"/>
      <c r="AN40" s="279"/>
      <c r="AO40" s="358" t="s">
        <v>1798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1784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381" t="s">
        <v>1783</v>
      </c>
      <c r="C43" s="1060"/>
      <c r="D43" s="1060"/>
      <c r="E43" s="1060"/>
      <c r="F43" s="1060"/>
      <c r="G43" s="1060"/>
      <c r="H43" s="1060"/>
      <c r="I43" s="1060"/>
      <c r="J43" s="1060"/>
      <c r="K43" s="1060"/>
      <c r="L43" s="1060"/>
      <c r="M43" s="1060"/>
      <c r="N43" s="1060"/>
      <c r="O43" s="1060"/>
      <c r="P43" s="1060"/>
      <c r="Q43" s="1060"/>
      <c r="R43" s="1060"/>
      <c r="S43" s="1060"/>
      <c r="T43" s="1060"/>
      <c r="U43" s="1060"/>
      <c r="V43" s="1060"/>
      <c r="W43" s="1060"/>
      <c r="X43" s="1060"/>
      <c r="Y43" s="1060"/>
      <c r="Z43" s="1060"/>
      <c r="AA43" s="1060"/>
      <c r="AB43" s="1060"/>
      <c r="AC43" s="1060"/>
      <c r="AM43" s="27"/>
      <c r="AN43" s="279"/>
    </row>
    <row r="44" spans="1:42" s="4" customFormat="1" ht="12.75" customHeight="1">
      <c r="A44" s="5"/>
      <c r="B44" s="20" t="s">
        <v>1799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1800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1801</v>
      </c>
      <c r="AJ47" s="138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974"/>
      <c r="AL47" s="317"/>
      <c r="AM47" s="90"/>
      <c r="AN47" s="279"/>
    </row>
    <row r="48" spans="1:42" s="4" customFormat="1" ht="12.75" customHeight="1">
      <c r="A48" s="5"/>
      <c r="B48" s="42"/>
      <c r="R48" s="5"/>
      <c r="S48" s="42"/>
      <c r="AN48" s="279"/>
    </row>
    <row r="49" spans="1:46" s="4" customFormat="1" ht="12.75" customHeight="1">
      <c r="B49" s="1404" t="s">
        <v>1802</v>
      </c>
      <c r="C49" s="1376"/>
      <c r="D49" s="1376"/>
      <c r="E49" s="1376"/>
      <c r="F49" s="1376"/>
      <c r="G49" s="1376"/>
      <c r="H49" s="1376"/>
      <c r="I49" s="1376"/>
      <c r="J49" s="1376"/>
      <c r="K49" s="1376"/>
      <c r="L49" s="1376"/>
      <c r="M49" s="1376"/>
      <c r="N49" s="1376"/>
      <c r="O49" s="1376"/>
      <c r="P49" s="1376"/>
      <c r="Q49" s="1376"/>
      <c r="R49" s="1376"/>
      <c r="S49" s="1376"/>
      <c r="T49" s="1376"/>
      <c r="U49" s="1376"/>
      <c r="V49" s="1376"/>
      <c r="W49" s="1376"/>
      <c r="X49" s="1376"/>
      <c r="Y49" s="1376"/>
      <c r="Z49" s="1376"/>
      <c r="AA49" s="1376"/>
      <c r="AB49" s="1376"/>
      <c r="AC49" s="1376"/>
      <c r="AD49" s="1376"/>
      <c r="AE49" s="1376"/>
      <c r="AF49" s="1376"/>
      <c r="AG49" s="1376"/>
      <c r="AH49" s="1376"/>
      <c r="AI49" s="1376"/>
      <c r="AJ49" s="1376"/>
      <c r="AK49" s="1376"/>
      <c r="AL49" s="101"/>
      <c r="AM49" s="27"/>
      <c r="AN49" s="279"/>
    </row>
    <row r="50" spans="1:46" s="4" customFormat="1" ht="12.75" customHeight="1">
      <c r="A50" s="26"/>
      <c r="B50" s="1376"/>
      <c r="C50" s="1376"/>
      <c r="D50" s="1376"/>
      <c r="E50" s="1376"/>
      <c r="F50" s="1376"/>
      <c r="G50" s="1376"/>
      <c r="H50" s="1376"/>
      <c r="I50" s="1376"/>
      <c r="J50" s="1376"/>
      <c r="K50" s="1376"/>
      <c r="L50" s="1376"/>
      <c r="M50" s="1376"/>
      <c r="N50" s="1376"/>
      <c r="O50" s="1376"/>
      <c r="P50" s="1376"/>
      <c r="Q50" s="1376"/>
      <c r="R50" s="1376"/>
      <c r="S50" s="1376"/>
      <c r="T50" s="1376"/>
      <c r="U50" s="1376"/>
      <c r="V50" s="1376"/>
      <c r="W50" s="1376"/>
      <c r="X50" s="1376"/>
      <c r="Y50" s="1376"/>
      <c r="Z50" s="1376"/>
      <c r="AA50" s="1376"/>
      <c r="AB50" s="1376"/>
      <c r="AC50" s="1376"/>
      <c r="AD50" s="1376"/>
      <c r="AE50" s="1376"/>
      <c r="AF50" s="1376"/>
      <c r="AG50" s="1376"/>
      <c r="AH50" s="1376"/>
      <c r="AI50" s="1376"/>
      <c r="AJ50" s="1376"/>
      <c r="AK50" s="1376"/>
      <c r="AL50" s="101"/>
      <c r="AM50" s="27"/>
      <c r="AN50" s="279"/>
    </row>
    <row r="51" spans="1:46" s="4" customFormat="1" ht="12.75" customHeight="1">
      <c r="A51" s="26"/>
      <c r="B51" s="1376"/>
      <c r="C51" s="1376"/>
      <c r="D51" s="1376"/>
      <c r="E51" s="1376"/>
      <c r="F51" s="1376"/>
      <c r="G51" s="1376"/>
      <c r="H51" s="1376"/>
      <c r="I51" s="1376"/>
      <c r="J51" s="1376"/>
      <c r="K51" s="1376"/>
      <c r="L51" s="1376"/>
      <c r="M51" s="1376"/>
      <c r="N51" s="1376"/>
      <c r="O51" s="1376"/>
      <c r="P51" s="1376"/>
      <c r="Q51" s="1376"/>
      <c r="R51" s="1376"/>
      <c r="S51" s="1376"/>
      <c r="T51" s="1376"/>
      <c r="U51" s="1376"/>
      <c r="V51" s="1376"/>
      <c r="W51" s="1376"/>
      <c r="X51" s="1376"/>
      <c r="Y51" s="1376"/>
      <c r="Z51" s="1376"/>
      <c r="AA51" s="1376"/>
      <c r="AB51" s="1376"/>
      <c r="AC51" s="1376"/>
      <c r="AD51" s="1376"/>
      <c r="AE51" s="1376"/>
      <c r="AF51" s="1376"/>
      <c r="AG51" s="1376"/>
      <c r="AH51" s="1376"/>
      <c r="AI51" s="1376"/>
      <c r="AJ51" s="1376"/>
      <c r="AK51" s="1376"/>
      <c r="AL51" s="101"/>
      <c r="AM51" s="27"/>
      <c r="AN51" s="279"/>
    </row>
    <row r="52" spans="1:46" s="4" customFormat="1" ht="12.75" customHeight="1">
      <c r="A52" s="26"/>
      <c r="B52" s="1376"/>
      <c r="C52" s="1376"/>
      <c r="D52" s="1376"/>
      <c r="E52" s="1376"/>
      <c r="F52" s="1376"/>
      <c r="G52" s="1376"/>
      <c r="H52" s="1376"/>
      <c r="I52" s="1376"/>
      <c r="J52" s="1376"/>
      <c r="K52" s="1376"/>
      <c r="L52" s="1376"/>
      <c r="M52" s="1376"/>
      <c r="N52" s="1376"/>
      <c r="O52" s="1376"/>
      <c r="P52" s="1376"/>
      <c r="Q52" s="1376"/>
      <c r="R52" s="1376"/>
      <c r="S52" s="1376"/>
      <c r="T52" s="1376"/>
      <c r="U52" s="1376"/>
      <c r="V52" s="1376"/>
      <c r="W52" s="1376"/>
      <c r="X52" s="1376"/>
      <c r="Y52" s="1376"/>
      <c r="Z52" s="1376"/>
      <c r="AA52" s="1376"/>
      <c r="AB52" s="1376"/>
      <c r="AC52" s="1376"/>
      <c r="AD52" s="1376"/>
      <c r="AE52" s="1376"/>
      <c r="AF52" s="1376"/>
      <c r="AG52" s="1376"/>
      <c r="AH52" s="1376"/>
      <c r="AI52" s="1376"/>
      <c r="AJ52" s="1376"/>
      <c r="AK52" s="1376"/>
      <c r="AL52" s="101"/>
      <c r="AM52" s="27"/>
      <c r="AN52" s="279"/>
    </row>
    <row r="53" spans="1:46" s="4" customFormat="1" ht="12.75" customHeight="1">
      <c r="A53" s="26"/>
      <c r="B53" s="1376"/>
      <c r="C53" s="1376"/>
      <c r="D53" s="1376"/>
      <c r="E53" s="1376"/>
      <c r="F53" s="1376"/>
      <c r="G53" s="1376"/>
      <c r="H53" s="1376"/>
      <c r="I53" s="1376"/>
      <c r="J53" s="1376"/>
      <c r="K53" s="1376"/>
      <c r="L53" s="1376"/>
      <c r="M53" s="1376"/>
      <c r="N53" s="1376"/>
      <c r="O53" s="1376"/>
      <c r="P53" s="1376"/>
      <c r="Q53" s="1376"/>
      <c r="R53" s="1376"/>
      <c r="S53" s="1376"/>
      <c r="T53" s="1376"/>
      <c r="U53" s="1376"/>
      <c r="V53" s="1376"/>
      <c r="W53" s="1376"/>
      <c r="X53" s="1376"/>
      <c r="Y53" s="1376"/>
      <c r="Z53" s="1376"/>
      <c r="AA53" s="1376"/>
      <c r="AB53" s="1376"/>
      <c r="AC53" s="1376"/>
      <c r="AD53" s="1376"/>
      <c r="AE53" s="1376"/>
      <c r="AF53" s="1376"/>
      <c r="AG53" s="1376"/>
      <c r="AH53" s="1376"/>
      <c r="AI53" s="1376"/>
      <c r="AJ53" s="1376"/>
      <c r="AK53" s="1376"/>
      <c r="AL53" s="101"/>
      <c r="AM53" s="27"/>
      <c r="AN53" s="279"/>
    </row>
    <row r="54" spans="1:46" s="4" customFormat="1" ht="12.75" customHeight="1">
      <c r="A54" s="26"/>
      <c r="B54" s="1376"/>
      <c r="C54" s="1376"/>
      <c r="D54" s="1376"/>
      <c r="E54" s="1376"/>
      <c r="F54" s="1376"/>
      <c r="G54" s="1376"/>
      <c r="H54" s="1376"/>
      <c r="I54" s="1376"/>
      <c r="J54" s="1376"/>
      <c r="K54" s="1376"/>
      <c r="L54" s="1376"/>
      <c r="M54" s="1376"/>
      <c r="N54" s="1376"/>
      <c r="O54" s="1376"/>
      <c r="P54" s="1376"/>
      <c r="Q54" s="1376"/>
      <c r="R54" s="1376"/>
      <c r="S54" s="1376"/>
      <c r="T54" s="1376"/>
      <c r="U54" s="1376"/>
      <c r="V54" s="1376"/>
      <c r="W54" s="1376"/>
      <c r="X54" s="1376"/>
      <c r="Y54" s="1376"/>
      <c r="Z54" s="1376"/>
      <c r="AA54" s="1376"/>
      <c r="AB54" s="1376"/>
      <c r="AC54" s="1376"/>
      <c r="AD54" s="1376"/>
      <c r="AE54" s="1376"/>
      <c r="AF54" s="1376"/>
      <c r="AG54" s="1376"/>
      <c r="AH54" s="1376"/>
      <c r="AI54" s="1376"/>
      <c r="AJ54" s="1376"/>
      <c r="AK54" s="1376"/>
      <c r="AL54" s="101"/>
      <c r="AM54" s="27"/>
      <c r="AN54" s="279"/>
    </row>
    <row r="55" spans="1:46" s="4" customFormat="1" ht="33.4" customHeight="1">
      <c r="A55" s="26"/>
      <c r="B55" s="1376"/>
      <c r="C55" s="1376"/>
      <c r="D55" s="1376"/>
      <c r="E55" s="1376"/>
      <c r="F55" s="1376"/>
      <c r="G55" s="1376"/>
      <c r="H55" s="1376"/>
      <c r="I55" s="1376"/>
      <c r="J55" s="1376"/>
      <c r="K55" s="1376"/>
      <c r="L55" s="1376"/>
      <c r="M55" s="1376"/>
      <c r="N55" s="1376"/>
      <c r="O55" s="1376"/>
      <c r="P55" s="1376"/>
      <c r="Q55" s="1376"/>
      <c r="R55" s="1376"/>
      <c r="S55" s="1376"/>
      <c r="T55" s="1376"/>
      <c r="U55" s="1376"/>
      <c r="V55" s="1376"/>
      <c r="W55" s="1376"/>
      <c r="X55" s="1376"/>
      <c r="Y55" s="1376"/>
      <c r="Z55" s="1376"/>
      <c r="AA55" s="1376"/>
      <c r="AB55" s="1376"/>
      <c r="AC55" s="1376"/>
      <c r="AD55" s="1376"/>
      <c r="AE55" s="1376"/>
      <c r="AF55" s="1376"/>
      <c r="AG55" s="1376"/>
      <c r="AH55" s="1376"/>
      <c r="AI55" s="1376"/>
      <c r="AJ55" s="1376"/>
      <c r="AK55" s="137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404" t="s">
        <v>1803</v>
      </c>
      <c r="C57" s="1376"/>
      <c r="D57" s="1376"/>
      <c r="E57" s="1376"/>
      <c r="F57" s="1376"/>
      <c r="G57" s="1376"/>
      <c r="H57" s="1376"/>
      <c r="I57" s="1376"/>
      <c r="J57" s="1376"/>
      <c r="K57" s="1376"/>
      <c r="L57" s="1376"/>
      <c r="M57" s="1376"/>
      <c r="N57" s="1376"/>
      <c r="O57" s="1376"/>
      <c r="P57" s="1376"/>
      <c r="Q57" s="1376"/>
      <c r="R57" s="1376"/>
      <c r="S57" s="1376"/>
      <c r="T57" s="1376"/>
      <c r="U57" s="1376"/>
      <c r="V57" s="1376"/>
      <c r="W57" s="1376"/>
      <c r="X57" s="1376"/>
      <c r="Y57" s="1376"/>
      <c r="Z57" s="1376"/>
      <c r="AA57" s="1376"/>
      <c r="AB57" s="1376"/>
      <c r="AC57" s="1376"/>
      <c r="AD57" s="1376"/>
      <c r="AE57" s="1376"/>
      <c r="AF57" s="1376"/>
      <c r="AG57" s="1376"/>
      <c r="AH57" s="1376"/>
      <c r="AI57" s="1376"/>
      <c r="AJ57" s="1376"/>
      <c r="AK57" s="1376"/>
      <c r="AL57" s="101"/>
      <c r="AM57" s="27"/>
      <c r="AN57" s="279"/>
    </row>
    <row r="58" spans="1:46" s="4" customFormat="1" ht="12.75" customHeight="1">
      <c r="B58" s="1376"/>
      <c r="C58" s="1376"/>
      <c r="D58" s="1376"/>
      <c r="E58" s="1376"/>
      <c r="F58" s="1376"/>
      <c r="G58" s="1376"/>
      <c r="H58" s="1376"/>
      <c r="I58" s="1376"/>
      <c r="J58" s="1376"/>
      <c r="K58" s="1376"/>
      <c r="L58" s="1376"/>
      <c r="M58" s="1376"/>
      <c r="N58" s="1376"/>
      <c r="O58" s="1376"/>
      <c r="P58" s="1376"/>
      <c r="Q58" s="1376"/>
      <c r="R58" s="1376"/>
      <c r="S58" s="1376"/>
      <c r="T58" s="1376"/>
      <c r="U58" s="1376"/>
      <c r="V58" s="1376"/>
      <c r="W58" s="1376"/>
      <c r="X58" s="1376"/>
      <c r="Y58" s="1376"/>
      <c r="Z58" s="1376"/>
      <c r="AA58" s="1376"/>
      <c r="AB58" s="1376"/>
      <c r="AC58" s="1376"/>
      <c r="AD58" s="1376"/>
      <c r="AE58" s="1376"/>
      <c r="AF58" s="1376"/>
      <c r="AG58" s="1376"/>
      <c r="AH58" s="1376"/>
      <c r="AI58" s="1376"/>
      <c r="AJ58" s="1376"/>
      <c r="AK58" s="1376"/>
      <c r="AL58" s="101"/>
      <c r="AM58" s="27"/>
      <c r="AN58" s="279"/>
    </row>
    <row r="59" spans="1:46" s="4" customFormat="1" ht="22.9" customHeight="1">
      <c r="A59" s="423"/>
      <c r="B59" s="1376"/>
      <c r="C59" s="1376"/>
      <c r="D59" s="1376"/>
      <c r="E59" s="1376"/>
      <c r="F59" s="1376"/>
      <c r="G59" s="1376"/>
      <c r="H59" s="1376"/>
      <c r="I59" s="1376"/>
      <c r="J59" s="1376"/>
      <c r="K59" s="1376"/>
      <c r="L59" s="1376"/>
      <c r="M59" s="1376"/>
      <c r="N59" s="1376"/>
      <c r="O59" s="1376"/>
      <c r="P59" s="1376"/>
      <c r="Q59" s="1376"/>
      <c r="R59" s="1376"/>
      <c r="S59" s="1376"/>
      <c r="T59" s="1376"/>
      <c r="U59" s="1376"/>
      <c r="V59" s="1376"/>
      <c r="W59" s="1376"/>
      <c r="X59" s="1376"/>
      <c r="Y59" s="1376"/>
      <c r="Z59" s="1376"/>
      <c r="AA59" s="1376"/>
      <c r="AB59" s="1376"/>
      <c r="AC59" s="1376"/>
      <c r="AD59" s="1376"/>
      <c r="AE59" s="1376"/>
      <c r="AF59" s="1376"/>
      <c r="AG59" s="1376"/>
      <c r="AH59" s="1376"/>
      <c r="AI59" s="1376"/>
      <c r="AJ59" s="1376"/>
      <c r="AK59" s="137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4"/>
      <c r="B61" s="965"/>
      <c r="C61" s="965"/>
      <c r="D61" s="965"/>
      <c r="E61" s="965"/>
      <c r="F61" s="965"/>
      <c r="G61" s="966"/>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2"/>
      <c r="AJ61" s="962" t="s">
        <v>1804</v>
      </c>
      <c r="AK61" s="1405">
        <f>$AJ$31+$AJ$47</f>
        <v>10</v>
      </c>
      <c r="AL61" s="1230"/>
      <c r="AM61" s="1231"/>
      <c r="AN61" s="279"/>
    </row>
    <row r="62" spans="1:46" s="101" customFormat="1" ht="12.75" customHeight="1" thickTop="1">
      <c r="A62" s="5"/>
      <c r="B62" s="100"/>
      <c r="AM62" s="968"/>
    </row>
    <row r="63" spans="1:46" s="4" customFormat="1" ht="12.75" customHeight="1">
      <c r="B63" s="184"/>
      <c r="C63" s="185"/>
      <c r="D63" s="185"/>
      <c r="E63" s="185"/>
      <c r="F63" s="185"/>
      <c r="G63" s="185"/>
      <c r="H63" s="185"/>
      <c r="I63" s="101"/>
      <c r="J63" s="101"/>
      <c r="K63" s="101"/>
      <c r="L63" s="101"/>
      <c r="M63" s="101"/>
      <c r="N63" s="101"/>
      <c r="O63" s="101"/>
      <c r="P63" s="101"/>
      <c r="Q63" s="101"/>
      <c r="S63" s="3"/>
      <c r="T63" s="3"/>
      <c r="U63" s="3"/>
      <c r="V63" s="3"/>
      <c r="W63" s="3"/>
      <c r="X63" s="3"/>
      <c r="Y63" s="3"/>
      <c r="Z63" s="3"/>
      <c r="AA63" s="3"/>
      <c r="AB63" s="3"/>
      <c r="AC63" s="3"/>
      <c r="AD63" s="3"/>
      <c r="AE63" s="3"/>
      <c r="AG63" s="3"/>
      <c r="AH63" s="3"/>
      <c r="AI63" s="3"/>
      <c r="AJ63" s="3"/>
      <c r="AN63" s="279"/>
    </row>
    <row r="64" spans="1:46" s="4" customFormat="1" ht="12.75" customHeight="1">
      <c r="A64" s="63" t="s">
        <v>1805</v>
      </c>
      <c r="B64" s="100"/>
      <c r="C64" s="102"/>
      <c r="D64" s="103"/>
      <c r="E64" s="103"/>
      <c r="F64" s="103"/>
      <c r="G64" s="103"/>
      <c r="H64" s="103"/>
      <c r="I64" s="103"/>
      <c r="J64" s="103"/>
      <c r="Y64" s="104"/>
      <c r="Z64" s="104"/>
      <c r="AA64" s="104"/>
      <c r="AB64" s="104"/>
      <c r="AE64" s="1435" t="s">
        <v>1776</v>
      </c>
      <c r="AF64" s="1376"/>
      <c r="AG64" s="1376"/>
      <c r="AH64" s="1376"/>
      <c r="AI64" s="1376"/>
      <c r="AJ64" s="1376"/>
      <c r="AK64" s="1376"/>
      <c r="AL64" s="18"/>
      <c r="AN64" s="279"/>
      <c r="AS64" s="4" t="s">
        <v>1806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160</v>
      </c>
      <c r="AT65" s="4">
        <v>10</v>
      </c>
    </row>
    <row r="66" spans="1:46" s="4" customFormat="1" ht="12.75" customHeight="1">
      <c r="B66" s="1381" t="s">
        <v>262</v>
      </c>
      <c r="C66" s="1060"/>
      <c r="D66" s="1060"/>
      <c r="E66" s="1060"/>
      <c r="F66" s="1060"/>
      <c r="G66" s="1060"/>
      <c r="H66" s="1060"/>
      <c r="I66" s="1060"/>
      <c r="J66" s="1060"/>
      <c r="K66" s="1060"/>
      <c r="AF66" s="1452" t="s">
        <v>1807</v>
      </c>
      <c r="AG66" s="1376"/>
      <c r="AH66" s="1376"/>
      <c r="AI66" s="1376"/>
      <c r="AJ66" s="1376"/>
      <c r="AK66" s="1376"/>
      <c r="AL66" s="1376"/>
      <c r="AN66" s="279"/>
      <c r="AP66" s="4" t="s">
        <v>155</v>
      </c>
      <c r="AS66" s="4" t="s">
        <v>262</v>
      </c>
      <c r="AT66" s="4">
        <v>10</v>
      </c>
    </row>
    <row r="67" spans="1:46" s="4" customFormat="1" ht="12.75" customHeight="1">
      <c r="B67" s="1481" t="s">
        <v>1808</v>
      </c>
      <c r="C67" s="1093"/>
      <c r="D67" s="1093"/>
      <c r="E67" s="1093"/>
      <c r="F67" s="1093"/>
      <c r="G67" s="1093"/>
      <c r="H67" s="1093"/>
      <c r="I67" s="1093"/>
      <c r="J67" s="1093"/>
      <c r="K67" s="1093"/>
      <c r="L67" s="1093"/>
      <c r="M67" s="1093"/>
      <c r="N67" s="1093"/>
      <c r="O67" s="1093"/>
      <c r="P67" s="1093"/>
      <c r="Q67" s="1093"/>
      <c r="R67" s="1093"/>
      <c r="S67" s="1093"/>
      <c r="T67" s="1381" t="s">
        <v>155</v>
      </c>
      <c r="U67" s="1060"/>
      <c r="V67" s="1060"/>
      <c r="W67" s="1060"/>
      <c r="X67" s="1060"/>
      <c r="Y67" s="1060"/>
      <c r="Z67" s="1060"/>
      <c r="AA67" s="1060"/>
      <c r="AB67" s="1060"/>
      <c r="AC67" s="1060"/>
      <c r="AJ67" s="62"/>
      <c r="AK67" s="10"/>
      <c r="AL67" s="10"/>
      <c r="AM67" s="10"/>
      <c r="AN67" s="279"/>
      <c r="AP67" s="4" t="s">
        <v>1809</v>
      </c>
      <c r="AS67" s="4" t="s">
        <v>167</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1810</v>
      </c>
      <c r="AK68" s="1411">
        <f>VLOOKUP($B$66,$AS$64:$AU$69,2,FALSE)</f>
        <v>10</v>
      </c>
      <c r="AL68" s="973"/>
      <c r="AM68" s="973"/>
      <c r="AN68" s="664"/>
      <c r="AP68" s="4" t="s">
        <v>1811</v>
      </c>
      <c r="AS68" s="4" t="s">
        <v>173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168</v>
      </c>
      <c r="AT69" s="4">
        <v>10</v>
      </c>
    </row>
    <row r="70" spans="1:46" s="4" customFormat="1" ht="12.75" customHeight="1" thickTop="1">
      <c r="B70" s="184"/>
      <c r="C70" s="185"/>
      <c r="D70" s="185"/>
      <c r="E70" s="185"/>
      <c r="F70" s="185"/>
      <c r="G70" s="185"/>
      <c r="H70" s="185"/>
      <c r="I70" s="101"/>
      <c r="J70" s="101"/>
      <c r="K70" s="101"/>
      <c r="L70" s="101"/>
      <c r="M70" s="101"/>
      <c r="N70" s="101"/>
      <c r="O70" s="101"/>
      <c r="P70" s="101"/>
      <c r="Q70" s="101"/>
      <c r="S70" s="3"/>
      <c r="T70" s="3"/>
      <c r="U70" s="3"/>
      <c r="V70" s="3"/>
      <c r="W70" s="3"/>
      <c r="X70" s="3"/>
      <c r="Y70" s="3"/>
      <c r="Z70" s="3"/>
      <c r="AA70" s="3"/>
      <c r="AB70" s="3"/>
      <c r="AC70" s="3"/>
      <c r="AD70" s="3"/>
      <c r="AE70" s="3"/>
      <c r="AG70" s="3"/>
      <c r="AH70" s="3"/>
      <c r="AI70" s="3"/>
      <c r="AJ70" s="3"/>
      <c r="AN70" s="279"/>
    </row>
    <row r="71" spans="1:46" s="4" customFormat="1" ht="12.75" customHeight="1">
      <c r="A71" s="3" t="s">
        <v>1812</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1813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435" t="s">
        <v>1814</v>
      </c>
      <c r="AF73" s="1376"/>
      <c r="AG73" s="1376"/>
      <c r="AH73" s="1376"/>
      <c r="AI73" s="1376"/>
      <c r="AJ73" s="1376"/>
      <c r="AK73" s="137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404" t="s">
        <v>1815</v>
      </c>
      <c r="C75" s="1376"/>
      <c r="D75" s="1376"/>
      <c r="E75" s="1376"/>
      <c r="F75" s="1376"/>
      <c r="G75" s="1376"/>
      <c r="H75" s="1376"/>
      <c r="I75" s="1376"/>
      <c r="J75" s="1376"/>
      <c r="K75" s="1376"/>
      <c r="L75" s="1376"/>
      <c r="M75" s="1376"/>
      <c r="N75" s="1376"/>
      <c r="O75" s="1376"/>
      <c r="P75" s="1376"/>
      <c r="Q75" s="1376"/>
      <c r="R75" s="1376"/>
      <c r="S75" s="1376"/>
      <c r="T75" s="1376"/>
      <c r="U75" s="1376"/>
      <c r="V75" s="1376"/>
      <c r="W75" s="1376"/>
      <c r="X75" s="1376"/>
      <c r="Y75" s="1376"/>
      <c r="Z75" s="1376"/>
      <c r="AA75" s="1376"/>
      <c r="AB75" s="1376"/>
      <c r="AC75" s="1376"/>
      <c r="AD75" s="1376"/>
      <c r="AE75" s="1376"/>
      <c r="AF75" s="1376"/>
      <c r="AG75" s="1376"/>
      <c r="AH75" s="1376"/>
      <c r="AI75" s="1376"/>
      <c r="AJ75" s="1376"/>
      <c r="AK75" s="1376"/>
      <c r="AL75" s="101"/>
      <c r="AM75" s="27"/>
      <c r="AN75" s="279"/>
    </row>
    <row r="76" spans="1:46" s="4" customFormat="1" ht="12.75" customHeight="1">
      <c r="A76" s="27"/>
      <c r="B76" s="1376"/>
      <c r="C76" s="1376"/>
      <c r="D76" s="1376"/>
      <c r="E76" s="1376"/>
      <c r="F76" s="1376"/>
      <c r="G76" s="1376"/>
      <c r="H76" s="1376"/>
      <c r="I76" s="1376"/>
      <c r="J76" s="1376"/>
      <c r="K76" s="1376"/>
      <c r="L76" s="1376"/>
      <c r="M76" s="1376"/>
      <c r="N76" s="1376"/>
      <c r="O76" s="1376"/>
      <c r="P76" s="1376"/>
      <c r="Q76" s="1376"/>
      <c r="R76" s="1376"/>
      <c r="S76" s="1376"/>
      <c r="T76" s="1376"/>
      <c r="U76" s="1376"/>
      <c r="V76" s="1376"/>
      <c r="W76" s="1376"/>
      <c r="X76" s="1376"/>
      <c r="Y76" s="1376"/>
      <c r="Z76" s="1376"/>
      <c r="AA76" s="1376"/>
      <c r="AB76" s="1376"/>
      <c r="AC76" s="1376"/>
      <c r="AD76" s="1376"/>
      <c r="AE76" s="1376"/>
      <c r="AF76" s="1376"/>
      <c r="AG76" s="1376"/>
      <c r="AH76" s="1376"/>
      <c r="AI76" s="1376"/>
      <c r="AJ76" s="1376"/>
      <c r="AK76" s="1376"/>
      <c r="AL76" s="101"/>
      <c r="AM76" s="27"/>
      <c r="AN76" s="279"/>
    </row>
    <row r="77" spans="1:46" s="4" customFormat="1" ht="12.75" customHeight="1">
      <c r="A77" s="27"/>
      <c r="B77" s="1376"/>
      <c r="C77" s="1376"/>
      <c r="D77" s="1376"/>
      <c r="E77" s="1376"/>
      <c r="F77" s="1376"/>
      <c r="G77" s="1376"/>
      <c r="H77" s="1376"/>
      <c r="I77" s="1376"/>
      <c r="J77" s="1376"/>
      <c r="K77" s="1376"/>
      <c r="L77" s="1376"/>
      <c r="M77" s="1376"/>
      <c r="N77" s="1376"/>
      <c r="O77" s="1376"/>
      <c r="P77" s="1376"/>
      <c r="Q77" s="1376"/>
      <c r="R77" s="1376"/>
      <c r="S77" s="1376"/>
      <c r="T77" s="1376"/>
      <c r="U77" s="1376"/>
      <c r="V77" s="1376"/>
      <c r="W77" s="1376"/>
      <c r="X77" s="1376"/>
      <c r="Y77" s="1376"/>
      <c r="Z77" s="1376"/>
      <c r="AA77" s="1376"/>
      <c r="AB77" s="1376"/>
      <c r="AC77" s="1376"/>
      <c r="AD77" s="1376"/>
      <c r="AE77" s="1376"/>
      <c r="AF77" s="1376"/>
      <c r="AG77" s="1376"/>
      <c r="AH77" s="1376"/>
      <c r="AI77" s="1376"/>
      <c r="AJ77" s="1376"/>
      <c r="AK77" s="1376"/>
      <c r="AL77" s="101"/>
      <c r="AM77" s="27"/>
      <c r="AN77" s="279"/>
    </row>
    <row r="78" spans="1:46" s="4" customFormat="1" ht="12.75" customHeight="1">
      <c r="A78" s="27"/>
      <c r="B78" s="1376"/>
      <c r="C78" s="1376"/>
      <c r="D78" s="1376"/>
      <c r="E78" s="1376"/>
      <c r="F78" s="1376"/>
      <c r="G78" s="1376"/>
      <c r="H78" s="1376"/>
      <c r="I78" s="1376"/>
      <c r="J78" s="1376"/>
      <c r="K78" s="1376"/>
      <c r="L78" s="1376"/>
      <c r="M78" s="1376"/>
      <c r="N78" s="1376"/>
      <c r="O78" s="1376"/>
      <c r="P78" s="1376"/>
      <c r="Q78" s="1376"/>
      <c r="R78" s="1376"/>
      <c r="S78" s="1376"/>
      <c r="T78" s="1376"/>
      <c r="U78" s="1376"/>
      <c r="V78" s="1376"/>
      <c r="W78" s="1376"/>
      <c r="X78" s="1376"/>
      <c r="Y78" s="1376"/>
      <c r="Z78" s="1376"/>
      <c r="AA78" s="1376"/>
      <c r="AB78" s="1376"/>
      <c r="AC78" s="1376"/>
      <c r="AD78" s="1376"/>
      <c r="AE78" s="1376"/>
      <c r="AF78" s="1376"/>
      <c r="AG78" s="1376"/>
      <c r="AH78" s="1376"/>
      <c r="AI78" s="1376"/>
      <c r="AJ78" s="1376"/>
      <c r="AK78" s="1376"/>
      <c r="AL78" s="101"/>
      <c r="AM78" s="27"/>
      <c r="AN78" s="279"/>
    </row>
    <row r="79" spans="1:46" s="4" customFormat="1" ht="12.75" customHeight="1">
      <c r="A79" s="27"/>
      <c r="B79" s="1376"/>
      <c r="C79" s="1376"/>
      <c r="D79" s="1376"/>
      <c r="E79" s="1376"/>
      <c r="F79" s="1376"/>
      <c r="G79" s="1376"/>
      <c r="H79" s="1376"/>
      <c r="I79" s="1376"/>
      <c r="J79" s="1376"/>
      <c r="K79" s="1376"/>
      <c r="L79" s="1376"/>
      <c r="M79" s="1376"/>
      <c r="N79" s="1376"/>
      <c r="O79" s="1376"/>
      <c r="P79" s="1376"/>
      <c r="Q79" s="1376"/>
      <c r="R79" s="1376"/>
      <c r="S79" s="1376"/>
      <c r="T79" s="1376"/>
      <c r="U79" s="1376"/>
      <c r="V79" s="1376"/>
      <c r="W79" s="1376"/>
      <c r="X79" s="1376"/>
      <c r="Y79" s="1376"/>
      <c r="Z79" s="1376"/>
      <c r="AA79" s="1376"/>
      <c r="AB79" s="1376"/>
      <c r="AC79" s="1376"/>
      <c r="AD79" s="1376"/>
      <c r="AE79" s="1376"/>
      <c r="AF79" s="1376"/>
      <c r="AG79" s="1376"/>
      <c r="AH79" s="1376"/>
      <c r="AI79" s="1376"/>
      <c r="AJ79" s="1376"/>
      <c r="AK79" s="1376"/>
      <c r="AL79" s="101"/>
      <c r="AM79" s="27"/>
      <c r="AN79" s="279"/>
    </row>
    <row r="80" spans="1:46" s="4" customFormat="1" ht="12.75" customHeight="1">
      <c r="A80" s="27"/>
      <c r="B80" s="1376"/>
      <c r="C80" s="1376"/>
      <c r="D80" s="1376"/>
      <c r="E80" s="1376"/>
      <c r="F80" s="1376"/>
      <c r="G80" s="1376"/>
      <c r="H80" s="1376"/>
      <c r="I80" s="1376"/>
      <c r="J80" s="1376"/>
      <c r="K80" s="1376"/>
      <c r="L80" s="1376"/>
      <c r="M80" s="1376"/>
      <c r="N80" s="1376"/>
      <c r="O80" s="1376"/>
      <c r="P80" s="1376"/>
      <c r="Q80" s="1376"/>
      <c r="R80" s="1376"/>
      <c r="S80" s="1376"/>
      <c r="T80" s="1376"/>
      <c r="U80" s="1376"/>
      <c r="V80" s="1376"/>
      <c r="W80" s="1376"/>
      <c r="X80" s="1376"/>
      <c r="Y80" s="1376"/>
      <c r="Z80" s="1376"/>
      <c r="AA80" s="1376"/>
      <c r="AB80" s="1376"/>
      <c r="AC80" s="1376"/>
      <c r="AD80" s="1376"/>
      <c r="AE80" s="1376"/>
      <c r="AF80" s="1376"/>
      <c r="AG80" s="1376"/>
      <c r="AH80" s="1376"/>
      <c r="AI80" s="1376"/>
      <c r="AJ80" s="1376"/>
      <c r="AK80" s="1376"/>
      <c r="AL80" s="101"/>
      <c r="AM80" s="27"/>
      <c r="AN80" s="279"/>
    </row>
    <row r="81" spans="1:42" ht="12.75" customHeight="1">
      <c r="A81" s="27"/>
      <c r="B81" s="1184"/>
      <c r="C81" s="1184"/>
      <c r="D81" s="1184"/>
      <c r="E81" s="1184"/>
      <c r="F81" s="1184"/>
      <c r="G81" s="1184"/>
      <c r="H81" s="1184"/>
      <c r="I81" s="1184"/>
      <c r="J81" s="1184"/>
      <c r="K81" s="1184"/>
      <c r="L81" s="1184"/>
      <c r="M81" s="1184"/>
      <c r="N81" s="1184"/>
      <c r="O81" s="1184"/>
      <c r="P81" s="1184"/>
      <c r="Q81" s="1184"/>
      <c r="R81" s="1184"/>
      <c r="S81" s="1184"/>
      <c r="T81" s="1184"/>
      <c r="U81" s="1184"/>
      <c r="V81" s="1184"/>
      <c r="W81" s="1184"/>
      <c r="X81" s="1184"/>
      <c r="Y81" s="1184"/>
      <c r="Z81" s="1184"/>
      <c r="AA81" s="1184"/>
      <c r="AB81" s="1184"/>
      <c r="AC81" s="1184"/>
      <c r="AD81" s="1184"/>
      <c r="AE81" s="1184"/>
      <c r="AF81" s="1184"/>
      <c r="AG81" s="1184"/>
      <c r="AH81" s="1184"/>
      <c r="AI81" s="1184"/>
      <c r="AJ81" s="1184"/>
      <c r="AK81" s="1184"/>
      <c r="AL81" s="101"/>
      <c r="AM81" s="27"/>
    </row>
    <row r="82" spans="1:42" s="4" customFormat="1" ht="12.75" customHeight="1">
      <c r="B82" s="1376"/>
      <c r="C82" s="1376"/>
      <c r="D82" s="1376"/>
      <c r="E82" s="1376"/>
      <c r="F82" s="1376"/>
      <c r="G82" s="1376"/>
      <c r="H82" s="1376"/>
      <c r="I82" s="1376"/>
      <c r="J82" s="1376"/>
      <c r="K82" s="1376"/>
      <c r="L82" s="1376"/>
      <c r="M82" s="1376"/>
      <c r="N82" s="1376"/>
      <c r="O82" s="1376"/>
      <c r="P82" s="1376"/>
      <c r="Q82" s="1376"/>
      <c r="R82" s="1376"/>
      <c r="S82" s="1376"/>
      <c r="T82" s="1376"/>
      <c r="U82" s="1376"/>
      <c r="V82" s="1376"/>
      <c r="W82" s="1376"/>
      <c r="X82" s="1376"/>
      <c r="Y82" s="1376"/>
      <c r="Z82" s="1376"/>
      <c r="AA82" s="1376"/>
      <c r="AB82" s="1376"/>
      <c r="AC82" s="1376"/>
      <c r="AD82" s="1376"/>
      <c r="AE82" s="1376"/>
      <c r="AF82" s="1376"/>
      <c r="AG82" s="1376"/>
      <c r="AH82" s="1376"/>
      <c r="AI82" s="1376"/>
      <c r="AJ82" s="1376"/>
      <c r="AK82" s="1376"/>
      <c r="AL82" s="101"/>
      <c r="AN82" s="279"/>
    </row>
    <row r="83" spans="1:42" s="4" customFormat="1" ht="12.75" customHeight="1">
      <c r="B83" s="1376"/>
      <c r="C83" s="1376"/>
      <c r="D83" s="1376"/>
      <c r="E83" s="1376"/>
      <c r="F83" s="1376"/>
      <c r="G83" s="1376"/>
      <c r="H83" s="1376"/>
      <c r="I83" s="1376"/>
      <c r="J83" s="1376"/>
      <c r="K83" s="1376"/>
      <c r="L83" s="1376"/>
      <c r="M83" s="1376"/>
      <c r="N83" s="1376"/>
      <c r="O83" s="1376"/>
      <c r="P83" s="1376"/>
      <c r="Q83" s="1376"/>
      <c r="R83" s="1376"/>
      <c r="S83" s="1376"/>
      <c r="T83" s="1376"/>
      <c r="U83" s="1376"/>
      <c r="V83" s="1376"/>
      <c r="W83" s="1376"/>
      <c r="X83" s="1376"/>
      <c r="Y83" s="1376"/>
      <c r="Z83" s="1376"/>
      <c r="AA83" s="1376"/>
      <c r="AB83" s="1376"/>
      <c r="AC83" s="1376"/>
      <c r="AD83" s="1376"/>
      <c r="AE83" s="1376"/>
      <c r="AF83" s="1376"/>
      <c r="AG83" s="1376"/>
      <c r="AH83" s="1376"/>
      <c r="AI83" s="1376"/>
      <c r="AJ83" s="1376"/>
      <c r="AK83" s="1376"/>
      <c r="AL83" s="101"/>
      <c r="AN83" s="279"/>
    </row>
    <row r="84" spans="1:42" s="4" customFormat="1" ht="14.45" customHeight="1">
      <c r="B84" s="1376"/>
      <c r="C84" s="1376"/>
      <c r="D84" s="1376"/>
      <c r="E84" s="1376"/>
      <c r="F84" s="1376"/>
      <c r="G84" s="1376"/>
      <c r="H84" s="1376"/>
      <c r="I84" s="1376"/>
      <c r="J84" s="1376"/>
      <c r="K84" s="1376"/>
      <c r="L84" s="1376"/>
      <c r="M84" s="1376"/>
      <c r="N84" s="1376"/>
      <c r="O84" s="1376"/>
      <c r="P84" s="1376"/>
      <c r="Q84" s="1376"/>
      <c r="R84" s="1376"/>
      <c r="S84" s="1376"/>
      <c r="T84" s="1376"/>
      <c r="U84" s="1376"/>
      <c r="V84" s="1376"/>
      <c r="W84" s="1376"/>
      <c r="X84" s="1376"/>
      <c r="Y84" s="1376"/>
      <c r="Z84" s="1376"/>
      <c r="AA84" s="1376"/>
      <c r="AB84" s="1376"/>
      <c r="AC84" s="1376"/>
      <c r="AD84" s="1376"/>
      <c r="AE84" s="1376"/>
      <c r="AF84" s="1376"/>
      <c r="AG84" s="1376"/>
      <c r="AH84" s="1376"/>
      <c r="AI84" s="1376"/>
      <c r="AJ84" s="1376"/>
      <c r="AK84" s="1376"/>
      <c r="AL84" s="101"/>
      <c r="AN84" s="279"/>
    </row>
    <row r="85" spans="1:42" s="4" customFormat="1" ht="12.75" customHeight="1">
      <c r="B85" s="1376"/>
      <c r="C85" s="1376"/>
      <c r="D85" s="1376"/>
      <c r="E85" s="1376"/>
      <c r="F85" s="1376"/>
      <c r="G85" s="1376"/>
      <c r="H85" s="1376"/>
      <c r="I85" s="1376"/>
      <c r="J85" s="1376"/>
      <c r="K85" s="1376"/>
      <c r="L85" s="1376"/>
      <c r="M85" s="1376"/>
      <c r="N85" s="1376"/>
      <c r="O85" s="1376"/>
      <c r="P85" s="1376"/>
      <c r="Q85" s="1376"/>
      <c r="R85" s="1376"/>
      <c r="S85" s="1376"/>
      <c r="T85" s="1376"/>
      <c r="U85" s="1376"/>
      <c r="V85" s="1376"/>
      <c r="W85" s="1376"/>
      <c r="X85" s="1376"/>
      <c r="Y85" s="1376"/>
      <c r="Z85" s="1376"/>
      <c r="AA85" s="1376"/>
      <c r="AB85" s="1376"/>
      <c r="AC85" s="1376"/>
      <c r="AD85" s="1376"/>
      <c r="AE85" s="1376"/>
      <c r="AF85" s="1376"/>
      <c r="AG85" s="1376"/>
      <c r="AH85" s="1376"/>
      <c r="AI85" s="1376"/>
      <c r="AJ85" s="1376"/>
      <c r="AK85" s="1376"/>
      <c r="AN85" s="279"/>
    </row>
    <row r="86" spans="1:42" s="4" customFormat="1" ht="12.75" customHeight="1">
      <c r="B86" s="26" t="s">
        <v>1816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1817</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907</v>
      </c>
      <c r="E90" s="423" t="s">
        <v>1818</v>
      </c>
      <c r="F90" s="27"/>
      <c r="G90" s="27"/>
      <c r="H90" s="27"/>
      <c r="I90" s="27"/>
      <c r="J90" s="27"/>
      <c r="K90" s="27"/>
      <c r="L90" s="27"/>
      <c r="M90" s="27"/>
      <c r="N90" s="27"/>
      <c r="O90" s="27"/>
      <c r="P90" s="27"/>
      <c r="Q90" s="27"/>
      <c r="R90" s="27"/>
      <c r="S90" s="27"/>
      <c r="T90" s="27"/>
      <c r="U90" s="27"/>
      <c r="V90" s="27"/>
      <c r="W90" s="27"/>
      <c r="X90" s="27"/>
      <c r="Y90" s="27"/>
      <c r="Z90" s="27"/>
      <c r="AA90" s="27"/>
      <c r="AB90" s="27"/>
      <c r="AF90" s="1452" t="s">
        <v>1778</v>
      </c>
      <c r="AG90" s="1376"/>
      <c r="AH90" s="1376"/>
      <c r="AI90" s="1376"/>
      <c r="AJ90" s="1376"/>
      <c r="AK90" s="1376"/>
      <c r="AL90" s="1376"/>
      <c r="AN90" s="279"/>
    </row>
    <row r="91" spans="1:42" s="4" customFormat="1" ht="12.75" customHeight="1">
      <c r="C91" s="19"/>
      <c r="D91" s="26"/>
      <c r="E91" s="423" t="s">
        <v>1819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1820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1821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1822</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191</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956</v>
      </c>
      <c r="E95" s="423" t="s">
        <v>1823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452" t="s">
        <v>1824</v>
      </c>
      <c r="AG95" s="1376"/>
      <c r="AH95" s="1376"/>
      <c r="AI95" s="1376"/>
      <c r="AJ95" s="1376"/>
      <c r="AK95" s="1376"/>
      <c r="AL95" s="1376"/>
      <c r="AN95" s="279"/>
    </row>
    <row r="96" spans="1:42" s="4" customFormat="1" ht="12.75" customHeight="1">
      <c r="B96" s="5"/>
      <c r="C96" s="113"/>
      <c r="D96" s="26"/>
      <c r="E96" s="423" t="s">
        <v>1825</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155</v>
      </c>
      <c r="AP96" s="469">
        <v>0</v>
      </c>
    </row>
    <row r="97" spans="1:53" s="4" customFormat="1" ht="12.75" customHeight="1">
      <c r="B97" s="42"/>
      <c r="C97" s="45"/>
      <c r="D97" s="26"/>
      <c r="E97" s="423" t="s">
        <v>1826</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907</v>
      </c>
      <c r="AP97" s="4">
        <f>7*$AP$93</f>
        <v>7</v>
      </c>
    </row>
    <row r="98" spans="1:53" s="4" customFormat="1" ht="12.75" customHeight="1">
      <c r="B98" s="42"/>
      <c r="C98" s="45"/>
      <c r="D98" s="26"/>
      <c r="E98" s="423" t="s">
        <v>1827</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956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973</v>
      </c>
      <c r="AP99" s="4">
        <v>5</v>
      </c>
    </row>
    <row r="100" spans="1:53" s="4" customFormat="1" ht="12.75" customHeight="1">
      <c r="B100" s="5"/>
      <c r="C100" s="45"/>
      <c r="D100" s="26" t="s">
        <v>973</v>
      </c>
      <c r="E100" s="423" t="s">
        <v>1828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452" t="s">
        <v>1829</v>
      </c>
      <c r="AG100" s="1376"/>
      <c r="AH100" s="1376"/>
      <c r="AI100" s="1376"/>
      <c r="AJ100" s="1376"/>
      <c r="AK100" s="1376"/>
      <c r="AL100" s="1376"/>
      <c r="AN100" s="279"/>
      <c r="AO100" s="26" t="s">
        <v>1830</v>
      </c>
      <c r="AP100" s="4">
        <f>IF(R112="",0,4)</f>
        <v>4</v>
      </c>
    </row>
    <row r="101" spans="1:53" s="4" customFormat="1" ht="12.75" customHeight="1">
      <c r="B101" s="5"/>
      <c r="C101" s="113"/>
      <c r="D101" s="26"/>
      <c r="E101" s="423" t="s">
        <v>1831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1832</v>
      </c>
      <c r="AP101" s="4">
        <v>3</v>
      </c>
    </row>
    <row r="102" spans="1:53" s="4" customFormat="1" ht="12.75" customHeight="1">
      <c r="B102" s="5"/>
      <c r="C102" s="113"/>
      <c r="D102" s="26"/>
      <c r="E102" s="423" t="s">
        <v>1826</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1827</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1833</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1834</v>
      </c>
    </row>
    <row r="105" spans="1:53" s="4" customFormat="1" ht="12.75" customHeight="1">
      <c r="B105" s="5"/>
      <c r="C105" s="45"/>
      <c r="D105" s="26" t="s">
        <v>1830</v>
      </c>
      <c r="E105" s="423" t="s">
        <v>1823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452" t="s">
        <v>1835</v>
      </c>
      <c r="AG105" s="1376"/>
      <c r="AH105" s="1376"/>
      <c r="AI105" s="1376"/>
      <c r="AJ105" s="1376"/>
      <c r="AK105" s="1376"/>
      <c r="AL105" s="1376"/>
      <c r="AN105" s="279"/>
    </row>
    <row r="106" spans="1:53" s="4" customFormat="1" ht="12.75" customHeight="1">
      <c r="B106" s="5"/>
      <c r="C106" s="113"/>
      <c r="D106" s="26"/>
      <c r="E106" s="423" t="s">
        <v>1836</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1837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1838</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1839</v>
      </c>
    </row>
    <row r="109" spans="1:53" s="4" customFormat="1" ht="12.75" customHeight="1">
      <c r="B109" s="5"/>
      <c r="C109" s="45"/>
      <c r="D109" s="26" t="s">
        <v>1832</v>
      </c>
      <c r="E109" s="423" t="s">
        <v>1828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452" t="s">
        <v>1792</v>
      </c>
      <c r="AG109" s="1376"/>
      <c r="AH109" s="1376"/>
      <c r="AI109" s="1376"/>
      <c r="AJ109" s="1376"/>
      <c r="AK109" s="1376"/>
      <c r="AL109" s="1376"/>
      <c r="AN109" s="279"/>
      <c r="AO109" s="4" t="s">
        <v>1840</v>
      </c>
    </row>
    <row r="110" spans="1:53" s="4" customFormat="1" ht="12.75" customHeight="1">
      <c r="B110" s="5"/>
      <c r="C110" s="45"/>
      <c r="D110" s="26"/>
      <c r="E110" s="423" t="s">
        <v>1841</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1842</v>
      </c>
      <c r="E112" s="114"/>
      <c r="F112" s="114"/>
      <c r="G112" s="114"/>
      <c r="H112" s="1409" t="s">
        <v>907</v>
      </c>
      <c r="I112" s="1060"/>
      <c r="J112" s="114"/>
      <c r="K112" s="114"/>
      <c r="L112" s="114"/>
      <c r="M112" s="928" t="s">
        <v>1843</v>
      </c>
      <c r="R112" s="1485" t="s">
        <v>1838</v>
      </c>
      <c r="S112" s="1038"/>
      <c r="T112" s="1038"/>
      <c r="U112" s="1038"/>
      <c r="V112" s="1038"/>
      <c r="W112" s="1038"/>
      <c r="Y112" s="1382" t="str">
        <f>IF(AND(H112="(i)",NOT(Application!AF419&gt;25)),AO103,IF(AND(H112="(iv)",OR(R112=AO108,R112=AO109),NOT(AP94)),AO104,""))</f>
        <v/>
      </c>
      <c r="Z112" s="1376"/>
      <c r="AA112" s="1376"/>
      <c r="AB112" s="1376"/>
      <c r="AC112" s="1376"/>
      <c r="AD112" s="1376"/>
      <c r="AE112" s="1376"/>
      <c r="AF112" s="1376"/>
      <c r="AG112" s="1376"/>
      <c r="AH112" s="1376"/>
      <c r="AI112" s="1376"/>
      <c r="AJ112" s="1376"/>
      <c r="AK112" s="1376"/>
      <c r="AL112" s="1376"/>
      <c r="AM112" s="977"/>
      <c r="AN112" s="948"/>
    </row>
    <row r="113" spans="1:47" s="4" customFormat="1" ht="12.75" customHeight="1">
      <c r="B113" s="5"/>
      <c r="C113" s="113"/>
      <c r="E113" s="114"/>
      <c r="F113" s="114"/>
      <c r="G113" s="114"/>
      <c r="H113" s="114"/>
      <c r="I113" s="114"/>
      <c r="J113" s="114"/>
      <c r="K113" s="114"/>
      <c r="L113" s="114"/>
      <c r="M113" s="114"/>
      <c r="Y113" s="1376"/>
      <c r="Z113" s="1376"/>
      <c r="AA113" s="1376"/>
      <c r="AB113" s="1376"/>
      <c r="AC113" s="1376"/>
      <c r="AD113" s="1376"/>
      <c r="AE113" s="1376"/>
      <c r="AF113" s="1376"/>
      <c r="AG113" s="1376"/>
      <c r="AH113" s="1376"/>
      <c r="AI113" s="1376"/>
      <c r="AJ113" s="1376"/>
      <c r="AK113" s="1376"/>
      <c r="AL113" s="1376"/>
      <c r="AM113" s="977"/>
      <c r="AN113" s="948"/>
    </row>
    <row r="114" spans="1:47" s="4" customFormat="1" ht="12.75" customHeight="1">
      <c r="B114" s="5"/>
      <c r="C114" s="113"/>
      <c r="D114" s="4" t="s">
        <v>1844</v>
      </c>
      <c r="E114" s="114"/>
      <c r="F114" s="114"/>
      <c r="G114" s="114"/>
      <c r="H114" s="114"/>
      <c r="I114" s="114"/>
      <c r="J114" s="114"/>
      <c r="K114" s="114"/>
      <c r="L114" s="114"/>
      <c r="M114" s="114"/>
      <c r="AN114" s="279"/>
      <c r="AP114" s="469"/>
      <c r="AU114" s="469"/>
    </row>
    <row r="115" spans="1:47" s="4" customFormat="1" ht="12.75" customHeight="1">
      <c r="B115" s="5"/>
      <c r="C115" s="113"/>
      <c r="D115" s="4" t="s">
        <v>1845</v>
      </c>
      <c r="E115" s="114"/>
      <c r="F115" s="114"/>
      <c r="G115" s="114"/>
      <c r="H115" s="114"/>
      <c r="I115" s="114"/>
      <c r="J115" s="114"/>
      <c r="K115" s="114"/>
      <c r="L115" s="114"/>
      <c r="M115" s="114"/>
      <c r="AN115" s="279"/>
    </row>
    <row r="116" spans="1:47" s="4" customFormat="1" ht="12.75" customHeight="1">
      <c r="B116" s="5"/>
      <c r="C116" s="113"/>
      <c r="D116" s="1474" t="s">
        <v>1846</v>
      </c>
      <c r="E116" s="1376"/>
      <c r="F116" s="1376"/>
      <c r="G116" s="1376"/>
      <c r="H116" s="1376"/>
      <c r="I116" s="1376"/>
      <c r="J116" s="1376"/>
      <c r="K116" s="1376"/>
      <c r="L116" s="1376"/>
      <c r="M116" s="1376"/>
      <c r="N116" s="1376"/>
      <c r="O116" s="1376"/>
      <c r="P116" s="1376"/>
      <c r="Q116" s="1376"/>
      <c r="R116" s="1376"/>
      <c r="S116" s="1376"/>
      <c r="T116" s="1376"/>
      <c r="U116" s="1376"/>
      <c r="V116" s="1376"/>
      <c r="W116" s="1376"/>
      <c r="X116" s="1376"/>
      <c r="Y116" s="1376"/>
      <c r="Z116" s="1376"/>
      <c r="AA116" s="1376"/>
      <c r="AB116" s="1376"/>
      <c r="AC116" s="1376"/>
      <c r="AD116" s="1376"/>
      <c r="AE116" s="1376"/>
      <c r="AF116" s="1376"/>
      <c r="AG116" s="1376"/>
      <c r="AH116" s="1376"/>
      <c r="AN116" s="279"/>
      <c r="AO116" s="4" t="s">
        <v>155</v>
      </c>
      <c r="AP116" s="469">
        <v>0</v>
      </c>
    </row>
    <row r="117" spans="1:47" s="4" customFormat="1" ht="12.75" customHeight="1">
      <c r="B117" s="5"/>
      <c r="C117" s="113"/>
      <c r="D117" s="1376"/>
      <c r="E117" s="1376"/>
      <c r="F117" s="1376"/>
      <c r="G117" s="1376"/>
      <c r="H117" s="1376"/>
      <c r="I117" s="1376"/>
      <c r="J117" s="1376"/>
      <c r="K117" s="1376"/>
      <c r="L117" s="1376"/>
      <c r="M117" s="1376"/>
      <c r="N117" s="1376"/>
      <c r="O117" s="1376"/>
      <c r="P117" s="1376"/>
      <c r="Q117" s="1376"/>
      <c r="R117" s="1376"/>
      <c r="S117" s="1376"/>
      <c r="T117" s="1376"/>
      <c r="U117" s="1376"/>
      <c r="V117" s="1376"/>
      <c r="W117" s="1376"/>
      <c r="X117" s="1376"/>
      <c r="Y117" s="1376"/>
      <c r="Z117" s="1376"/>
      <c r="AA117" s="1376"/>
      <c r="AB117" s="1376"/>
      <c r="AC117" s="1376"/>
      <c r="AD117" s="1376"/>
      <c r="AE117" s="1376"/>
      <c r="AF117" s="1376"/>
      <c r="AG117" s="1376"/>
      <c r="AH117" s="1376"/>
      <c r="AN117" s="279"/>
      <c r="AO117" s="4" t="s">
        <v>1847</v>
      </c>
      <c r="AP117" s="4">
        <v>3</v>
      </c>
    </row>
    <row r="118" spans="1:47" s="4" customFormat="1" ht="12.75" customHeight="1">
      <c r="B118" s="5"/>
      <c r="C118" s="113"/>
      <c r="E118" s="4" t="s">
        <v>1842</v>
      </c>
      <c r="F118" s="114"/>
      <c r="G118" s="114"/>
      <c r="H118" s="1484" t="s">
        <v>155</v>
      </c>
      <c r="I118" s="1060"/>
      <c r="J118" s="1060"/>
      <c r="K118" s="1060"/>
      <c r="L118" s="1060"/>
      <c r="M118" s="1060"/>
      <c r="N118" s="1060"/>
      <c r="O118" s="1060"/>
      <c r="P118" s="1060"/>
      <c r="Q118" s="1060"/>
      <c r="R118" s="1060"/>
      <c r="S118" s="1060"/>
      <c r="T118" s="1060"/>
      <c r="U118" s="1060"/>
      <c r="V118" s="1060"/>
      <c r="W118" s="1060"/>
      <c r="X118" s="1060"/>
      <c r="Y118" s="1060"/>
      <c r="Z118" s="1060"/>
      <c r="AA118" s="1060"/>
      <c r="AB118" s="1060"/>
      <c r="AC118" s="1060"/>
      <c r="AD118" s="1060"/>
      <c r="AE118" s="1060"/>
      <c r="AN118" s="279"/>
      <c r="AO118" s="4" t="s">
        <v>1848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381" t="s">
        <v>155</v>
      </c>
      <c r="C120" s="1060"/>
      <c r="D120" s="49"/>
      <c r="E120" s="1397" t="s">
        <v>1849</v>
      </c>
      <c r="F120" s="1376"/>
      <c r="G120" s="1376"/>
      <c r="H120" s="1376"/>
      <c r="I120" s="1376"/>
      <c r="J120" s="1376"/>
      <c r="K120" s="1376"/>
      <c r="L120" s="1376"/>
      <c r="M120" s="1376"/>
      <c r="N120" s="1376"/>
      <c r="O120" s="1376"/>
      <c r="P120" s="1376"/>
      <c r="Q120" s="1376"/>
      <c r="R120" s="1376"/>
      <c r="S120" s="1376"/>
      <c r="T120" s="1376"/>
      <c r="U120" s="1376"/>
      <c r="V120" s="1376"/>
      <c r="W120" s="1376"/>
      <c r="X120" s="1376"/>
      <c r="Y120" s="1376"/>
      <c r="Z120" s="1376"/>
      <c r="AA120" s="1376"/>
      <c r="AB120" s="1376"/>
      <c r="AC120" s="1376"/>
      <c r="AD120" s="1376"/>
      <c r="AE120" s="1376"/>
      <c r="AF120" s="1376"/>
      <c r="AG120" s="1376"/>
      <c r="AH120" s="49"/>
      <c r="AI120" s="49"/>
      <c r="AJ120" s="49"/>
      <c r="AK120" s="49"/>
      <c r="AL120" s="49"/>
      <c r="AN120" s="279"/>
    </row>
    <row r="121" spans="1:47" s="4" customFormat="1" ht="12.75" customHeight="1">
      <c r="B121" s="5"/>
      <c r="C121" s="113"/>
      <c r="D121" s="49"/>
      <c r="E121" s="1376"/>
      <c r="F121" s="1376"/>
      <c r="G121" s="1376"/>
      <c r="H121" s="1376"/>
      <c r="I121" s="1376"/>
      <c r="J121" s="1376"/>
      <c r="K121" s="1376"/>
      <c r="L121" s="1376"/>
      <c r="M121" s="1376"/>
      <c r="N121" s="1376"/>
      <c r="O121" s="1376"/>
      <c r="P121" s="1376"/>
      <c r="Q121" s="1376"/>
      <c r="R121" s="1376"/>
      <c r="S121" s="1376"/>
      <c r="T121" s="1376"/>
      <c r="U121" s="1376"/>
      <c r="V121" s="1376"/>
      <c r="W121" s="1376"/>
      <c r="X121" s="1376"/>
      <c r="Y121" s="1376"/>
      <c r="Z121" s="1376"/>
      <c r="AA121" s="1376"/>
      <c r="AB121" s="1376"/>
      <c r="AC121" s="1376"/>
      <c r="AD121" s="1376"/>
      <c r="AE121" s="1376"/>
      <c r="AF121" s="1376"/>
      <c r="AG121" s="1376"/>
      <c r="AH121" s="49"/>
      <c r="AI121" s="49"/>
      <c r="AJ121" s="49"/>
      <c r="AK121" s="49"/>
      <c r="AL121" s="49"/>
      <c r="AN121" s="279"/>
    </row>
    <row r="122" spans="1:47" s="4" customFormat="1" ht="12.75" customHeight="1">
      <c r="B122" s="5"/>
      <c r="C122" s="113"/>
      <c r="D122" s="49"/>
      <c r="E122" s="1376"/>
      <c r="F122" s="1376"/>
      <c r="G122" s="1376"/>
      <c r="H122" s="1376"/>
      <c r="I122" s="1376"/>
      <c r="J122" s="1376"/>
      <c r="K122" s="1376"/>
      <c r="L122" s="1376"/>
      <c r="M122" s="1376"/>
      <c r="N122" s="1376"/>
      <c r="O122" s="1376"/>
      <c r="P122" s="1376"/>
      <c r="Q122" s="1376"/>
      <c r="R122" s="1376"/>
      <c r="S122" s="1376"/>
      <c r="T122" s="1376"/>
      <c r="U122" s="1376"/>
      <c r="V122" s="1376"/>
      <c r="W122" s="1376"/>
      <c r="X122" s="1376"/>
      <c r="Y122" s="1376"/>
      <c r="Z122" s="1376"/>
      <c r="AA122" s="1376"/>
      <c r="AB122" s="1376"/>
      <c r="AC122" s="1376"/>
      <c r="AD122" s="1376"/>
      <c r="AE122" s="1376"/>
      <c r="AF122" s="1376"/>
      <c r="AG122" s="1376"/>
      <c r="AH122" s="49"/>
      <c r="AI122" s="49"/>
      <c r="AJ122" s="49"/>
      <c r="AK122" s="49"/>
      <c r="AL122" s="49"/>
      <c r="AN122" s="279"/>
    </row>
    <row r="123" spans="1:47" s="4" customFormat="1" ht="12.75" customHeight="1">
      <c r="B123" s="5"/>
      <c r="C123" s="113"/>
      <c r="D123" s="297"/>
      <c r="E123" s="1093"/>
      <c r="F123" s="1093"/>
      <c r="G123" s="1093"/>
      <c r="H123" s="1093"/>
      <c r="I123" s="1093"/>
      <c r="J123" s="1093"/>
      <c r="K123" s="1093"/>
      <c r="L123" s="1093"/>
      <c r="M123" s="1093"/>
      <c r="N123" s="1093"/>
      <c r="O123" s="1093"/>
      <c r="P123" s="1093"/>
      <c r="Q123" s="1093"/>
      <c r="R123" s="1093"/>
      <c r="S123" s="1093"/>
      <c r="T123" s="1093"/>
      <c r="U123" s="1093"/>
      <c r="V123" s="1093"/>
      <c r="W123" s="1093"/>
      <c r="X123" s="1093"/>
      <c r="Y123" s="1093"/>
      <c r="Z123" s="1093"/>
      <c r="AA123" s="1093"/>
      <c r="AB123" s="1093"/>
      <c r="AC123" s="1093"/>
      <c r="AD123" s="1093"/>
      <c r="AE123" s="1093"/>
      <c r="AF123" s="1093"/>
      <c r="AG123" s="1093"/>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1850</v>
      </c>
      <c r="AJ124" s="1065">
        <f>VLOOKUP($H$112,$AO$96:$AP$101,2,FALSE)+IF(R112=AO108,0,VLOOKUP($H$118,$AO$116:$AP$118,2,FALSE))</f>
        <v>7</v>
      </c>
      <c r="AK124" s="9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1851</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907</v>
      </c>
      <c r="E128" s="1374" t="s">
        <v>1852</v>
      </c>
      <c r="F128" s="1375"/>
      <c r="G128" s="1375"/>
      <c r="H128" s="1375"/>
      <c r="I128" s="1375"/>
      <c r="J128" s="1375"/>
      <c r="K128" s="1375"/>
      <c r="L128" s="1375"/>
      <c r="M128" s="1375"/>
      <c r="N128" s="1375"/>
      <c r="O128" s="1375"/>
      <c r="P128" s="1375"/>
      <c r="Q128" s="1375"/>
      <c r="R128" s="1375"/>
      <c r="S128" s="1375"/>
      <c r="T128" s="1375"/>
      <c r="U128" s="1375"/>
      <c r="V128" s="1375"/>
      <c r="W128" s="1375"/>
      <c r="X128" s="1375"/>
      <c r="Y128" s="1375"/>
      <c r="Z128" s="1375"/>
      <c r="AA128" s="1375"/>
      <c r="AB128" s="1375"/>
      <c r="AC128" s="1375"/>
      <c r="AD128" s="1375"/>
      <c r="AF128" s="1452" t="s">
        <v>1792</v>
      </c>
      <c r="AG128" s="1375"/>
      <c r="AH128" s="1375"/>
      <c r="AI128" s="1375"/>
      <c r="AJ128" s="1375"/>
      <c r="AK128" s="1375"/>
      <c r="AL128" s="1375"/>
      <c r="AM128" s="4"/>
      <c r="AN128" s="296"/>
      <c r="AO128" s="4" t="str">
        <f>S133</f>
        <v>N/A</v>
      </c>
    </row>
    <row r="129" spans="1:42" s="4" customFormat="1" ht="12.75" customHeight="1">
      <c r="A129" s="118"/>
      <c r="B129" s="5"/>
      <c r="C129" s="113"/>
      <c r="D129" s="26"/>
      <c r="E129" s="1376"/>
      <c r="F129" s="1376"/>
      <c r="G129" s="1376"/>
      <c r="H129" s="1376"/>
      <c r="I129" s="1376"/>
      <c r="J129" s="1376"/>
      <c r="K129" s="1376"/>
      <c r="L129" s="1376"/>
      <c r="M129" s="1376"/>
      <c r="N129" s="1376"/>
      <c r="O129" s="1376"/>
      <c r="P129" s="1376"/>
      <c r="Q129" s="1376"/>
      <c r="R129" s="1376"/>
      <c r="S129" s="1376"/>
      <c r="T129" s="1376"/>
      <c r="U129" s="1376"/>
      <c r="V129" s="1376"/>
      <c r="W129" s="1376"/>
      <c r="X129" s="1376"/>
      <c r="Y129" s="1376"/>
      <c r="Z129" s="1376"/>
      <c r="AA129" s="1376"/>
      <c r="AB129" s="1376"/>
      <c r="AC129" s="1376"/>
      <c r="AD129" s="1376"/>
      <c r="AF129" s="5"/>
      <c r="AN129" s="279"/>
    </row>
    <row r="130" spans="1:42" s="4" customFormat="1" ht="12.75" customHeight="1">
      <c r="B130" s="5"/>
      <c r="C130" s="45"/>
      <c r="D130" s="26"/>
      <c r="E130" s="1376"/>
      <c r="F130" s="1376"/>
      <c r="G130" s="1376"/>
      <c r="H130" s="1376"/>
      <c r="I130" s="1376"/>
      <c r="J130" s="1376"/>
      <c r="K130" s="1376"/>
      <c r="L130" s="1376"/>
      <c r="M130" s="1376"/>
      <c r="N130" s="1376"/>
      <c r="O130" s="1376"/>
      <c r="P130" s="1376"/>
      <c r="Q130" s="1376"/>
      <c r="R130" s="1376"/>
      <c r="S130" s="1376"/>
      <c r="T130" s="1376"/>
      <c r="U130" s="1376"/>
      <c r="V130" s="1376"/>
      <c r="W130" s="1376"/>
      <c r="X130" s="1376"/>
      <c r="Y130" s="1376"/>
      <c r="Z130" s="1376"/>
      <c r="AA130" s="1376"/>
      <c r="AB130" s="1376"/>
      <c r="AC130" s="1376"/>
      <c r="AD130" s="1376"/>
      <c r="AF130" s="5"/>
      <c r="AN130" s="279"/>
    </row>
    <row r="131" spans="1:42" s="4" customFormat="1" ht="12.75" customHeight="1">
      <c r="A131" s="35"/>
      <c r="B131" s="100"/>
      <c r="C131" s="119"/>
      <c r="D131" s="26"/>
      <c r="E131" s="1376"/>
      <c r="F131" s="1376"/>
      <c r="G131" s="1376"/>
      <c r="H131" s="1376"/>
      <c r="I131" s="1376"/>
      <c r="J131" s="1376"/>
      <c r="K131" s="1376"/>
      <c r="L131" s="1376"/>
      <c r="M131" s="1376"/>
      <c r="N131" s="1376"/>
      <c r="O131" s="1376"/>
      <c r="P131" s="1376"/>
      <c r="Q131" s="1376"/>
      <c r="R131" s="1376"/>
      <c r="S131" s="1376"/>
      <c r="T131" s="1376"/>
      <c r="U131" s="1376"/>
      <c r="V131" s="1376"/>
      <c r="W131" s="1376"/>
      <c r="X131" s="1376"/>
      <c r="Y131" s="1376"/>
      <c r="Z131" s="1376"/>
      <c r="AA131" s="1376"/>
      <c r="AB131" s="1376"/>
      <c r="AC131" s="1376"/>
      <c r="AD131" s="1376"/>
      <c r="AE131" s="19"/>
      <c r="AF131" s="100"/>
      <c r="AG131" s="19"/>
      <c r="AH131" s="19"/>
      <c r="AI131" s="19"/>
      <c r="AJ131" s="19"/>
      <c r="AN131" s="279"/>
    </row>
    <row r="132" spans="1:42" s="4" customFormat="1" ht="22.9" customHeight="1">
      <c r="B132" s="100"/>
      <c r="C132" s="119"/>
      <c r="D132" s="26"/>
      <c r="E132" s="1376"/>
      <c r="F132" s="1376"/>
      <c r="G132" s="1376"/>
      <c r="H132" s="1376"/>
      <c r="I132" s="1376"/>
      <c r="J132" s="1376"/>
      <c r="K132" s="1376"/>
      <c r="L132" s="1376"/>
      <c r="M132" s="1376"/>
      <c r="N132" s="1376"/>
      <c r="O132" s="1376"/>
      <c r="P132" s="1376"/>
      <c r="Q132" s="1376"/>
      <c r="R132" s="1376"/>
      <c r="S132" s="1376"/>
      <c r="T132" s="1376"/>
      <c r="U132" s="1376"/>
      <c r="V132" s="1376"/>
      <c r="W132" s="1376"/>
      <c r="X132" s="1376"/>
      <c r="Y132" s="1376"/>
      <c r="Z132" s="1376"/>
      <c r="AA132" s="1376"/>
      <c r="AB132" s="1376"/>
      <c r="AC132" s="1376"/>
      <c r="AD132" s="1376"/>
      <c r="AE132" s="19"/>
      <c r="AF132" s="100"/>
      <c r="AG132" s="19"/>
      <c r="AH132" s="19"/>
      <c r="AI132" s="19"/>
      <c r="AJ132" s="19"/>
      <c r="AN132" s="279"/>
    </row>
    <row r="133" spans="1:42" s="4" customFormat="1" ht="12.75" customHeight="1">
      <c r="B133" s="100"/>
      <c r="C133" s="45"/>
      <c r="D133" s="26"/>
      <c r="E133" s="19" t="s">
        <v>1853</v>
      </c>
      <c r="F133" s="677"/>
      <c r="G133" s="677"/>
      <c r="H133" s="677"/>
      <c r="I133" s="677"/>
      <c r="J133" s="677"/>
      <c r="K133" s="677"/>
      <c r="L133" s="677"/>
      <c r="M133" s="677"/>
      <c r="N133" s="677"/>
      <c r="O133" s="677"/>
      <c r="P133" s="677"/>
      <c r="Q133" s="677"/>
      <c r="R133" s="677"/>
      <c r="S133" s="1415" t="s">
        <v>155</v>
      </c>
      <c r="T133" s="1060"/>
      <c r="U133" s="677"/>
      <c r="V133" s="677"/>
      <c r="W133" s="677"/>
      <c r="X133" s="677"/>
      <c r="Y133" s="677"/>
      <c r="Z133" s="677"/>
      <c r="AA133" s="677"/>
      <c r="AB133" s="677"/>
      <c r="AC133" s="677"/>
      <c r="AD133" s="677"/>
      <c r="AF133" s="100"/>
      <c r="AG133" s="19"/>
      <c r="AH133" s="19"/>
      <c r="AI133" s="19"/>
      <c r="AJ133" s="19"/>
      <c r="AN133" s="279"/>
      <c r="AO133" s="4" t="s">
        <v>155</v>
      </c>
      <c r="AP133" s="469">
        <v>0</v>
      </c>
    </row>
    <row r="134" spans="1:42" s="4" customFormat="1" ht="12.75" customHeight="1">
      <c r="B134" s="100"/>
      <c r="C134" s="119"/>
      <c r="W134" s="19"/>
      <c r="X134" s="19"/>
      <c r="Y134" s="19"/>
      <c r="Z134" s="19"/>
      <c r="AA134" s="19"/>
      <c r="AB134" s="19"/>
      <c r="AN134" s="279"/>
      <c r="AO134" s="4" t="s">
        <v>907</v>
      </c>
      <c r="AP134" s="469">
        <v>3</v>
      </c>
    </row>
    <row r="135" spans="1:42" s="4" customFormat="1" ht="12.75" customHeight="1">
      <c r="B135" s="5"/>
      <c r="C135" s="45"/>
      <c r="D135" s="26" t="s">
        <v>956</v>
      </c>
      <c r="E135" s="342" t="s">
        <v>1854</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452" t="s">
        <v>1855</v>
      </c>
      <c r="AG135" s="1376"/>
      <c r="AH135" s="1376"/>
      <c r="AI135" s="1376"/>
      <c r="AJ135" s="1376"/>
      <c r="AK135" s="1376"/>
      <c r="AL135" s="1376"/>
      <c r="AN135" s="279"/>
      <c r="AO135" s="4" t="s">
        <v>956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1842</v>
      </c>
      <c r="E137" s="114"/>
      <c r="F137" s="114"/>
      <c r="G137" s="114"/>
      <c r="H137" s="1409" t="s">
        <v>907</v>
      </c>
      <c r="I137" s="106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1856</v>
      </c>
      <c r="AJ139" s="1065">
        <f>VLOOKUP($H$137,$AO$133:$AP$135,2,FALSE)</f>
        <v>3</v>
      </c>
      <c r="AK139" s="9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155</v>
      </c>
      <c r="AP140" s="469">
        <v>0</v>
      </c>
    </row>
    <row r="141" spans="1:42" s="4" customFormat="1" ht="12.75" customHeight="1">
      <c r="B141" s="5"/>
      <c r="C141" s="3" t="s">
        <v>1857</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907</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956</v>
      </c>
      <c r="AP142" s="469">
        <v>2</v>
      </c>
    </row>
    <row r="143" spans="1:42" s="4" customFormat="1" ht="12.75" customHeight="1">
      <c r="D143" s="26" t="s">
        <v>907</v>
      </c>
      <c r="E143" s="19" t="s">
        <v>1858</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452" t="s">
        <v>1792</v>
      </c>
      <c r="AG143" s="1376"/>
      <c r="AH143" s="1376"/>
      <c r="AI143" s="1376"/>
      <c r="AJ143" s="1376"/>
      <c r="AK143" s="1376"/>
      <c r="AL143" s="1376"/>
      <c r="AN143" s="279"/>
    </row>
    <row r="144" spans="1:42" s="4" customFormat="1" ht="12.75" customHeight="1">
      <c r="D144" s="26"/>
      <c r="E144" s="19" t="s">
        <v>1859</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956</v>
      </c>
      <c r="E146" s="19" t="s">
        <v>1860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452" t="s">
        <v>1855</v>
      </c>
      <c r="AG146" s="1376"/>
      <c r="AH146" s="1376"/>
      <c r="AI146" s="1376"/>
      <c r="AJ146" s="1376"/>
      <c r="AK146" s="1376"/>
      <c r="AL146" s="1376"/>
      <c r="AN146" s="279"/>
    </row>
    <row r="147" spans="1:42" s="4" customFormat="1" ht="12.75" customHeight="1">
      <c r="B147" s="5"/>
      <c r="C147" s="45"/>
      <c r="D147" s="26"/>
      <c r="E147" s="19" t="s">
        <v>1861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1842</v>
      </c>
      <c r="E149" s="114"/>
      <c r="F149" s="114"/>
      <c r="G149" s="114"/>
      <c r="H149" s="1409" t="s">
        <v>155</v>
      </c>
      <c r="I149" s="106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1862</v>
      </c>
      <c r="AJ151" s="1065">
        <f>VLOOKUP(H149,AO140:AP142,2,FALSE)</f>
        <v>0</v>
      </c>
      <c r="AK151" s="974"/>
      <c r="AL151" s="10"/>
      <c r="AN151" s="279"/>
    </row>
    <row r="152" spans="1:42" s="4" customFormat="1" ht="12.75" customHeight="1">
      <c r="B152" s="5"/>
      <c r="C152" s="45"/>
      <c r="AN152" s="279"/>
    </row>
    <row r="153" spans="1:42" s="4" customFormat="1" ht="12.75" customHeight="1">
      <c r="C153" s="3" t="s">
        <v>1863</v>
      </c>
      <c r="AN153" s="279"/>
    </row>
    <row r="154" spans="1:42" s="4" customFormat="1" ht="12.75" customHeight="1">
      <c r="C154" s="3"/>
      <c r="D154" s="267" t="s">
        <v>1864</v>
      </c>
      <c r="AN154" s="279"/>
    </row>
    <row r="155" spans="1:42" s="4" customFormat="1" ht="12.75" customHeight="1">
      <c r="C155" s="3"/>
      <c r="AN155" s="279"/>
    </row>
    <row r="156" spans="1:42" s="4" customFormat="1" ht="12.75" customHeight="1">
      <c r="C156" s="3"/>
      <c r="D156" s="26" t="s">
        <v>907</v>
      </c>
      <c r="E156" s="1404" t="s">
        <v>1865</v>
      </c>
      <c r="F156" s="1376"/>
      <c r="G156" s="1376"/>
      <c r="H156" s="1376"/>
      <c r="I156" s="1376"/>
      <c r="J156" s="1376"/>
      <c r="K156" s="1376"/>
      <c r="L156" s="1376"/>
      <c r="M156" s="1376"/>
      <c r="N156" s="1376"/>
      <c r="O156" s="1376"/>
      <c r="P156" s="1376"/>
      <c r="Q156" s="1376"/>
      <c r="R156" s="1376"/>
      <c r="S156" s="1376"/>
      <c r="T156" s="1376"/>
      <c r="U156" s="1376"/>
      <c r="V156" s="1376"/>
      <c r="W156" s="1376"/>
      <c r="X156" s="1376"/>
      <c r="Y156" s="1376"/>
      <c r="Z156" s="1376"/>
      <c r="AA156" s="1376"/>
      <c r="AB156" s="1376"/>
      <c r="AC156" s="1376"/>
      <c r="AE156" s="340"/>
      <c r="AF156" s="1115" t="s">
        <v>1829</v>
      </c>
      <c r="AG156" s="1376"/>
      <c r="AH156" s="1376"/>
      <c r="AI156" s="1376"/>
      <c r="AJ156" s="1376"/>
      <c r="AK156" s="1376"/>
      <c r="AL156" s="1376"/>
      <c r="AN156" s="279"/>
    </row>
    <row r="157" spans="1:42" s="4" customFormat="1" ht="12.75" customHeight="1">
      <c r="C157" s="3"/>
      <c r="E157" s="1376"/>
      <c r="F157" s="1376"/>
      <c r="G157" s="1376"/>
      <c r="H157" s="1376"/>
      <c r="I157" s="1376"/>
      <c r="J157" s="1376"/>
      <c r="K157" s="1376"/>
      <c r="L157" s="1376"/>
      <c r="M157" s="1376"/>
      <c r="N157" s="1376"/>
      <c r="O157" s="1376"/>
      <c r="P157" s="1376"/>
      <c r="Q157" s="1376"/>
      <c r="R157" s="1376"/>
      <c r="S157" s="1376"/>
      <c r="T157" s="1376"/>
      <c r="U157" s="1376"/>
      <c r="V157" s="1376"/>
      <c r="W157" s="1376"/>
      <c r="X157" s="1376"/>
      <c r="Y157" s="1376"/>
      <c r="Z157" s="1376"/>
      <c r="AA157" s="1376"/>
      <c r="AB157" s="1376"/>
      <c r="AC157" s="1376"/>
      <c r="AE157" s="340"/>
      <c r="AF157" s="340"/>
      <c r="AG157" s="340"/>
      <c r="AH157" s="340"/>
      <c r="AI157" s="340"/>
      <c r="AJ157" s="340"/>
      <c r="AK157" s="340"/>
      <c r="AL157" s="340"/>
      <c r="AN157" s="279"/>
    </row>
    <row r="158" spans="1:42" s="4" customFormat="1" ht="12.75" customHeight="1">
      <c r="C158" s="3"/>
      <c r="D158" s="26"/>
      <c r="E158" s="1376"/>
      <c r="F158" s="1376"/>
      <c r="G158" s="1376"/>
      <c r="H158" s="1376"/>
      <c r="I158" s="1376"/>
      <c r="J158" s="1376"/>
      <c r="K158" s="1376"/>
      <c r="L158" s="1376"/>
      <c r="M158" s="1376"/>
      <c r="N158" s="1376"/>
      <c r="O158" s="1376"/>
      <c r="P158" s="1376"/>
      <c r="Q158" s="1376"/>
      <c r="R158" s="1376"/>
      <c r="S158" s="1376"/>
      <c r="T158" s="1376"/>
      <c r="U158" s="1376"/>
      <c r="V158" s="1376"/>
      <c r="W158" s="1376"/>
      <c r="X158" s="1376"/>
      <c r="Y158" s="1376"/>
      <c r="Z158" s="1376"/>
      <c r="AA158" s="1376"/>
      <c r="AB158" s="1376"/>
      <c r="AC158" s="137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956</v>
      </c>
      <c r="E160" s="1404" t="s">
        <v>1866</v>
      </c>
      <c r="F160" s="1376"/>
      <c r="G160" s="1376"/>
      <c r="H160" s="1376"/>
      <c r="I160" s="1376"/>
      <c r="J160" s="1376"/>
      <c r="K160" s="1376"/>
      <c r="L160" s="1376"/>
      <c r="M160" s="1376"/>
      <c r="N160" s="1376"/>
      <c r="O160" s="1376"/>
      <c r="P160" s="1376"/>
      <c r="Q160" s="1376"/>
      <c r="R160" s="1376"/>
      <c r="S160" s="1376"/>
      <c r="T160" s="1376"/>
      <c r="U160" s="1376"/>
      <c r="V160" s="1376"/>
      <c r="W160" s="1376"/>
      <c r="X160" s="1376"/>
      <c r="Y160" s="1376"/>
      <c r="Z160" s="1376"/>
      <c r="AA160" s="1376"/>
      <c r="AB160" s="1376"/>
      <c r="AC160" s="1376"/>
      <c r="AE160" s="340"/>
      <c r="AF160" s="1115" t="s">
        <v>1835</v>
      </c>
      <c r="AG160" s="1376"/>
      <c r="AH160" s="1376"/>
      <c r="AI160" s="1376"/>
      <c r="AJ160" s="1376"/>
      <c r="AK160" s="1376"/>
      <c r="AL160" s="1376"/>
      <c r="AN160" s="279"/>
    </row>
    <row r="161" spans="1:42" s="4" customFormat="1" ht="12.75" customHeight="1">
      <c r="C161" s="3"/>
      <c r="E161" s="1376"/>
      <c r="F161" s="1376"/>
      <c r="G161" s="1376"/>
      <c r="H161" s="1376"/>
      <c r="I161" s="1376"/>
      <c r="J161" s="1376"/>
      <c r="K161" s="1376"/>
      <c r="L161" s="1376"/>
      <c r="M161" s="1376"/>
      <c r="N161" s="1376"/>
      <c r="O161" s="1376"/>
      <c r="P161" s="1376"/>
      <c r="Q161" s="1376"/>
      <c r="R161" s="1376"/>
      <c r="S161" s="1376"/>
      <c r="T161" s="1376"/>
      <c r="U161" s="1376"/>
      <c r="V161" s="1376"/>
      <c r="W161" s="1376"/>
      <c r="X161" s="1376"/>
      <c r="Y161" s="1376"/>
      <c r="Z161" s="1376"/>
      <c r="AA161" s="1376"/>
      <c r="AB161" s="1376"/>
      <c r="AC161" s="1376"/>
      <c r="AE161" s="340"/>
      <c r="AF161" s="340"/>
      <c r="AG161" s="340"/>
      <c r="AH161" s="340"/>
      <c r="AI161" s="340"/>
      <c r="AJ161" s="340"/>
      <c r="AK161" s="340"/>
      <c r="AL161" s="340"/>
      <c r="AN161" s="279"/>
    </row>
    <row r="162" spans="1:42" s="4" customFormat="1" ht="15" customHeight="1">
      <c r="C162" s="3"/>
      <c r="D162" s="26"/>
      <c r="E162" s="1376"/>
      <c r="F162" s="1376"/>
      <c r="G162" s="1376"/>
      <c r="H162" s="1376"/>
      <c r="I162" s="1376"/>
      <c r="J162" s="1376"/>
      <c r="K162" s="1376"/>
      <c r="L162" s="1376"/>
      <c r="M162" s="1376"/>
      <c r="N162" s="1376"/>
      <c r="O162" s="1376"/>
      <c r="P162" s="1376"/>
      <c r="Q162" s="1376"/>
      <c r="R162" s="1376"/>
      <c r="S162" s="1376"/>
      <c r="T162" s="1376"/>
      <c r="U162" s="1376"/>
      <c r="V162" s="1376"/>
      <c r="W162" s="1376"/>
      <c r="X162" s="1376"/>
      <c r="Y162" s="1376"/>
      <c r="Z162" s="1376"/>
      <c r="AA162" s="1376"/>
      <c r="AB162" s="1376"/>
      <c r="AC162" s="137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973</v>
      </c>
      <c r="E164" s="1404" t="s">
        <v>1867</v>
      </c>
      <c r="F164" s="1376"/>
      <c r="G164" s="1376"/>
      <c r="H164" s="1376"/>
      <c r="I164" s="1376"/>
      <c r="J164" s="1376"/>
      <c r="K164" s="1376"/>
      <c r="L164" s="1376"/>
      <c r="M164" s="1376"/>
      <c r="N164" s="1376"/>
      <c r="O164" s="1376"/>
      <c r="P164" s="1376"/>
      <c r="Q164" s="1376"/>
      <c r="R164" s="1376"/>
      <c r="S164" s="1376"/>
      <c r="T164" s="1376"/>
      <c r="U164" s="1376"/>
      <c r="V164" s="1376"/>
      <c r="W164" s="1376"/>
      <c r="X164" s="1376"/>
      <c r="Y164" s="1376"/>
      <c r="Z164" s="1376"/>
      <c r="AA164" s="1376"/>
      <c r="AB164" s="1376"/>
      <c r="AC164" s="1376"/>
      <c r="AE164" s="340"/>
      <c r="AF164" s="1115" t="s">
        <v>1792</v>
      </c>
      <c r="AG164" s="1376"/>
      <c r="AH164" s="1376"/>
      <c r="AI164" s="1376"/>
      <c r="AJ164" s="1376"/>
      <c r="AK164" s="1376"/>
      <c r="AL164" s="1376"/>
      <c r="AN164" s="279"/>
    </row>
    <row r="165" spans="1:42" s="4" customFormat="1" ht="12.75" customHeight="1">
      <c r="B165" s="5"/>
      <c r="C165" s="45"/>
      <c r="E165" s="1376"/>
      <c r="F165" s="1376"/>
      <c r="G165" s="1376"/>
      <c r="H165" s="1376"/>
      <c r="I165" s="1376"/>
      <c r="J165" s="1376"/>
      <c r="K165" s="1376"/>
      <c r="L165" s="1376"/>
      <c r="M165" s="1376"/>
      <c r="N165" s="1376"/>
      <c r="O165" s="1376"/>
      <c r="P165" s="1376"/>
      <c r="Q165" s="1376"/>
      <c r="R165" s="1376"/>
      <c r="S165" s="1376"/>
      <c r="T165" s="1376"/>
      <c r="U165" s="1376"/>
      <c r="V165" s="1376"/>
      <c r="W165" s="1376"/>
      <c r="X165" s="1376"/>
      <c r="Y165" s="1376"/>
      <c r="Z165" s="1376"/>
      <c r="AA165" s="1376"/>
      <c r="AB165" s="1376"/>
      <c r="AC165" s="1376"/>
      <c r="AE165" s="1115"/>
      <c r="AF165" s="1376"/>
      <c r="AG165" s="1376"/>
      <c r="AH165" s="1376"/>
      <c r="AI165" s="1376"/>
      <c r="AJ165" s="1376"/>
      <c r="AK165" s="1376"/>
      <c r="AL165" s="958"/>
      <c r="AN165" s="279"/>
    </row>
    <row r="166" spans="1:42" s="4" customFormat="1" ht="12.75" customHeight="1">
      <c r="A166" s="118"/>
      <c r="D166" s="26"/>
      <c r="E166" s="1376"/>
      <c r="F166" s="1376"/>
      <c r="G166" s="1376"/>
      <c r="H166" s="1376"/>
      <c r="I166" s="1376"/>
      <c r="J166" s="1376"/>
      <c r="K166" s="1376"/>
      <c r="L166" s="1376"/>
      <c r="M166" s="1376"/>
      <c r="N166" s="1376"/>
      <c r="O166" s="1376"/>
      <c r="P166" s="1376"/>
      <c r="Q166" s="1376"/>
      <c r="R166" s="1376"/>
      <c r="S166" s="1376"/>
      <c r="T166" s="1376"/>
      <c r="U166" s="1376"/>
      <c r="V166" s="1376"/>
      <c r="W166" s="1376"/>
      <c r="X166" s="1376"/>
      <c r="Y166" s="1376"/>
      <c r="Z166" s="1376"/>
      <c r="AA166" s="1376"/>
      <c r="AB166" s="1376"/>
      <c r="AC166" s="137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1830</v>
      </c>
      <c r="E168" s="1404" t="s">
        <v>1868</v>
      </c>
      <c r="F168" s="1376"/>
      <c r="G168" s="1376"/>
      <c r="H168" s="1376"/>
      <c r="I168" s="1376"/>
      <c r="J168" s="1376"/>
      <c r="K168" s="1376"/>
      <c r="L168" s="1376"/>
      <c r="M168" s="1376"/>
      <c r="N168" s="1376"/>
      <c r="O168" s="1376"/>
      <c r="P168" s="1376"/>
      <c r="Q168" s="1376"/>
      <c r="R168" s="1376"/>
      <c r="S168" s="1376"/>
      <c r="T168" s="1376"/>
      <c r="U168" s="1376"/>
      <c r="V168" s="1376"/>
      <c r="W168" s="1376"/>
      <c r="X168" s="1376"/>
      <c r="Y168" s="1376"/>
      <c r="Z168" s="1376"/>
      <c r="AA168" s="1376"/>
      <c r="AB168" s="1376"/>
      <c r="AC168" s="1376"/>
      <c r="AE168" s="340"/>
      <c r="AF168" s="1115" t="s">
        <v>1835</v>
      </c>
      <c r="AG168" s="1376"/>
      <c r="AH168" s="1376"/>
      <c r="AI168" s="1376"/>
      <c r="AJ168" s="1376"/>
      <c r="AK168" s="1376"/>
      <c r="AL168" s="1376"/>
      <c r="AN168" s="279"/>
    </row>
    <row r="169" spans="1:42" s="4" customFormat="1" ht="12.75" customHeight="1">
      <c r="A169" s="109"/>
      <c r="B169" s="5"/>
      <c r="C169" s="124"/>
      <c r="D169" s="26"/>
      <c r="E169" s="1376"/>
      <c r="F169" s="1376"/>
      <c r="G169" s="1376"/>
      <c r="H169" s="1376"/>
      <c r="I169" s="1376"/>
      <c r="J169" s="1376"/>
      <c r="K169" s="1376"/>
      <c r="L169" s="1376"/>
      <c r="M169" s="1376"/>
      <c r="N169" s="1376"/>
      <c r="O169" s="1376"/>
      <c r="P169" s="1376"/>
      <c r="Q169" s="1376"/>
      <c r="R169" s="1376"/>
      <c r="S169" s="1376"/>
      <c r="T169" s="1376"/>
      <c r="U169" s="1376"/>
      <c r="V169" s="1376"/>
      <c r="W169" s="1376"/>
      <c r="X169" s="1376"/>
      <c r="Y169" s="1376"/>
      <c r="Z169" s="1376"/>
      <c r="AA169" s="1376"/>
      <c r="AB169" s="1376"/>
      <c r="AC169" s="1376"/>
      <c r="AE169" s="958"/>
      <c r="AF169" s="958"/>
      <c r="AG169" s="958"/>
      <c r="AH169" s="958"/>
      <c r="AI169" s="958"/>
      <c r="AJ169" s="958"/>
      <c r="AK169" s="958"/>
      <c r="AL169" s="958"/>
      <c r="AM169" s="20"/>
      <c r="AN169" s="279"/>
      <c r="AO169" s="4" t="s">
        <v>155</v>
      </c>
      <c r="AP169" s="469">
        <v>0</v>
      </c>
    </row>
    <row r="170" spans="1:42" s="4" customFormat="1" ht="12.75" customHeight="1">
      <c r="A170" s="109"/>
      <c r="B170" s="5"/>
      <c r="C170" s="124"/>
      <c r="D170" s="26"/>
      <c r="E170" s="1376"/>
      <c r="F170" s="1376"/>
      <c r="G170" s="1376"/>
      <c r="H170" s="1376"/>
      <c r="I170" s="1376"/>
      <c r="J170" s="1376"/>
      <c r="K170" s="1376"/>
      <c r="L170" s="1376"/>
      <c r="M170" s="1376"/>
      <c r="N170" s="1376"/>
      <c r="O170" s="1376"/>
      <c r="P170" s="1376"/>
      <c r="Q170" s="1376"/>
      <c r="R170" s="1376"/>
      <c r="S170" s="1376"/>
      <c r="T170" s="1376"/>
      <c r="U170" s="1376"/>
      <c r="V170" s="1376"/>
      <c r="W170" s="1376"/>
      <c r="X170" s="1376"/>
      <c r="Y170" s="1376"/>
      <c r="Z170" s="1376"/>
      <c r="AA170" s="1376"/>
      <c r="AB170" s="1376"/>
      <c r="AC170" s="1376"/>
      <c r="AE170" s="958"/>
      <c r="AF170" s="958"/>
      <c r="AG170" s="958"/>
      <c r="AH170" s="958"/>
      <c r="AI170" s="958"/>
      <c r="AJ170" s="958"/>
      <c r="AK170" s="958"/>
      <c r="AL170" s="958"/>
      <c r="AM170" s="20"/>
      <c r="AN170" s="279"/>
      <c r="AO170" s="26" t="s">
        <v>907</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58"/>
      <c r="AM171" s="20"/>
      <c r="AN171" s="279"/>
      <c r="AO171" s="26" t="s">
        <v>956</v>
      </c>
      <c r="AP171" s="125">
        <v>4</v>
      </c>
    </row>
    <row r="172" spans="1:42" s="4" customFormat="1" ht="12.75" customHeight="1">
      <c r="B172" s="5"/>
      <c r="C172" s="45"/>
      <c r="D172" s="26" t="s">
        <v>1832</v>
      </c>
      <c r="E172" s="1404" t="s">
        <v>1869</v>
      </c>
      <c r="F172" s="1376"/>
      <c r="G172" s="1376"/>
      <c r="H172" s="1376"/>
      <c r="I172" s="1376"/>
      <c r="J172" s="1376"/>
      <c r="K172" s="1376"/>
      <c r="L172" s="1376"/>
      <c r="M172" s="1376"/>
      <c r="N172" s="1376"/>
      <c r="O172" s="1376"/>
      <c r="P172" s="1376"/>
      <c r="Q172" s="1376"/>
      <c r="R172" s="1376"/>
      <c r="S172" s="1376"/>
      <c r="T172" s="1376"/>
      <c r="U172" s="1376"/>
      <c r="V172" s="1376"/>
      <c r="W172" s="1376"/>
      <c r="X172" s="1376"/>
      <c r="Y172" s="1376"/>
      <c r="Z172" s="1376"/>
      <c r="AA172" s="1376"/>
      <c r="AB172" s="1376"/>
      <c r="AC172" s="1376"/>
      <c r="AE172" s="340"/>
      <c r="AF172" s="1115" t="s">
        <v>1792</v>
      </c>
      <c r="AG172" s="1376"/>
      <c r="AH172" s="1376"/>
      <c r="AI172" s="1376"/>
      <c r="AJ172" s="1376"/>
      <c r="AK172" s="1376"/>
      <c r="AL172" s="1376"/>
      <c r="AM172" s="20"/>
      <c r="AN172" s="279"/>
      <c r="AO172" s="26" t="s">
        <v>973</v>
      </c>
      <c r="AP172" s="4">
        <v>3</v>
      </c>
    </row>
    <row r="173" spans="1:42" s="4" customFormat="1" ht="12.75" customHeight="1">
      <c r="B173" s="5"/>
      <c r="C173" s="45"/>
      <c r="D173" s="26"/>
      <c r="E173" s="1376"/>
      <c r="F173" s="1376"/>
      <c r="G173" s="1376"/>
      <c r="H173" s="1376"/>
      <c r="I173" s="1376"/>
      <c r="J173" s="1376"/>
      <c r="K173" s="1376"/>
      <c r="L173" s="1376"/>
      <c r="M173" s="1376"/>
      <c r="N173" s="1376"/>
      <c r="O173" s="1376"/>
      <c r="P173" s="1376"/>
      <c r="Q173" s="1376"/>
      <c r="R173" s="1376"/>
      <c r="S173" s="1376"/>
      <c r="T173" s="1376"/>
      <c r="U173" s="1376"/>
      <c r="V173" s="1376"/>
      <c r="W173" s="1376"/>
      <c r="X173" s="1376"/>
      <c r="Y173" s="1376"/>
      <c r="Z173" s="1376"/>
      <c r="AA173" s="1376"/>
      <c r="AB173" s="1376"/>
      <c r="AC173" s="1376"/>
      <c r="AE173" s="340"/>
      <c r="AF173" s="354"/>
      <c r="AG173" s="340"/>
      <c r="AH173" s="340"/>
      <c r="AI173" s="340"/>
      <c r="AJ173" s="340"/>
      <c r="AK173" s="340"/>
      <c r="AL173" s="340"/>
      <c r="AM173" s="20"/>
      <c r="AN173" s="279"/>
      <c r="AO173" s="26" t="s">
        <v>1830</v>
      </c>
      <c r="AP173" s="125">
        <v>4</v>
      </c>
    </row>
    <row r="174" spans="1:42" s="4" customFormat="1" ht="12.75" customHeight="1">
      <c r="B174" s="5"/>
      <c r="C174" s="45"/>
      <c r="D174" s="26"/>
      <c r="E174" s="1376"/>
      <c r="F174" s="1376"/>
      <c r="G174" s="1376"/>
      <c r="H174" s="1376"/>
      <c r="I174" s="1376"/>
      <c r="J174" s="1376"/>
      <c r="K174" s="1376"/>
      <c r="L174" s="1376"/>
      <c r="M174" s="1376"/>
      <c r="N174" s="1376"/>
      <c r="O174" s="1376"/>
      <c r="P174" s="1376"/>
      <c r="Q174" s="1376"/>
      <c r="R174" s="1376"/>
      <c r="S174" s="1376"/>
      <c r="T174" s="1376"/>
      <c r="U174" s="1376"/>
      <c r="V174" s="1376"/>
      <c r="W174" s="1376"/>
      <c r="X174" s="1376"/>
      <c r="Y174" s="1376"/>
      <c r="Z174" s="1376"/>
      <c r="AA174" s="1376"/>
      <c r="AB174" s="1376"/>
      <c r="AC174" s="1376"/>
      <c r="AE174" s="340"/>
      <c r="AF174" s="354"/>
      <c r="AG174" s="340"/>
      <c r="AH174" s="340"/>
      <c r="AI174" s="340"/>
      <c r="AJ174" s="340"/>
      <c r="AK174" s="340"/>
      <c r="AL174" s="340"/>
      <c r="AM174" s="20"/>
      <c r="AN174" s="279"/>
      <c r="AO174" s="26" t="s">
        <v>1832</v>
      </c>
      <c r="AP174" s="4">
        <v>3</v>
      </c>
    </row>
    <row r="175" spans="1:42" s="4" customFormat="1" ht="12.75" customHeight="1">
      <c r="B175" s="5"/>
      <c r="C175" s="45"/>
      <c r="D175" s="26"/>
      <c r="AE175" s="340"/>
      <c r="AF175" s="340"/>
      <c r="AG175" s="340"/>
      <c r="AH175" s="340"/>
      <c r="AI175" s="340"/>
      <c r="AJ175" s="340"/>
      <c r="AK175" s="340"/>
      <c r="AL175" s="340"/>
      <c r="AM175" s="20"/>
      <c r="AN175" s="279"/>
      <c r="AO175" s="26" t="s">
        <v>1870</v>
      </c>
      <c r="AP175" s="4">
        <v>2</v>
      </c>
    </row>
    <row r="176" spans="1:42" s="4" customFormat="1" ht="12.75" customHeight="1">
      <c r="A176" s="118"/>
      <c r="B176" s="5"/>
      <c r="C176" s="45"/>
      <c r="D176" s="26" t="s">
        <v>1870</v>
      </c>
      <c r="E176" s="1404" t="s">
        <v>1871</v>
      </c>
      <c r="F176" s="1376"/>
      <c r="G176" s="1376"/>
      <c r="H176" s="1376"/>
      <c r="I176" s="1376"/>
      <c r="J176" s="1376"/>
      <c r="K176" s="1376"/>
      <c r="L176" s="1376"/>
      <c r="M176" s="1376"/>
      <c r="N176" s="1376"/>
      <c r="O176" s="1376"/>
      <c r="P176" s="1376"/>
      <c r="Q176" s="1376"/>
      <c r="R176" s="1376"/>
      <c r="S176" s="1376"/>
      <c r="T176" s="1376"/>
      <c r="U176" s="1376"/>
      <c r="V176" s="1376"/>
      <c r="W176" s="1376"/>
      <c r="X176" s="1376"/>
      <c r="Y176" s="1376"/>
      <c r="Z176" s="1376"/>
      <c r="AA176" s="1376"/>
      <c r="AB176" s="1376"/>
      <c r="AC176" s="1376"/>
      <c r="AE176" s="340"/>
      <c r="AF176" s="1115" t="s">
        <v>1855</v>
      </c>
      <c r="AG176" s="1376"/>
      <c r="AH176" s="1376"/>
      <c r="AI176" s="1376"/>
      <c r="AJ176" s="1376"/>
      <c r="AK176" s="1376"/>
      <c r="AL176" s="1376"/>
      <c r="AM176" s="20"/>
      <c r="AN176" s="279"/>
      <c r="AO176" s="26" t="s">
        <v>1872</v>
      </c>
      <c r="AP176" s="4">
        <v>1</v>
      </c>
    </row>
    <row r="177" spans="1:61" s="4" customFormat="1" ht="22.9" customHeight="1">
      <c r="A177" s="118"/>
      <c r="B177" s="5"/>
      <c r="C177" s="45"/>
      <c r="D177" s="26"/>
      <c r="E177" s="1376"/>
      <c r="F177" s="1376"/>
      <c r="G177" s="1376"/>
      <c r="H177" s="1376"/>
      <c r="I177" s="1376"/>
      <c r="J177" s="1376"/>
      <c r="K177" s="1376"/>
      <c r="L177" s="1376"/>
      <c r="M177" s="1376"/>
      <c r="N177" s="1376"/>
      <c r="O177" s="1376"/>
      <c r="P177" s="1376"/>
      <c r="Q177" s="1376"/>
      <c r="R177" s="1376"/>
      <c r="S177" s="1376"/>
      <c r="T177" s="1376"/>
      <c r="U177" s="1376"/>
      <c r="V177" s="1376"/>
      <c r="W177" s="1376"/>
      <c r="X177" s="1376"/>
      <c r="Y177" s="1376"/>
      <c r="Z177" s="1376"/>
      <c r="AA177" s="1376"/>
      <c r="AB177" s="1376"/>
      <c r="AC177" s="1376"/>
      <c r="AE177" s="958"/>
      <c r="AF177" s="958"/>
      <c r="AG177" s="958"/>
      <c r="AH177" s="958"/>
      <c r="AI177" s="958"/>
      <c r="AJ177" s="958"/>
      <c r="AK177" s="958"/>
      <c r="AL177" s="958"/>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58"/>
      <c r="AF178" s="340"/>
      <c r="AG178" s="340"/>
      <c r="AH178" s="340"/>
      <c r="AI178" s="340"/>
      <c r="AJ178" s="340"/>
      <c r="AK178" s="340"/>
      <c r="AL178" s="340"/>
      <c r="AM178" s="20"/>
      <c r="AN178" s="279"/>
    </row>
    <row r="179" spans="1:61" s="4" customFormat="1" ht="12.75" customHeight="1">
      <c r="A179" s="118"/>
      <c r="B179" s="5"/>
      <c r="C179" s="45"/>
      <c r="D179" s="26" t="s">
        <v>1872</v>
      </c>
      <c r="E179" s="1404" t="s">
        <v>1873</v>
      </c>
      <c r="F179" s="1376"/>
      <c r="G179" s="1376"/>
      <c r="H179" s="1376"/>
      <c r="I179" s="1376"/>
      <c r="J179" s="1376"/>
      <c r="K179" s="1376"/>
      <c r="L179" s="1376"/>
      <c r="M179" s="1376"/>
      <c r="N179" s="1376"/>
      <c r="O179" s="1376"/>
      <c r="P179" s="1376"/>
      <c r="Q179" s="1376"/>
      <c r="R179" s="1376"/>
      <c r="S179" s="1376"/>
      <c r="T179" s="1376"/>
      <c r="U179" s="1376"/>
      <c r="V179" s="1376"/>
      <c r="W179" s="1376"/>
      <c r="X179" s="1376"/>
      <c r="Y179" s="1376"/>
      <c r="Z179" s="1376"/>
      <c r="AA179" s="1376"/>
      <c r="AB179" s="1376"/>
      <c r="AC179" s="1376"/>
      <c r="AE179" s="340"/>
      <c r="AF179" s="1115" t="s">
        <v>1874</v>
      </c>
      <c r="AG179" s="1376"/>
      <c r="AH179" s="1376"/>
      <c r="AI179" s="1376"/>
      <c r="AJ179" s="1376"/>
      <c r="AK179" s="1376"/>
      <c r="AL179" s="1376"/>
      <c r="AM179" s="20"/>
      <c r="AN179" s="279"/>
    </row>
    <row r="180" spans="1:61" s="4" customFormat="1" ht="22.9" customHeight="1">
      <c r="A180" s="118"/>
      <c r="B180" s="5"/>
      <c r="C180" s="45"/>
      <c r="D180" s="26"/>
      <c r="E180" s="1376"/>
      <c r="F180" s="1376"/>
      <c r="G180" s="1376"/>
      <c r="H180" s="1376"/>
      <c r="I180" s="1376"/>
      <c r="J180" s="1376"/>
      <c r="K180" s="1376"/>
      <c r="L180" s="1376"/>
      <c r="M180" s="1376"/>
      <c r="N180" s="1376"/>
      <c r="O180" s="1376"/>
      <c r="P180" s="1376"/>
      <c r="Q180" s="1376"/>
      <c r="R180" s="1376"/>
      <c r="S180" s="1376"/>
      <c r="T180" s="1376"/>
      <c r="U180" s="1376"/>
      <c r="V180" s="1376"/>
      <c r="W180" s="1376"/>
      <c r="X180" s="1376"/>
      <c r="Y180" s="1376"/>
      <c r="Z180" s="1376"/>
      <c r="AA180" s="1376"/>
      <c r="AB180" s="1376"/>
      <c r="AC180" s="1376"/>
      <c r="AE180" s="958"/>
      <c r="AF180" s="958"/>
      <c r="AG180" s="958"/>
      <c r="AH180" s="958"/>
      <c r="AI180" s="958"/>
      <c r="AJ180" s="958"/>
      <c r="AK180" s="958"/>
      <c r="AL180" s="958"/>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1842</v>
      </c>
      <c r="E182" s="114"/>
      <c r="F182" s="114"/>
      <c r="G182" s="114"/>
      <c r="H182" s="1409" t="s">
        <v>155</v>
      </c>
      <c r="I182" s="106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1875</v>
      </c>
      <c r="AJ184" s="1065">
        <f>VLOOKUP($H$182,$AO$169:$AP$176,2,FALSE)</f>
        <v>0</v>
      </c>
      <c r="AK184" s="974"/>
      <c r="AL184" s="10"/>
      <c r="AN184" s="279"/>
      <c r="AU184" s="948"/>
      <c r="AV184" s="956"/>
      <c r="AW184" s="956"/>
      <c r="AX184" s="956"/>
      <c r="AY184" s="956"/>
      <c r="AZ184" s="956"/>
      <c r="BA184" s="956"/>
      <c r="BB184" s="956"/>
      <c r="BC184" s="956"/>
      <c r="BD184" s="956"/>
      <c r="BE184" s="956"/>
      <c r="BF184" s="956"/>
      <c r="BG184" s="956"/>
      <c r="BH184" s="956"/>
      <c r="BI184" s="957"/>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6"/>
      <c r="AV185" s="956"/>
      <c r="AW185" s="956"/>
      <c r="AX185" s="956"/>
      <c r="AY185" s="956"/>
      <c r="AZ185" s="956"/>
      <c r="BA185" s="956"/>
      <c r="BB185" s="956"/>
      <c r="BC185" s="956"/>
      <c r="BD185" s="956"/>
      <c r="BE185" s="956"/>
      <c r="BF185" s="956"/>
      <c r="BG185" s="956"/>
      <c r="BH185" s="956"/>
      <c r="BI185" s="957"/>
    </row>
    <row r="186" spans="1:61" s="4" customFormat="1" ht="12.75" customHeight="1">
      <c r="A186" s="118"/>
      <c r="C186" s="3" t="s">
        <v>1876</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907</v>
      </c>
      <c r="E188" s="1451" t="s">
        <v>1877</v>
      </c>
      <c r="F188" s="1376"/>
      <c r="G188" s="1376"/>
      <c r="H188" s="1376"/>
      <c r="I188" s="1376"/>
      <c r="J188" s="1376"/>
      <c r="K188" s="1376"/>
      <c r="L188" s="1376"/>
      <c r="M188" s="1376"/>
      <c r="N188" s="1376"/>
      <c r="O188" s="1376"/>
      <c r="P188" s="1376"/>
      <c r="Q188" s="1376"/>
      <c r="R188" s="1376"/>
      <c r="S188" s="1376"/>
      <c r="T188" s="1376"/>
      <c r="U188" s="1376"/>
      <c r="V188" s="1376"/>
      <c r="W188" s="1376"/>
      <c r="X188" s="1376"/>
      <c r="Y188" s="1376"/>
      <c r="Z188" s="1376"/>
      <c r="AA188" s="1376"/>
      <c r="AB188" s="1376"/>
      <c r="AD188" s="5"/>
      <c r="AF188" s="1462" t="s">
        <v>1792</v>
      </c>
      <c r="AG188" s="1376"/>
      <c r="AH188" s="1376"/>
      <c r="AI188" s="1376"/>
      <c r="AJ188" s="1376"/>
      <c r="AK188" s="1376"/>
      <c r="AL188" s="1376"/>
      <c r="AN188" s="279"/>
    </row>
    <row r="189" spans="1:61" s="4" customFormat="1" ht="12.75" customHeight="1">
      <c r="A189" s="118"/>
      <c r="B189" s="5"/>
      <c r="C189" s="128"/>
      <c r="D189" s="26"/>
      <c r="E189" s="1376"/>
      <c r="F189" s="1376"/>
      <c r="G189" s="1376"/>
      <c r="H189" s="1376"/>
      <c r="I189" s="1376"/>
      <c r="J189" s="1376"/>
      <c r="K189" s="1376"/>
      <c r="L189" s="1376"/>
      <c r="M189" s="1376"/>
      <c r="N189" s="1376"/>
      <c r="O189" s="1376"/>
      <c r="P189" s="1376"/>
      <c r="Q189" s="1376"/>
      <c r="R189" s="1376"/>
      <c r="S189" s="1376"/>
      <c r="T189" s="1376"/>
      <c r="U189" s="1376"/>
      <c r="V189" s="1376"/>
      <c r="W189" s="1376"/>
      <c r="X189" s="1376"/>
      <c r="Y189" s="1376"/>
      <c r="Z189" s="1376"/>
      <c r="AA189" s="1376"/>
      <c r="AB189" s="1376"/>
      <c r="AD189" s="5"/>
      <c r="AF189" s="1376"/>
      <c r="AG189" s="1376"/>
      <c r="AH189" s="1376"/>
      <c r="AI189" s="1376"/>
      <c r="AJ189" s="1376"/>
      <c r="AK189" s="1376"/>
      <c r="AL189" s="1376"/>
      <c r="AN189" s="279"/>
    </row>
    <row r="190" spans="1:61" s="4" customFormat="1" ht="12.75" customHeight="1">
      <c r="A190" s="118"/>
      <c r="B190" s="5"/>
      <c r="C190" s="128"/>
      <c r="D190" s="26"/>
      <c r="AD190" s="5"/>
      <c r="AN190" s="279"/>
      <c r="AO190" s="4" t="s">
        <v>155</v>
      </c>
      <c r="AP190" s="35">
        <v>0</v>
      </c>
    </row>
    <row r="191" spans="1:61" s="4" customFormat="1" ht="12.75" customHeight="1">
      <c r="C191" s="45"/>
      <c r="D191" s="26" t="s">
        <v>956</v>
      </c>
      <c r="E191" s="1404" t="s">
        <v>1878</v>
      </c>
      <c r="F191" s="1376"/>
      <c r="G191" s="1376"/>
      <c r="H191" s="1376"/>
      <c r="I191" s="1376"/>
      <c r="J191" s="1376"/>
      <c r="K191" s="1376"/>
      <c r="L191" s="1376"/>
      <c r="M191" s="1376"/>
      <c r="N191" s="1376"/>
      <c r="O191" s="1376"/>
      <c r="P191" s="1376"/>
      <c r="Q191" s="1376"/>
      <c r="R191" s="1376"/>
      <c r="S191" s="1376"/>
      <c r="T191" s="1376"/>
      <c r="U191" s="1376"/>
      <c r="V191" s="1376"/>
      <c r="W191" s="1376"/>
      <c r="X191" s="1376"/>
      <c r="Y191" s="1376"/>
      <c r="Z191" s="1376"/>
      <c r="AA191" s="1376"/>
      <c r="AB191" s="1376"/>
      <c r="AF191" s="1115" t="s">
        <v>1792</v>
      </c>
      <c r="AG191" s="1376"/>
      <c r="AH191" s="1376"/>
      <c r="AI191" s="1376"/>
      <c r="AJ191" s="1376"/>
      <c r="AK191" s="1376"/>
      <c r="AL191" s="1376"/>
      <c r="AN191" s="279"/>
      <c r="AO191" s="26" t="s">
        <v>907</v>
      </c>
      <c r="AP191" s="4">
        <v>3</v>
      </c>
    </row>
    <row r="192" spans="1:61" s="4" customFormat="1" ht="12.75" customHeight="1">
      <c r="B192" s="5"/>
      <c r="C192" s="119"/>
      <c r="E192" s="1376"/>
      <c r="F192" s="1376"/>
      <c r="G192" s="1376"/>
      <c r="H192" s="1376"/>
      <c r="I192" s="1376"/>
      <c r="J192" s="1376"/>
      <c r="K192" s="1376"/>
      <c r="L192" s="1376"/>
      <c r="M192" s="1376"/>
      <c r="N192" s="1376"/>
      <c r="O192" s="1376"/>
      <c r="P192" s="1376"/>
      <c r="Q192" s="1376"/>
      <c r="R192" s="1376"/>
      <c r="S192" s="1376"/>
      <c r="T192" s="1376"/>
      <c r="U192" s="1376"/>
      <c r="V192" s="1376"/>
      <c r="W192" s="1376"/>
      <c r="X192" s="1376"/>
      <c r="Y192" s="1376"/>
      <c r="Z192" s="1376"/>
      <c r="AA192" s="1376"/>
      <c r="AB192" s="1376"/>
      <c r="AE192" s="19"/>
      <c r="AF192" s="1376"/>
      <c r="AG192" s="1376"/>
      <c r="AH192" s="1376"/>
      <c r="AI192" s="1376"/>
      <c r="AJ192" s="1376"/>
      <c r="AK192" s="1376"/>
      <c r="AL192" s="1376"/>
      <c r="AN192" s="279"/>
      <c r="AO192" s="26" t="s">
        <v>956</v>
      </c>
      <c r="AP192" s="26">
        <f>3*$AO$197</f>
        <v>0</v>
      </c>
    </row>
    <row r="193" spans="1:53" s="4" customFormat="1" ht="12.75" customHeight="1">
      <c r="B193" s="5"/>
      <c r="C193" s="119"/>
      <c r="E193" s="1376"/>
      <c r="F193" s="1376"/>
      <c r="G193" s="1376"/>
      <c r="H193" s="1376"/>
      <c r="I193" s="1376"/>
      <c r="J193" s="1376"/>
      <c r="K193" s="1376"/>
      <c r="L193" s="1376"/>
      <c r="M193" s="1376"/>
      <c r="N193" s="1376"/>
      <c r="O193" s="1376"/>
      <c r="P193" s="1376"/>
      <c r="Q193" s="1376"/>
      <c r="R193" s="1376"/>
      <c r="S193" s="1376"/>
      <c r="T193" s="1376"/>
      <c r="U193" s="1376"/>
      <c r="V193" s="1376"/>
      <c r="W193" s="1376"/>
      <c r="X193" s="1376"/>
      <c r="Y193" s="1376"/>
      <c r="Z193" s="1376"/>
      <c r="AA193" s="1376"/>
      <c r="AB193" s="1376"/>
      <c r="AE193" s="19"/>
      <c r="AF193" s="100"/>
      <c r="AG193" s="19"/>
      <c r="AH193" s="19"/>
      <c r="AI193" s="19"/>
      <c r="AJ193" s="19"/>
      <c r="AK193" s="19"/>
      <c r="AL193" s="19"/>
      <c r="AN193" s="279"/>
      <c r="AO193" s="4" t="s">
        <v>973</v>
      </c>
      <c r="AP193" s="26">
        <f>2*$AO$197</f>
        <v>0</v>
      </c>
    </row>
    <row r="194" spans="1:53" s="4" customFormat="1" ht="6.75" customHeight="1">
      <c r="B194" s="5"/>
      <c r="C194" s="119"/>
      <c r="E194" s="1376"/>
      <c r="F194" s="1376"/>
      <c r="G194" s="1376"/>
      <c r="H194" s="1376"/>
      <c r="I194" s="1376"/>
      <c r="J194" s="1376"/>
      <c r="K194" s="1376"/>
      <c r="L194" s="1376"/>
      <c r="M194" s="1376"/>
      <c r="N194" s="1376"/>
      <c r="O194" s="1376"/>
      <c r="P194" s="1376"/>
      <c r="Q194" s="1376"/>
      <c r="R194" s="1376"/>
      <c r="S194" s="1376"/>
      <c r="T194" s="1376"/>
      <c r="U194" s="1376"/>
      <c r="V194" s="1376"/>
      <c r="W194" s="1376"/>
      <c r="X194" s="1376"/>
      <c r="Y194" s="1376"/>
      <c r="Z194" s="1376"/>
      <c r="AA194" s="1376"/>
      <c r="AB194" s="137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973</v>
      </c>
      <c r="E196" s="1404" t="s">
        <v>1879</v>
      </c>
      <c r="F196" s="1376"/>
      <c r="G196" s="1376"/>
      <c r="H196" s="1376"/>
      <c r="I196" s="1376"/>
      <c r="J196" s="1376"/>
      <c r="K196" s="1376"/>
      <c r="L196" s="1376"/>
      <c r="M196" s="1376"/>
      <c r="N196" s="1376"/>
      <c r="O196" s="1376"/>
      <c r="P196" s="1376"/>
      <c r="Q196" s="1376"/>
      <c r="R196" s="1376"/>
      <c r="S196" s="1376"/>
      <c r="T196" s="1376"/>
      <c r="U196" s="1376"/>
      <c r="V196" s="1376"/>
      <c r="W196" s="1376"/>
      <c r="X196" s="1376"/>
      <c r="Y196" s="1376"/>
      <c r="Z196" s="1376"/>
      <c r="AA196" s="1376"/>
      <c r="AB196" s="1376"/>
      <c r="AF196" s="1115" t="s">
        <v>1855</v>
      </c>
      <c r="AG196" s="1376"/>
      <c r="AH196" s="1376"/>
      <c r="AI196" s="1376"/>
      <c r="AJ196" s="1376"/>
      <c r="AK196" s="1376"/>
      <c r="AL196" s="1376"/>
      <c r="AN196" s="279"/>
      <c r="AY196" s="4" t="s">
        <v>1880</v>
      </c>
      <c r="AZ196" s="950">
        <f>Application!S215</f>
        <v>0</v>
      </c>
    </row>
    <row r="197" spans="1:53" s="4" customFormat="1" ht="12.75" customHeight="1">
      <c r="B197" s="5"/>
      <c r="C197" s="45"/>
      <c r="E197" s="1376"/>
      <c r="F197" s="1376"/>
      <c r="G197" s="1376"/>
      <c r="H197" s="1376"/>
      <c r="I197" s="1376"/>
      <c r="J197" s="1376"/>
      <c r="K197" s="1376"/>
      <c r="L197" s="1376"/>
      <c r="M197" s="1376"/>
      <c r="N197" s="1376"/>
      <c r="O197" s="1376"/>
      <c r="P197" s="1376"/>
      <c r="Q197" s="1376"/>
      <c r="R197" s="1376"/>
      <c r="S197" s="1376"/>
      <c r="T197" s="1376"/>
      <c r="U197" s="1376"/>
      <c r="V197" s="1376"/>
      <c r="W197" s="1376"/>
      <c r="X197" s="1376"/>
      <c r="Y197" s="1376"/>
      <c r="Z197" s="1376"/>
      <c r="AA197" s="1376"/>
      <c r="AB197" s="1376"/>
      <c r="AD197" s="5"/>
      <c r="AE197" s="19"/>
      <c r="AF197" s="1376"/>
      <c r="AG197" s="1376"/>
      <c r="AH197" s="1376"/>
      <c r="AI197" s="1376"/>
      <c r="AJ197" s="1376"/>
      <c r="AK197" s="1376"/>
      <c r="AL197" s="1376"/>
      <c r="AN197" s="279"/>
      <c r="AO197" s="125" t="b">
        <f>IF(OR(Application!D214="Special Needs",Application!D211="At-Risk and Special Needs"),IF(BA203&gt;=0.25,TRUE,FALSE),IF(AZ203&gt;=0.25,TRUE,FALSE))</f>
        <v>0</v>
      </c>
      <c r="AY197" s="4" t="s">
        <v>1881</v>
      </c>
      <c r="AZ197" s="950">
        <f>Application!G738</f>
        <v>38</v>
      </c>
    </row>
    <row r="198" spans="1:53" s="4" customFormat="1" ht="12.75" customHeight="1">
      <c r="B198" s="5"/>
      <c r="C198" s="45"/>
      <c r="E198" s="1376"/>
      <c r="F198" s="1376"/>
      <c r="G198" s="1376"/>
      <c r="H198" s="1376"/>
      <c r="I198" s="1376"/>
      <c r="J198" s="1376"/>
      <c r="K198" s="1376"/>
      <c r="L198" s="1376"/>
      <c r="M198" s="1376"/>
      <c r="N198" s="1376"/>
      <c r="O198" s="1376"/>
      <c r="P198" s="1376"/>
      <c r="Q198" s="1376"/>
      <c r="R198" s="1376"/>
      <c r="S198" s="1376"/>
      <c r="T198" s="1376"/>
      <c r="U198" s="1376"/>
      <c r="V198" s="1376"/>
      <c r="W198" s="1376"/>
      <c r="X198" s="1376"/>
      <c r="Y198" s="1376"/>
      <c r="Z198" s="1376"/>
      <c r="AA198" s="1376"/>
      <c r="AB198" s="1376"/>
      <c r="AD198" s="5"/>
      <c r="AE198" s="19"/>
      <c r="AN198" s="279"/>
      <c r="AY198" s="4" t="s">
        <v>1882</v>
      </c>
      <c r="AZ198" s="4">
        <f>Application!CC634</f>
        <v>0</v>
      </c>
    </row>
    <row r="199" spans="1:53" ht="12.75" customHeight="1">
      <c r="A199" s="4"/>
      <c r="B199" s="5"/>
      <c r="C199" s="45"/>
      <c r="D199" s="4"/>
      <c r="E199" s="1184"/>
      <c r="F199" s="1184"/>
      <c r="G199" s="1184"/>
      <c r="H199" s="1184"/>
      <c r="I199" s="1184"/>
      <c r="J199" s="1184"/>
      <c r="K199" s="1184"/>
      <c r="L199" s="1184"/>
      <c r="M199" s="1184"/>
      <c r="N199" s="1184"/>
      <c r="O199" s="1184"/>
      <c r="P199" s="1184"/>
      <c r="Q199" s="1184"/>
      <c r="R199" s="1184"/>
      <c r="S199" s="1184"/>
      <c r="T199" s="1184"/>
      <c r="U199" s="1184"/>
      <c r="V199" s="1184"/>
      <c r="W199" s="1184"/>
      <c r="X199" s="1184"/>
      <c r="Y199" s="1184"/>
      <c r="Z199" s="1184"/>
      <c r="AA199" s="1184"/>
      <c r="AB199" s="1184"/>
      <c r="AC199" s="4"/>
      <c r="AD199" s="5"/>
      <c r="AE199" s="19"/>
      <c r="AF199" s="19"/>
      <c r="AG199" s="19"/>
      <c r="AH199" s="19"/>
      <c r="AI199" s="19"/>
      <c r="AJ199" s="4"/>
      <c r="AK199" s="4"/>
      <c r="AL199" s="4"/>
      <c r="AM199" s="4"/>
      <c r="AN199" s="202"/>
      <c r="AY199" s="4" t="s">
        <v>1883</v>
      </c>
      <c r="AZ199">
        <f>Application!CH634</f>
        <v>0</v>
      </c>
    </row>
    <row r="200" spans="1:53"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row>
    <row r="201" spans="1:53" ht="12.75" customHeight="1">
      <c r="A201" s="4"/>
      <c r="B201" s="5"/>
      <c r="C201" s="45"/>
      <c r="D201" s="4"/>
      <c r="E201" s="1443" t="s">
        <v>1884</v>
      </c>
      <c r="F201" s="1184"/>
      <c r="G201" s="1184"/>
      <c r="H201" s="1184"/>
      <c r="I201" s="1184"/>
      <c r="J201" s="1184"/>
      <c r="K201" s="1184"/>
      <c r="L201" s="1184"/>
      <c r="M201" s="1184"/>
      <c r="N201" s="1184"/>
      <c r="O201" s="1184"/>
      <c r="P201" s="1184"/>
      <c r="Q201" s="1184"/>
      <c r="R201" s="1184"/>
      <c r="S201" s="1184"/>
      <c r="T201" s="1184"/>
      <c r="U201" s="1184"/>
      <c r="V201" s="1184"/>
      <c r="W201" s="1184"/>
      <c r="X201" s="1184"/>
      <c r="Y201" s="1184"/>
      <c r="Z201" s="1184"/>
      <c r="AA201" s="1184"/>
      <c r="AB201" s="1184"/>
      <c r="AC201" s="4"/>
      <c r="AD201" s="5"/>
      <c r="AE201" s="19"/>
      <c r="AF201" s="19"/>
      <c r="AG201" s="19"/>
      <c r="AH201" s="19"/>
      <c r="AI201" s="19"/>
      <c r="AJ201" s="4"/>
      <c r="AK201" s="4"/>
      <c r="AL201" s="4"/>
      <c r="AM201" s="4"/>
      <c r="AN201" s="202"/>
      <c r="AY201" s="4" t="s">
        <v>1885</v>
      </c>
      <c r="AZ201">
        <f>Application!CM634</f>
        <v>0</v>
      </c>
    </row>
    <row r="202" spans="1:53" ht="12.75" customHeight="1">
      <c r="A202" s="4"/>
      <c r="B202" s="5"/>
      <c r="C202" s="45"/>
      <c r="D202" s="4"/>
      <c r="E202" s="1184"/>
      <c r="F202" s="1184"/>
      <c r="G202" s="1184"/>
      <c r="H202" s="1184"/>
      <c r="I202" s="1184"/>
      <c r="J202" s="1184"/>
      <c r="K202" s="1184"/>
      <c r="L202" s="1184"/>
      <c r="M202" s="1184"/>
      <c r="N202" s="1184"/>
      <c r="O202" s="1184"/>
      <c r="P202" s="1184"/>
      <c r="Q202" s="1184"/>
      <c r="R202" s="1184"/>
      <c r="S202" s="1184"/>
      <c r="T202" s="1184"/>
      <c r="U202" s="1184"/>
      <c r="V202" s="1184"/>
      <c r="W202" s="1184"/>
      <c r="X202" s="1184"/>
      <c r="Y202" s="1184"/>
      <c r="Z202" s="1184"/>
      <c r="AA202" s="1184"/>
      <c r="AB202" s="1184"/>
      <c r="AC202" s="4"/>
      <c r="AD202" s="5"/>
      <c r="AE202" s="19"/>
      <c r="AF202" s="19"/>
      <c r="AG202" s="19"/>
      <c r="AH202" s="19"/>
      <c r="AI202" s="19"/>
      <c r="AJ202" s="4"/>
      <c r="AK202" s="4"/>
      <c r="AL202" s="4"/>
      <c r="AM202" s="4"/>
      <c r="AN202" s="202"/>
      <c r="AY202" s="4" t="s">
        <v>1886</v>
      </c>
      <c r="AZ202">
        <f>AZ198+AZ199+AZ201</f>
        <v>0</v>
      </c>
    </row>
    <row r="203" spans="1:53" ht="18" customHeight="1">
      <c r="A203" s="4"/>
      <c r="B203" s="5"/>
      <c r="C203" s="45"/>
      <c r="D203" s="4"/>
      <c r="E203" s="1184"/>
      <c r="F203" s="1184"/>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4"/>
      <c r="AD203" s="5"/>
      <c r="AE203" s="19"/>
      <c r="AF203" s="19"/>
      <c r="AG203" s="19"/>
      <c r="AH203" s="19"/>
      <c r="AI203" s="19"/>
      <c r="AJ203" s="4"/>
      <c r="AK203" s="4"/>
      <c r="AL203" s="4"/>
      <c r="AM203" s="4"/>
      <c r="AN203" s="202"/>
      <c r="AY203" s="4" t="s">
        <v>1887</v>
      </c>
      <c r="AZ203">
        <f>IFERROR(AZ202/AZ197,0)</f>
        <v>0</v>
      </c>
      <c r="BA203">
        <f>IFERROR(AZ202/(AZ197-AZ196),0)</f>
        <v>0</v>
      </c>
    </row>
    <row r="204" spans="1:53" ht="12.75" customHeight="1">
      <c r="A204" s="4"/>
      <c r="B204" s="5"/>
      <c r="C204" s="45"/>
      <c r="D204" s="4" t="s">
        <v>1842</v>
      </c>
      <c r="E204" s="114"/>
      <c r="F204" s="114"/>
      <c r="G204" s="114"/>
      <c r="H204" s="1409" t="s">
        <v>155</v>
      </c>
      <c r="I204" s="106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row>
    <row r="205" spans="1:53">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row>
    <row r="206" spans="1:53"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1888</v>
      </c>
      <c r="AJ206" s="1065">
        <f>VLOOKUP($H$204,$AO$190:$AP$193,2,FALSE)</f>
        <v>0</v>
      </c>
      <c r="AK206" s="974"/>
      <c r="AL206" s="10"/>
      <c r="AM206" s="4"/>
      <c r="AN206" s="202"/>
    </row>
    <row r="207" spans="1:53">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row>
    <row r="208" spans="1:53" ht="12.75" customHeight="1">
      <c r="A208" s="4"/>
      <c r="B208" s="4"/>
      <c r="C208" s="3" t="s">
        <v>1889</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row>
    <row r="209" spans="1:43"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row>
    <row r="210" spans="1:43" ht="12.75" customHeight="1">
      <c r="A210" s="35"/>
      <c r="B210" s="4"/>
      <c r="C210" s="45"/>
      <c r="D210" s="26" t="s">
        <v>907</v>
      </c>
      <c r="E210" s="1475" t="s">
        <v>1890</v>
      </c>
      <c r="F210" s="1184"/>
      <c r="G210" s="1184"/>
      <c r="H210" s="1184"/>
      <c r="I210" s="1184"/>
      <c r="J210" s="1184"/>
      <c r="K210" s="1184"/>
      <c r="L210" s="1184"/>
      <c r="M210" s="1184"/>
      <c r="N210" s="1184"/>
      <c r="O210" s="1184"/>
      <c r="P210" s="1184"/>
      <c r="Q210" s="1184"/>
      <c r="R210" s="1184"/>
      <c r="S210" s="1184"/>
      <c r="T210" s="1184"/>
      <c r="U210" s="1184"/>
      <c r="V210" s="1184"/>
      <c r="W210" s="1184"/>
      <c r="X210" s="1184"/>
      <c r="Y210" s="1184"/>
      <c r="Z210" s="1184"/>
      <c r="AA210" s="1184"/>
      <c r="AB210" s="1184"/>
      <c r="AC210" s="4"/>
      <c r="AD210" s="4"/>
      <c r="AF210" s="1452" t="s">
        <v>1792</v>
      </c>
      <c r="AG210" s="1184"/>
      <c r="AH210" s="1184"/>
      <c r="AI210" s="1184"/>
      <c r="AJ210" s="1184"/>
      <c r="AK210" s="1184"/>
      <c r="AL210" s="1184"/>
      <c r="AM210" s="4"/>
      <c r="AN210" s="202"/>
      <c r="AO210" s="4" t="s">
        <v>155</v>
      </c>
      <c r="AP210" s="469">
        <v>0</v>
      </c>
    </row>
    <row r="211" spans="1:43" ht="11.85" customHeight="1">
      <c r="A211" s="4"/>
      <c r="B211" s="5"/>
      <c r="C211" s="113"/>
      <c r="D211" s="26"/>
      <c r="E211" s="1184"/>
      <c r="F211" s="1184"/>
      <c r="G211" s="1184"/>
      <c r="H211" s="1184"/>
      <c r="I211" s="1184"/>
      <c r="J211" s="1184"/>
      <c r="K211" s="1184"/>
      <c r="L211" s="1184"/>
      <c r="M211" s="1184"/>
      <c r="N211" s="1184"/>
      <c r="O211" s="1184"/>
      <c r="P211" s="1184"/>
      <c r="Q211" s="1184"/>
      <c r="R211" s="1184"/>
      <c r="S211" s="1184"/>
      <c r="T211" s="1184"/>
      <c r="U211" s="1184"/>
      <c r="V211" s="1184"/>
      <c r="W211" s="1184"/>
      <c r="X211" s="1184"/>
      <c r="Y211" s="1184"/>
      <c r="Z211" s="1184"/>
      <c r="AA211" s="1184"/>
      <c r="AB211" s="1184"/>
      <c r="AC211" s="4"/>
      <c r="AD211" s="4"/>
      <c r="AE211" s="4"/>
      <c r="AM211" s="4"/>
      <c r="AN211" s="202"/>
      <c r="AO211" s="26" t="s">
        <v>907</v>
      </c>
      <c r="AP211" s="4">
        <v>3</v>
      </c>
    </row>
    <row r="212" spans="1:43" ht="13.9" customHeight="1">
      <c r="A212" s="4"/>
      <c r="B212" s="42"/>
      <c r="C212" s="45"/>
      <c r="D212" s="26"/>
      <c r="E212" s="1184"/>
      <c r="F212" s="1184"/>
      <c r="G212" s="1184"/>
      <c r="H212" s="1184"/>
      <c r="I212" s="1184"/>
      <c r="J212" s="1184"/>
      <c r="K212" s="1184"/>
      <c r="L212" s="1184"/>
      <c r="M212" s="1184"/>
      <c r="N212" s="1184"/>
      <c r="O212" s="1184"/>
      <c r="P212" s="1184"/>
      <c r="Q212" s="1184"/>
      <c r="R212" s="1184"/>
      <c r="S212" s="1184"/>
      <c r="T212" s="1184"/>
      <c r="U212" s="1184"/>
      <c r="V212" s="1184"/>
      <c r="W212" s="1184"/>
      <c r="X212" s="1184"/>
      <c r="Y212" s="1184"/>
      <c r="Z212" s="1184"/>
      <c r="AA212" s="1184"/>
      <c r="AB212" s="1184"/>
      <c r="AC212" s="4"/>
      <c r="AD212" s="4"/>
      <c r="AE212" s="19"/>
      <c r="AM212" s="4"/>
      <c r="AN212" s="202"/>
      <c r="AO212" s="26" t="s">
        <v>956</v>
      </c>
      <c r="AP212" s="4">
        <v>2</v>
      </c>
    </row>
    <row r="213" spans="1:43" ht="13.9" customHeight="1">
      <c r="A213" s="4"/>
      <c r="B213" s="5"/>
      <c r="C213" s="45"/>
      <c r="D213" s="26" t="s">
        <v>956</v>
      </c>
      <c r="E213" s="1406" t="s">
        <v>1891</v>
      </c>
      <c r="F213" s="1184"/>
      <c r="G213" s="1184"/>
      <c r="H213" s="1184"/>
      <c r="I213" s="1184"/>
      <c r="J213" s="1184"/>
      <c r="K213" s="1184"/>
      <c r="L213" s="1184"/>
      <c r="M213" s="1184"/>
      <c r="N213" s="1184"/>
      <c r="O213" s="1184"/>
      <c r="P213" s="1184"/>
      <c r="Q213" s="1184"/>
      <c r="R213" s="1184"/>
      <c r="S213" s="1184"/>
      <c r="T213" s="1184"/>
      <c r="U213" s="1184"/>
      <c r="V213" s="1184"/>
      <c r="W213" s="1184"/>
      <c r="X213" s="1184"/>
      <c r="Y213" s="1184"/>
      <c r="Z213" s="1184"/>
      <c r="AA213" s="1184"/>
      <c r="AB213" s="1184"/>
      <c r="AC213" s="4"/>
      <c r="AD213" s="4"/>
      <c r="AF213" s="1452" t="s">
        <v>1855</v>
      </c>
      <c r="AG213" s="1184"/>
      <c r="AH213" s="1184"/>
      <c r="AI213" s="1184"/>
      <c r="AJ213" s="1184"/>
      <c r="AK213" s="1184"/>
      <c r="AL213" s="1184"/>
      <c r="AM213" s="4"/>
      <c r="AN213" s="667"/>
    </row>
    <row r="214" spans="1:43" ht="12.75" customHeight="1">
      <c r="A214" s="4"/>
      <c r="B214" s="5"/>
      <c r="C214" s="113"/>
      <c r="D214" s="4"/>
      <c r="E214" s="1184"/>
      <c r="F214" s="1184"/>
      <c r="G214" s="1184"/>
      <c r="H214" s="1184"/>
      <c r="I214" s="1184"/>
      <c r="J214" s="1184"/>
      <c r="K214" s="1184"/>
      <c r="L214" s="1184"/>
      <c r="M214" s="1184"/>
      <c r="N214" s="1184"/>
      <c r="O214" s="1184"/>
      <c r="P214" s="1184"/>
      <c r="Q214" s="1184"/>
      <c r="R214" s="1184"/>
      <c r="S214" s="1184"/>
      <c r="T214" s="1184"/>
      <c r="U214" s="1184"/>
      <c r="V214" s="1184"/>
      <c r="W214" s="1184"/>
      <c r="X214" s="1184"/>
      <c r="Y214" s="1184"/>
      <c r="Z214" s="1184"/>
      <c r="AA214" s="1184"/>
      <c r="AB214" s="1184"/>
      <c r="AC214" s="4"/>
      <c r="AD214" s="5"/>
      <c r="AE214" s="4"/>
      <c r="AF214" s="4"/>
      <c r="AG214" s="4"/>
      <c r="AH214" s="4"/>
      <c r="AI214" s="4"/>
      <c r="AJ214" s="4"/>
      <c r="AK214" s="4"/>
      <c r="AL214" s="4"/>
      <c r="AM214" s="4"/>
      <c r="AN214" s="202"/>
    </row>
    <row r="215" spans="1:43" ht="13.9" customHeight="1">
      <c r="A215" s="4"/>
      <c r="B215" s="5"/>
      <c r="C215" s="113"/>
      <c r="D215" s="4"/>
      <c r="E215" s="1184"/>
      <c r="F215" s="1184"/>
      <c r="G215" s="1184"/>
      <c r="H215" s="1184"/>
      <c r="I215" s="1184"/>
      <c r="J215" s="1184"/>
      <c r="K215" s="1184"/>
      <c r="L215" s="1184"/>
      <c r="M215" s="1184"/>
      <c r="N215" s="1184"/>
      <c r="O215" s="1184"/>
      <c r="P215" s="1184"/>
      <c r="Q215" s="1184"/>
      <c r="R215" s="1184"/>
      <c r="S215" s="1184"/>
      <c r="T215" s="1184"/>
      <c r="U215" s="1184"/>
      <c r="V215" s="1184"/>
      <c r="W215" s="1184"/>
      <c r="X215" s="1184"/>
      <c r="Y215" s="1184"/>
      <c r="Z215" s="1184"/>
      <c r="AA215" s="1184"/>
      <c r="AB215" s="1184"/>
      <c r="AC215" s="4"/>
      <c r="AD215" s="5"/>
      <c r="AE215" s="4"/>
      <c r="AF215" s="4"/>
      <c r="AG215" s="4"/>
      <c r="AH215" s="4"/>
      <c r="AI215" s="4"/>
      <c r="AJ215" s="4"/>
      <c r="AK215" s="4"/>
      <c r="AL215" s="4"/>
      <c r="AM215" s="4"/>
      <c r="AN215" s="202"/>
    </row>
    <row r="216" spans="1:43" ht="13.9" customHeight="1">
      <c r="A216" s="4"/>
      <c r="B216" s="5"/>
      <c r="C216" s="113"/>
      <c r="D216" s="4" t="s">
        <v>1842</v>
      </c>
      <c r="E216" s="114"/>
      <c r="F216" s="114"/>
      <c r="G216" s="114"/>
      <c r="H216" s="1409" t="s">
        <v>155</v>
      </c>
      <c r="I216" s="106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row>
    <row r="217" spans="1:43"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43"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1892</v>
      </c>
      <c r="AJ218" s="1065">
        <f>VLOOKUP($H$216,$AO$210:$AP$212,2,FALSE)</f>
        <v>0</v>
      </c>
      <c r="AK218" s="974"/>
      <c r="AL218" s="10"/>
      <c r="AM218" s="4"/>
      <c r="AN218" s="202"/>
      <c r="AP218" s="1065"/>
      <c r="AQ218" s="974"/>
    </row>
    <row r="219" spans="1:43">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row>
    <row r="220" spans="1:43">
      <c r="A220" s="4"/>
      <c r="B220" s="4"/>
      <c r="C220" s="3" t="s">
        <v>1893</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row>
    <row r="221" spans="1:43">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row>
    <row r="222" spans="1:43">
      <c r="A222" s="4"/>
      <c r="B222" s="4"/>
      <c r="C222" s="45"/>
      <c r="D222" s="26" t="s">
        <v>907</v>
      </c>
      <c r="E222" s="1404" t="s">
        <v>1894</v>
      </c>
      <c r="F222" s="1184"/>
      <c r="G222" s="1184"/>
      <c r="H222" s="1184"/>
      <c r="I222" s="1184"/>
      <c r="J222" s="1184"/>
      <c r="K222" s="1184"/>
      <c r="L222" s="1184"/>
      <c r="M222" s="1184"/>
      <c r="N222" s="1184"/>
      <c r="O222" s="1184"/>
      <c r="P222" s="1184"/>
      <c r="Q222" s="1184"/>
      <c r="R222" s="1184"/>
      <c r="S222" s="1184"/>
      <c r="T222" s="1184"/>
      <c r="U222" s="1184"/>
      <c r="V222" s="1184"/>
      <c r="W222" s="1184"/>
      <c r="X222" s="1184"/>
      <c r="Y222" s="1184"/>
      <c r="Z222" s="1184"/>
      <c r="AA222" s="1184"/>
      <c r="AB222" s="1184"/>
      <c r="AC222" s="4"/>
      <c r="AD222" s="4"/>
      <c r="AF222" s="1452" t="s">
        <v>1792</v>
      </c>
      <c r="AG222" s="1184"/>
      <c r="AH222" s="1184"/>
      <c r="AI222" s="1184"/>
      <c r="AJ222" s="1184"/>
      <c r="AK222" s="1184"/>
      <c r="AL222" s="1184"/>
      <c r="AM222" s="4"/>
      <c r="AN222" s="202"/>
    </row>
    <row r="223" spans="1:43">
      <c r="A223" s="4"/>
      <c r="B223" s="5"/>
      <c r="C223" s="113"/>
      <c r="D223" s="26"/>
      <c r="E223" s="1184"/>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c r="AC223" s="4"/>
      <c r="AD223" s="4"/>
      <c r="AE223" s="4"/>
      <c r="AF223" s="5"/>
      <c r="AG223" s="4"/>
      <c r="AH223" s="4"/>
      <c r="AI223" s="4"/>
      <c r="AJ223" s="4"/>
      <c r="AK223" s="4"/>
      <c r="AL223" s="4"/>
      <c r="AM223" s="4"/>
      <c r="AN223" s="202"/>
    </row>
    <row r="224" spans="1:43">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row>
    <row r="225" spans="1:42" ht="12.75" customHeight="1">
      <c r="A225" s="4"/>
      <c r="B225" s="5"/>
      <c r="C225" s="45"/>
      <c r="D225" s="26" t="s">
        <v>956</v>
      </c>
      <c r="E225" s="1404" t="s">
        <v>1895</v>
      </c>
      <c r="F225" s="1184"/>
      <c r="G225" s="1184"/>
      <c r="H225" s="1184"/>
      <c r="I225" s="1184"/>
      <c r="J225" s="1184"/>
      <c r="K225" s="1184"/>
      <c r="L225" s="1184"/>
      <c r="M225" s="1184"/>
      <c r="N225" s="1184"/>
      <c r="O225" s="1184"/>
      <c r="P225" s="1184"/>
      <c r="Q225" s="1184"/>
      <c r="R225" s="1184"/>
      <c r="S225" s="1184"/>
      <c r="T225" s="1184"/>
      <c r="U225" s="1184"/>
      <c r="V225" s="1184"/>
      <c r="W225" s="1184"/>
      <c r="X225" s="1184"/>
      <c r="Y225" s="1184"/>
      <c r="Z225" s="1184"/>
      <c r="AA225" s="1184"/>
      <c r="AB225" s="1184"/>
      <c r="AC225" s="4"/>
      <c r="AD225" s="4"/>
      <c r="AF225" s="1452" t="s">
        <v>1855</v>
      </c>
      <c r="AG225" s="1184"/>
      <c r="AH225" s="1184"/>
      <c r="AI225" s="1184"/>
      <c r="AJ225" s="1184"/>
      <c r="AK225" s="1184"/>
      <c r="AL225" s="1184"/>
      <c r="AM225" s="4"/>
      <c r="AN225" s="202"/>
      <c r="AO225" s="4" t="s">
        <v>155</v>
      </c>
      <c r="AP225" s="469">
        <v>0</v>
      </c>
    </row>
    <row r="226" spans="1:42">
      <c r="A226" s="4"/>
      <c r="B226" s="5"/>
      <c r="C226" s="113"/>
      <c r="D226" s="4"/>
      <c r="E226" s="1184"/>
      <c r="F226" s="1184"/>
      <c r="G226" s="1184"/>
      <c r="H226" s="1184"/>
      <c r="I226" s="1184"/>
      <c r="J226" s="1184"/>
      <c r="K226" s="1184"/>
      <c r="L226" s="1184"/>
      <c r="M226" s="1184"/>
      <c r="N226" s="1184"/>
      <c r="O226" s="1184"/>
      <c r="P226" s="1184"/>
      <c r="Q226" s="1184"/>
      <c r="R226" s="1184"/>
      <c r="S226" s="1184"/>
      <c r="T226" s="1184"/>
      <c r="U226" s="1184"/>
      <c r="V226" s="1184"/>
      <c r="W226" s="1184"/>
      <c r="X226" s="1184"/>
      <c r="Y226" s="1184"/>
      <c r="Z226" s="1184"/>
      <c r="AA226" s="1184"/>
      <c r="AB226" s="1184"/>
      <c r="AC226" s="4"/>
      <c r="AD226" s="5"/>
      <c r="AE226" s="4"/>
      <c r="AF226" s="4"/>
      <c r="AG226" s="4"/>
      <c r="AH226" s="4"/>
      <c r="AI226" s="4"/>
      <c r="AJ226" s="4"/>
      <c r="AK226" s="4"/>
      <c r="AL226" s="4"/>
      <c r="AM226" s="4"/>
      <c r="AN226" s="202"/>
      <c r="AO226" s="26" t="s">
        <v>907</v>
      </c>
      <c r="AP226" s="4">
        <v>3</v>
      </c>
    </row>
    <row r="227" spans="1:42">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956</v>
      </c>
      <c r="AP227" s="4">
        <v>2</v>
      </c>
    </row>
    <row r="228" spans="1:42" ht="12.75" customHeight="1">
      <c r="A228" s="4"/>
      <c r="B228" s="5"/>
      <c r="C228" s="113"/>
      <c r="D228" s="4" t="s">
        <v>1842</v>
      </c>
      <c r="E228" s="114"/>
      <c r="F228" s="114"/>
      <c r="G228" s="114"/>
      <c r="H228" s="1409" t="s">
        <v>155</v>
      </c>
      <c r="I228" s="106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row>
    <row r="229" spans="1:42">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row>
    <row r="230" spans="1:42">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1896</v>
      </c>
      <c r="AJ230" s="1065">
        <f>VLOOKUP($H$228,$AO$225:$AP$227,2,FALSE)</f>
        <v>0</v>
      </c>
      <c r="AK230" s="974"/>
      <c r="AL230" s="10"/>
      <c r="AM230" s="4"/>
      <c r="AN230" s="202"/>
    </row>
    <row r="231" spans="1:42"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row>
    <row r="232" spans="1:42" ht="12.75" customHeight="1">
      <c r="A232" s="4"/>
      <c r="B232" s="4"/>
      <c r="C232" s="3" t="s">
        <v>1897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row>
    <row r="233" spans="1:42">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row>
    <row r="234" spans="1:42">
      <c r="A234" s="4"/>
      <c r="B234" s="4"/>
      <c r="C234" s="45"/>
      <c r="D234" s="26" t="s">
        <v>907</v>
      </c>
      <c r="E234" s="1404" t="s">
        <v>1898</v>
      </c>
      <c r="F234" s="1184"/>
      <c r="G234" s="1184"/>
      <c r="H234" s="1184"/>
      <c r="I234" s="1184"/>
      <c r="J234" s="1184"/>
      <c r="K234" s="1184"/>
      <c r="L234" s="1184"/>
      <c r="M234" s="1184"/>
      <c r="N234" s="1184"/>
      <c r="O234" s="1184"/>
      <c r="P234" s="1184"/>
      <c r="Q234" s="1184"/>
      <c r="R234" s="1184"/>
      <c r="S234" s="1184"/>
      <c r="T234" s="1184"/>
      <c r="U234" s="1184"/>
      <c r="V234" s="1184"/>
      <c r="W234" s="1184"/>
      <c r="X234" s="1184"/>
      <c r="Y234" s="1184"/>
      <c r="Z234" s="1184"/>
      <c r="AA234" s="1184"/>
      <c r="AB234" s="1184"/>
      <c r="AC234" s="4"/>
      <c r="AD234" s="4"/>
      <c r="AF234" s="1452" t="s">
        <v>1792</v>
      </c>
      <c r="AG234" s="1184"/>
      <c r="AH234" s="1184"/>
      <c r="AI234" s="1184"/>
      <c r="AJ234" s="1184"/>
      <c r="AK234" s="1184"/>
      <c r="AL234" s="1184"/>
      <c r="AM234" s="4"/>
      <c r="AN234" s="202"/>
    </row>
    <row r="235" spans="1:42">
      <c r="A235" s="4"/>
      <c r="B235" s="5"/>
      <c r="C235" s="113"/>
      <c r="D235" s="26"/>
      <c r="E235" s="1184"/>
      <c r="F235" s="1184"/>
      <c r="G235" s="1184"/>
      <c r="H235" s="1184"/>
      <c r="I235" s="1184"/>
      <c r="J235" s="1184"/>
      <c r="K235" s="1184"/>
      <c r="L235" s="1184"/>
      <c r="M235" s="1184"/>
      <c r="N235" s="1184"/>
      <c r="O235" s="1184"/>
      <c r="P235" s="1184"/>
      <c r="Q235" s="1184"/>
      <c r="R235" s="1184"/>
      <c r="S235" s="1184"/>
      <c r="T235" s="1184"/>
      <c r="U235" s="1184"/>
      <c r="V235" s="1184"/>
      <c r="W235" s="1184"/>
      <c r="X235" s="1184"/>
      <c r="Y235" s="1184"/>
      <c r="Z235" s="1184"/>
      <c r="AA235" s="1184"/>
      <c r="AB235" s="1184"/>
      <c r="AC235" s="4"/>
      <c r="AD235" s="4"/>
      <c r="AL235" s="4"/>
      <c r="AM235" s="4"/>
      <c r="AN235" s="202"/>
    </row>
    <row r="236" spans="1:42" ht="12.75" customHeight="1">
      <c r="A236" s="4"/>
      <c r="B236" s="5"/>
      <c r="C236" s="113"/>
      <c r="D236" s="26"/>
      <c r="E236" s="1184"/>
      <c r="F236" s="1184"/>
      <c r="G236" s="1184"/>
      <c r="H236" s="1184"/>
      <c r="I236" s="1184"/>
      <c r="J236" s="1184"/>
      <c r="K236" s="1184"/>
      <c r="L236" s="1184"/>
      <c r="M236" s="1184"/>
      <c r="N236" s="1184"/>
      <c r="O236" s="1184"/>
      <c r="P236" s="1184"/>
      <c r="Q236" s="1184"/>
      <c r="R236" s="1184"/>
      <c r="S236" s="1184"/>
      <c r="T236" s="1184"/>
      <c r="U236" s="1184"/>
      <c r="V236" s="1184"/>
      <c r="W236" s="1184"/>
      <c r="X236" s="1184"/>
      <c r="Y236" s="1184"/>
      <c r="Z236" s="1184"/>
      <c r="AA236" s="1184"/>
      <c r="AB236" s="1184"/>
      <c r="AC236" s="4"/>
      <c r="AD236" s="4"/>
      <c r="AE236" s="4"/>
      <c r="AF236" s="5"/>
      <c r="AG236" s="4"/>
      <c r="AH236" s="4"/>
      <c r="AI236" s="4"/>
      <c r="AJ236" s="4"/>
      <c r="AK236" s="4"/>
      <c r="AL236" s="4"/>
      <c r="AM236" s="4"/>
      <c r="AO236" s="21"/>
    </row>
    <row r="237" spans="1:42">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row>
    <row r="238" spans="1:42">
      <c r="A238" s="4"/>
      <c r="B238" s="5"/>
      <c r="C238" s="45"/>
      <c r="D238" s="26" t="s">
        <v>956</v>
      </c>
      <c r="E238" s="1404" t="s">
        <v>1899</v>
      </c>
      <c r="F238" s="1184"/>
      <c r="G238" s="1184"/>
      <c r="H238" s="1184"/>
      <c r="I238" s="1184"/>
      <c r="J238" s="1184"/>
      <c r="K238" s="1184"/>
      <c r="L238" s="1184"/>
      <c r="M238" s="1184"/>
      <c r="N238" s="1184"/>
      <c r="O238" s="1184"/>
      <c r="P238" s="1184"/>
      <c r="Q238" s="1184"/>
      <c r="R238" s="1184"/>
      <c r="S238" s="1184"/>
      <c r="T238" s="1184"/>
      <c r="U238" s="1184"/>
      <c r="V238" s="1184"/>
      <c r="W238" s="1184"/>
      <c r="X238" s="1184"/>
      <c r="Y238" s="1184"/>
      <c r="Z238" s="1184"/>
      <c r="AA238" s="1184"/>
      <c r="AB238" s="341"/>
      <c r="AC238" s="4"/>
      <c r="AD238" s="4"/>
      <c r="AF238" s="1452" t="s">
        <v>1855</v>
      </c>
      <c r="AG238" s="1184"/>
      <c r="AH238" s="1184"/>
      <c r="AI238" s="1184"/>
      <c r="AJ238" s="1184"/>
      <c r="AK238" s="1184"/>
      <c r="AL238" s="1184"/>
      <c r="AM238" s="4"/>
      <c r="AN238" s="202"/>
    </row>
    <row r="239" spans="1:42">
      <c r="A239" s="4"/>
      <c r="B239" s="5"/>
      <c r="C239" s="45"/>
      <c r="D239" s="4"/>
      <c r="E239" s="1184"/>
      <c r="F239" s="1184"/>
      <c r="G239" s="1184"/>
      <c r="H239" s="1184"/>
      <c r="I239" s="1184"/>
      <c r="J239" s="1184"/>
      <c r="K239" s="1184"/>
      <c r="L239" s="1184"/>
      <c r="M239" s="1184"/>
      <c r="N239" s="1184"/>
      <c r="O239" s="1184"/>
      <c r="P239" s="1184"/>
      <c r="Q239" s="1184"/>
      <c r="R239" s="1184"/>
      <c r="S239" s="1184"/>
      <c r="T239" s="1184"/>
      <c r="U239" s="1184"/>
      <c r="V239" s="1184"/>
      <c r="W239" s="1184"/>
      <c r="X239" s="1184"/>
      <c r="Y239" s="1184"/>
      <c r="Z239" s="1184"/>
      <c r="AA239" s="1184"/>
      <c r="AB239" s="341"/>
      <c r="AC239" s="106"/>
      <c r="AD239" s="106"/>
      <c r="AE239" s="106"/>
      <c r="AF239" s="106"/>
      <c r="AG239" s="106"/>
      <c r="AH239" s="106"/>
      <c r="AI239" s="106"/>
      <c r="AJ239" s="4"/>
      <c r="AK239" s="4"/>
      <c r="AL239" s="4"/>
      <c r="AM239" s="4"/>
      <c r="AN239" s="202"/>
    </row>
    <row r="240" spans="1:42">
      <c r="A240" s="4"/>
      <c r="B240" s="5"/>
      <c r="C240" s="45"/>
      <c r="D240" s="4"/>
      <c r="E240" s="1184"/>
      <c r="F240" s="1184"/>
      <c r="G240" s="1184"/>
      <c r="H240" s="1184"/>
      <c r="I240" s="1184"/>
      <c r="J240" s="1184"/>
      <c r="K240" s="1184"/>
      <c r="L240" s="1184"/>
      <c r="M240" s="1184"/>
      <c r="N240" s="1184"/>
      <c r="O240" s="1184"/>
      <c r="P240" s="1184"/>
      <c r="Q240" s="1184"/>
      <c r="R240" s="1184"/>
      <c r="S240" s="1184"/>
      <c r="T240" s="1184"/>
      <c r="U240" s="1184"/>
      <c r="V240" s="1184"/>
      <c r="W240" s="1184"/>
      <c r="X240" s="1184"/>
      <c r="Y240" s="1184"/>
      <c r="Z240" s="1184"/>
      <c r="AA240" s="1184"/>
      <c r="AB240" s="341"/>
      <c r="AC240" s="106"/>
      <c r="AD240" s="106"/>
      <c r="AE240" s="106"/>
      <c r="AF240" s="106"/>
      <c r="AG240" s="106"/>
      <c r="AH240" s="106"/>
      <c r="AI240" s="106"/>
      <c r="AJ240" s="4"/>
      <c r="AK240" s="4"/>
      <c r="AL240" s="4"/>
      <c r="AM240" s="4"/>
      <c r="AN240" s="202"/>
    </row>
    <row r="241" spans="1:42">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42" ht="12.75" customHeight="1">
      <c r="A242" s="4"/>
      <c r="B242" s="5"/>
      <c r="C242" s="45"/>
      <c r="D242" s="4" t="s">
        <v>1842</v>
      </c>
      <c r="E242" s="114"/>
      <c r="F242" s="114"/>
      <c r="G242" s="114"/>
      <c r="H242" s="1409" t="s">
        <v>155</v>
      </c>
      <c r="I242" s="106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42"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row>
    <row r="244" spans="1:42">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1900</v>
      </c>
      <c r="AJ244" s="1065">
        <f>VLOOKUP($H$242,$AO$225:$AP$227,2,FALSE)</f>
        <v>0</v>
      </c>
      <c r="AK244" s="974"/>
      <c r="AL244" s="10"/>
      <c r="AM244" s="4"/>
    </row>
    <row r="245" spans="1:42"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row>
    <row r="246" spans="1:42">
      <c r="A246" s="4"/>
      <c r="B246" s="4"/>
      <c r="C246" s="3" t="s">
        <v>1901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O246" s="4" t="s">
        <v>155</v>
      </c>
      <c r="AP246" s="469">
        <v>0</v>
      </c>
    </row>
    <row r="247" spans="1:42">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O247" s="26" t="s">
        <v>907</v>
      </c>
      <c r="AP247" s="4">
        <v>2</v>
      </c>
    </row>
    <row r="248" spans="1:42">
      <c r="A248" s="4"/>
      <c r="B248" s="4"/>
      <c r="C248" s="45"/>
      <c r="D248" s="26" t="s">
        <v>907</v>
      </c>
      <c r="E248" s="1404" t="s">
        <v>1902</v>
      </c>
      <c r="F248" s="1184"/>
      <c r="G248" s="1184"/>
      <c r="H248" s="1184"/>
      <c r="I248" s="1184"/>
      <c r="J248" s="1184"/>
      <c r="K248" s="1184"/>
      <c r="L248" s="1184"/>
      <c r="M248" s="1184"/>
      <c r="N248" s="1184"/>
      <c r="O248" s="1184"/>
      <c r="P248" s="1184"/>
      <c r="Q248" s="1184"/>
      <c r="R248" s="1184"/>
      <c r="S248" s="1184"/>
      <c r="T248" s="1184"/>
      <c r="U248" s="1184"/>
      <c r="V248" s="1184"/>
      <c r="W248" s="1184"/>
      <c r="X248" s="1184"/>
      <c r="Y248" s="1184"/>
      <c r="Z248" s="1184"/>
      <c r="AA248" s="1184"/>
      <c r="AB248" s="1184"/>
      <c r="AC248" s="4"/>
      <c r="AD248" s="4"/>
      <c r="AF248" s="1452" t="s">
        <v>1855</v>
      </c>
      <c r="AG248" s="1184"/>
      <c r="AH248" s="1184"/>
      <c r="AI248" s="1184"/>
      <c r="AJ248" s="1184"/>
      <c r="AK248" s="1184"/>
      <c r="AL248" s="1184"/>
      <c r="AM248" s="4"/>
      <c r="AO248" s="26" t="s">
        <v>956</v>
      </c>
      <c r="AP248" s="4">
        <v>1</v>
      </c>
    </row>
    <row r="249" spans="1:42">
      <c r="A249" s="4"/>
      <c r="B249" s="5"/>
      <c r="C249" s="113"/>
      <c r="D249" s="26"/>
      <c r="E249" s="1184"/>
      <c r="F249" s="1184"/>
      <c r="G249" s="1184"/>
      <c r="H249" s="1184"/>
      <c r="I249" s="1184"/>
      <c r="J249" s="1184"/>
      <c r="K249" s="1184"/>
      <c r="L249" s="1184"/>
      <c r="M249" s="1184"/>
      <c r="N249" s="1184"/>
      <c r="O249" s="1184"/>
      <c r="P249" s="1184"/>
      <c r="Q249" s="1184"/>
      <c r="R249" s="1184"/>
      <c r="S249" s="1184"/>
      <c r="T249" s="1184"/>
      <c r="U249" s="1184"/>
      <c r="V249" s="1184"/>
      <c r="W249" s="1184"/>
      <c r="X249" s="1184"/>
      <c r="Y249" s="1184"/>
      <c r="Z249" s="1184"/>
      <c r="AA249" s="1184"/>
      <c r="AB249" s="1184"/>
      <c r="AC249" s="4"/>
      <c r="AD249" s="4"/>
      <c r="AL249" s="4"/>
      <c r="AM249" s="4"/>
    </row>
    <row r="250" spans="1:42">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row>
    <row r="251" spans="1:42">
      <c r="A251" s="35"/>
      <c r="B251" s="5"/>
      <c r="C251" s="45"/>
      <c r="D251" s="26" t="s">
        <v>956</v>
      </c>
      <c r="E251" s="1404" t="s">
        <v>1903</v>
      </c>
      <c r="F251" s="1184"/>
      <c r="G251" s="1184"/>
      <c r="H251" s="1184"/>
      <c r="I251" s="1184"/>
      <c r="J251" s="1184"/>
      <c r="K251" s="1184"/>
      <c r="L251" s="1184"/>
      <c r="M251" s="1184"/>
      <c r="N251" s="1184"/>
      <c r="O251" s="1184"/>
      <c r="P251" s="1184"/>
      <c r="Q251" s="1184"/>
      <c r="R251" s="1184"/>
      <c r="S251" s="1184"/>
      <c r="T251" s="1184"/>
      <c r="U251" s="1184"/>
      <c r="V251" s="1184"/>
      <c r="W251" s="1184"/>
      <c r="X251" s="1184"/>
      <c r="Y251" s="1184"/>
      <c r="Z251" s="1184"/>
      <c r="AA251" s="1184"/>
      <c r="AB251" s="1184"/>
      <c r="AC251" s="4"/>
      <c r="AD251" s="4"/>
      <c r="AF251" s="1452" t="s">
        <v>1874</v>
      </c>
      <c r="AG251" s="1184"/>
      <c r="AH251" s="1184"/>
      <c r="AI251" s="1184"/>
      <c r="AJ251" s="1184"/>
      <c r="AK251" s="1184"/>
      <c r="AL251" s="1184"/>
      <c r="AM251" s="4"/>
    </row>
    <row r="252" spans="1:42" ht="12.75" customHeight="1">
      <c r="A252" s="35"/>
      <c r="B252" s="5"/>
      <c r="C252" s="45"/>
      <c r="D252" s="26"/>
      <c r="E252" s="1184"/>
      <c r="F252" s="1184"/>
      <c r="G252" s="1184"/>
      <c r="H252" s="1184"/>
      <c r="I252" s="1184"/>
      <c r="J252" s="1184"/>
      <c r="K252" s="1184"/>
      <c r="L252" s="1184"/>
      <c r="M252" s="1184"/>
      <c r="N252" s="1184"/>
      <c r="O252" s="1184"/>
      <c r="P252" s="1184"/>
      <c r="Q252" s="1184"/>
      <c r="R252" s="1184"/>
      <c r="S252" s="1184"/>
      <c r="T252" s="1184"/>
      <c r="U252" s="1184"/>
      <c r="V252" s="1184"/>
      <c r="W252" s="1184"/>
      <c r="X252" s="1184"/>
      <c r="Y252" s="1184"/>
      <c r="Z252" s="1184"/>
      <c r="AA252" s="1184"/>
      <c r="AB252" s="1184"/>
      <c r="AC252" s="4"/>
      <c r="AD252" s="4"/>
      <c r="AE252" s="106"/>
      <c r="AM252" s="4"/>
    </row>
    <row r="253" spans="1:42">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row>
    <row r="254" spans="1:42" ht="12.75" customHeight="1">
      <c r="A254" s="4"/>
      <c r="B254" s="5"/>
      <c r="C254" s="4"/>
      <c r="D254" s="4" t="s">
        <v>1842</v>
      </c>
      <c r="E254" s="114"/>
      <c r="F254" s="114"/>
      <c r="G254" s="114"/>
      <c r="H254" s="1409" t="s">
        <v>155</v>
      </c>
      <c r="I254" s="106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row>
    <row r="255" spans="1:42"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row>
    <row r="256" spans="1:42"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1904</v>
      </c>
      <c r="AJ256" s="1065">
        <f>VLOOKUP($H$254,$AO$246:$AP$248,2,FALSE)</f>
        <v>0</v>
      </c>
      <c r="AK256" s="974"/>
      <c r="AL256" s="10"/>
      <c r="AM256" s="4"/>
    </row>
    <row r="257" spans="1:82">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row>
    <row r="258" spans="1:82">
      <c r="A258" s="4"/>
      <c r="B258" s="100"/>
      <c r="C258" s="3" t="s">
        <v>1905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row>
    <row r="259" spans="1:82">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ht="13.7" customHeight="1">
      <c r="A260" s="4"/>
      <c r="B260" s="100"/>
      <c r="C260" s="135"/>
      <c r="D260" s="26" t="s">
        <v>907</v>
      </c>
      <c r="E260" s="1404" t="s">
        <v>1906</v>
      </c>
      <c r="F260" s="1184"/>
      <c r="G260" s="1184"/>
      <c r="H260" s="1184"/>
      <c r="I260" s="1184"/>
      <c r="J260" s="1184"/>
      <c r="K260" s="1184"/>
      <c r="L260" s="1184"/>
      <c r="M260" s="1184"/>
      <c r="N260" s="1184"/>
      <c r="O260" s="1184"/>
      <c r="P260" s="1184"/>
      <c r="Q260" s="1184"/>
      <c r="R260" s="1184"/>
      <c r="S260" s="1184"/>
      <c r="T260" s="1184"/>
      <c r="U260" s="1184"/>
      <c r="V260" s="1184"/>
      <c r="W260" s="1184"/>
      <c r="X260" s="1184"/>
      <c r="Y260" s="1184"/>
      <c r="Z260" s="1184"/>
      <c r="AA260" s="1184"/>
      <c r="AB260" s="1184"/>
      <c r="AC260" s="1184"/>
      <c r="AD260" s="1184"/>
      <c r="AF260" s="1452" t="s">
        <v>1855</v>
      </c>
      <c r="AG260" s="1184"/>
      <c r="AH260" s="1184"/>
      <c r="AI260" s="1184"/>
      <c r="AJ260" s="1184"/>
      <c r="AK260" s="1184"/>
      <c r="AL260" s="1184"/>
      <c r="AM260" s="102"/>
      <c r="AN260" s="202"/>
      <c r="AO260" s="4" t="s">
        <v>155</v>
      </c>
      <c r="AP260" s="469">
        <v>0</v>
      </c>
    </row>
    <row r="261" spans="1:82">
      <c r="A261" s="4"/>
      <c r="B261" s="100"/>
      <c r="C261" s="135"/>
      <c r="D261" s="26"/>
      <c r="E261" s="1184"/>
      <c r="F261" s="1184"/>
      <c r="G261" s="1184"/>
      <c r="H261" s="1184"/>
      <c r="I261" s="1184"/>
      <c r="J261" s="1184"/>
      <c r="K261" s="1184"/>
      <c r="L261" s="1184"/>
      <c r="M261" s="1184"/>
      <c r="N261" s="1184"/>
      <c r="O261" s="1184"/>
      <c r="P261" s="1184"/>
      <c r="Q261" s="1184"/>
      <c r="R261" s="1184"/>
      <c r="S261" s="1184"/>
      <c r="T261" s="1184"/>
      <c r="U261" s="1184"/>
      <c r="V261" s="1184"/>
      <c r="W261" s="1184"/>
      <c r="X261" s="1184"/>
      <c r="Y261" s="1184"/>
      <c r="Z261" s="1184"/>
      <c r="AA261" s="1184"/>
      <c r="AB261" s="1184"/>
      <c r="AC261" s="1184"/>
      <c r="AD261" s="1184"/>
      <c r="AL261" s="106"/>
      <c r="AM261" s="102"/>
      <c r="AO261" s="26" t="s">
        <v>907</v>
      </c>
      <c r="AP261" s="4">
        <v>2</v>
      </c>
    </row>
    <row r="262" spans="1:82" ht="18.600000000000001" customHeight="1">
      <c r="A262" s="4"/>
      <c r="B262" s="100"/>
      <c r="C262" s="135"/>
      <c r="D262" s="26"/>
      <c r="E262" s="1184"/>
      <c r="F262" s="1184"/>
      <c r="G262" s="1184"/>
      <c r="H262" s="1184"/>
      <c r="I262" s="1184"/>
      <c r="J262" s="1184"/>
      <c r="K262" s="1184"/>
      <c r="L262" s="1184"/>
      <c r="M262" s="1184"/>
      <c r="N262" s="1184"/>
      <c r="O262" s="1184"/>
      <c r="P262" s="1184"/>
      <c r="Q262" s="1184"/>
      <c r="R262" s="1184"/>
      <c r="S262" s="1184"/>
      <c r="T262" s="1184"/>
      <c r="U262" s="1184"/>
      <c r="V262" s="1184"/>
      <c r="W262" s="1184"/>
      <c r="X262" s="1184"/>
      <c r="Y262" s="1184"/>
      <c r="Z262" s="1184"/>
      <c r="AA262" s="1184"/>
      <c r="AB262" s="1184"/>
      <c r="AC262" s="1184"/>
      <c r="AD262" s="1184"/>
      <c r="AE262" s="106"/>
      <c r="AF262" s="106"/>
      <c r="AG262" s="106"/>
      <c r="AH262" s="106"/>
      <c r="AI262" s="106"/>
      <c r="AJ262" s="106"/>
      <c r="AK262" s="106"/>
      <c r="AL262" s="106"/>
      <c r="AM262" s="102"/>
      <c r="AO262" s="26" t="s">
        <v>956</v>
      </c>
      <c r="AP262" s="4">
        <v>3</v>
      </c>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956</v>
      </c>
      <c r="E264" s="1504" t="s">
        <v>1907</v>
      </c>
      <c r="F264" s="1376"/>
      <c r="G264" s="1376"/>
      <c r="H264" s="1376"/>
      <c r="I264" s="1376"/>
      <c r="J264" s="1376"/>
      <c r="K264" s="1376"/>
      <c r="L264" s="1376"/>
      <c r="M264" s="1376"/>
      <c r="N264" s="1376"/>
      <c r="O264" s="1376"/>
      <c r="P264" s="1376"/>
      <c r="Q264" s="1376"/>
      <c r="R264" s="1376"/>
      <c r="S264" s="1376"/>
      <c r="T264" s="1376"/>
      <c r="U264" s="1376"/>
      <c r="V264" s="1376"/>
      <c r="W264" s="1376"/>
      <c r="X264" s="1376"/>
      <c r="Y264" s="1376"/>
      <c r="Z264" s="1376"/>
      <c r="AA264" s="1376"/>
      <c r="AB264" s="1376"/>
      <c r="AC264" s="1376"/>
      <c r="AD264" s="1376"/>
      <c r="AF264" s="1452" t="s">
        <v>1792</v>
      </c>
      <c r="AG264" s="1376"/>
      <c r="AH264" s="1376"/>
      <c r="AI264" s="1376"/>
      <c r="AJ264" s="1376"/>
      <c r="AK264" s="1376"/>
      <c r="AL264" s="1376"/>
      <c r="AM264" s="102"/>
      <c r="AN264" s="279"/>
    </row>
    <row r="265" spans="1:82" s="4" customFormat="1" ht="12.75" customHeight="1">
      <c r="B265" s="100"/>
      <c r="C265" s="135"/>
      <c r="D265" s="26"/>
      <c r="E265" s="1376"/>
      <c r="F265" s="1376"/>
      <c r="G265" s="1376"/>
      <c r="H265" s="1376"/>
      <c r="I265" s="1376"/>
      <c r="J265" s="1376"/>
      <c r="K265" s="1376"/>
      <c r="L265" s="1376"/>
      <c r="M265" s="1376"/>
      <c r="N265" s="1376"/>
      <c r="O265" s="1376"/>
      <c r="P265" s="1376"/>
      <c r="Q265" s="1376"/>
      <c r="R265" s="1376"/>
      <c r="S265" s="1376"/>
      <c r="T265" s="1376"/>
      <c r="U265" s="1376"/>
      <c r="V265" s="1376"/>
      <c r="W265" s="1376"/>
      <c r="X265" s="1376"/>
      <c r="Y265" s="1376"/>
      <c r="Z265" s="1376"/>
      <c r="AA265" s="1376"/>
      <c r="AB265" s="1376"/>
      <c r="AC265" s="1376"/>
      <c r="AD265" s="1376"/>
      <c r="AE265" s="106"/>
      <c r="AF265" s="106"/>
      <c r="AG265" s="106"/>
      <c r="AH265" s="106"/>
      <c r="AI265" s="106"/>
      <c r="AJ265" s="106"/>
      <c r="AK265" s="106"/>
      <c r="AL265" s="106"/>
      <c r="AM265" s="102"/>
      <c r="AN265" s="279"/>
    </row>
    <row r="266" spans="1:82" s="4" customFormat="1" ht="12.75" customHeight="1">
      <c r="B266" s="100"/>
      <c r="C266" s="135"/>
      <c r="D266" s="26"/>
      <c r="E266" s="1376"/>
      <c r="F266" s="1376"/>
      <c r="G266" s="1376"/>
      <c r="H266" s="1376"/>
      <c r="I266" s="1376"/>
      <c r="J266" s="1376"/>
      <c r="K266" s="1376"/>
      <c r="L266" s="1376"/>
      <c r="M266" s="1376"/>
      <c r="N266" s="1376"/>
      <c r="O266" s="1376"/>
      <c r="P266" s="1376"/>
      <c r="Q266" s="1376"/>
      <c r="R266" s="1376"/>
      <c r="S266" s="1376"/>
      <c r="T266" s="1376"/>
      <c r="U266" s="1376"/>
      <c r="V266" s="1376"/>
      <c r="W266" s="1376"/>
      <c r="X266" s="1376"/>
      <c r="Y266" s="1376"/>
      <c r="Z266" s="1376"/>
      <c r="AA266" s="1376"/>
      <c r="AB266" s="1376"/>
      <c r="AC266" s="1376"/>
      <c r="AD266" s="1376"/>
      <c r="AE266" s="106"/>
      <c r="AF266" s="106"/>
      <c r="AG266" s="106"/>
      <c r="AH266" s="106"/>
      <c r="AI266" s="106"/>
      <c r="AJ266" s="106"/>
      <c r="AK266" s="106"/>
      <c r="AL266" s="106"/>
      <c r="AM266" s="102"/>
      <c r="AN266" s="279"/>
    </row>
    <row r="267" spans="1:82" s="4" customFormat="1" ht="12.75" customHeight="1">
      <c r="B267" s="100"/>
      <c r="C267" s="135"/>
      <c r="D267" s="26"/>
      <c r="E267" s="1376"/>
      <c r="F267" s="1376"/>
      <c r="G267" s="1376"/>
      <c r="H267" s="1376"/>
      <c r="I267" s="1376"/>
      <c r="J267" s="1376"/>
      <c r="K267" s="1376"/>
      <c r="L267" s="1376"/>
      <c r="M267" s="1376"/>
      <c r="N267" s="1376"/>
      <c r="O267" s="1376"/>
      <c r="P267" s="1376"/>
      <c r="Q267" s="1376"/>
      <c r="R267" s="1376"/>
      <c r="S267" s="1376"/>
      <c r="T267" s="1376"/>
      <c r="U267" s="1376"/>
      <c r="V267" s="1376"/>
      <c r="W267" s="1376"/>
      <c r="X267" s="1376"/>
      <c r="Y267" s="1376"/>
      <c r="Z267" s="1376"/>
      <c r="AA267" s="1376"/>
      <c r="AB267" s="1376"/>
      <c r="AC267" s="1376"/>
      <c r="AD267" s="1376"/>
      <c r="AE267" s="106"/>
      <c r="AF267" s="106"/>
      <c r="AG267" s="106"/>
      <c r="AH267" s="106"/>
      <c r="AI267" s="106"/>
      <c r="AJ267" s="106"/>
      <c r="AK267" s="106"/>
      <c r="AL267" s="106"/>
      <c r="AM267" s="102"/>
      <c r="AN267" s="279"/>
    </row>
    <row r="268" spans="1:82" s="4" customFormat="1" ht="12.75" customHeight="1">
      <c r="AN268" s="279"/>
    </row>
    <row r="269" spans="1:82" s="4" customFormat="1" ht="12.75" customHeight="1">
      <c r="B269" s="100"/>
      <c r="C269" s="135"/>
      <c r="D269" s="4" t="s">
        <v>1842</v>
      </c>
      <c r="E269" s="114"/>
      <c r="F269" s="114"/>
      <c r="G269" s="114"/>
      <c r="H269" s="1409" t="s">
        <v>155</v>
      </c>
      <c r="I269" s="106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1908</v>
      </c>
      <c r="AJ271" s="1065">
        <f>VLOOKUP($H$269,$AO$260:$AP$262,2,FALSE)</f>
        <v>0</v>
      </c>
      <c r="AK271" s="974"/>
      <c r="AL271" s="10"/>
      <c r="AN271" s="279"/>
    </row>
    <row r="272" spans="1:82">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6"/>
      <c r="BE272" s="636"/>
      <c r="BF272" s="636"/>
      <c r="BG272" s="636"/>
      <c r="BH272" s="636"/>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 r="A273" s="4"/>
      <c r="B273" s="100"/>
      <c r="C273" s="3" t="s">
        <v>1909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155</v>
      </c>
      <c r="AP274" s="125">
        <v>0</v>
      </c>
      <c r="AS274" s="425"/>
      <c r="AT274" s="425"/>
      <c r="AU274" s="425"/>
      <c r="AV274" s="425"/>
      <c r="AW274" s="425"/>
      <c r="AX274" s="425"/>
      <c r="AY274" s="425"/>
      <c r="AZ274" s="425"/>
      <c r="BA274" s="425"/>
      <c r="BB274" s="425"/>
      <c r="BC274" s="425"/>
      <c r="BD274" s="636"/>
      <c r="BE274" s="636"/>
      <c r="BF274" s="636"/>
      <c r="BG274" s="636"/>
      <c r="BH274" s="636"/>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ht="13.7" customHeight="1">
      <c r="A275" s="4"/>
      <c r="B275" s="100"/>
      <c r="C275" s="135"/>
      <c r="D275" s="26" t="s">
        <v>907</v>
      </c>
      <c r="E275" s="1404" t="s">
        <v>1910</v>
      </c>
      <c r="F275" s="1184"/>
      <c r="G275" s="1184"/>
      <c r="H275" s="1184"/>
      <c r="I275" s="1184"/>
      <c r="J275" s="1184"/>
      <c r="K275" s="1184"/>
      <c r="L275" s="1184"/>
      <c r="M275" s="1184"/>
      <c r="N275" s="1184"/>
      <c r="O275" s="1184"/>
      <c r="P275" s="1184"/>
      <c r="Q275" s="1184"/>
      <c r="R275" s="1184"/>
      <c r="S275" s="1184"/>
      <c r="T275" s="1184"/>
      <c r="U275" s="1184"/>
      <c r="V275" s="1184"/>
      <c r="W275" s="1184"/>
      <c r="X275" s="1184"/>
      <c r="Y275" s="1184"/>
      <c r="Z275" s="1184"/>
      <c r="AA275" s="1184"/>
      <c r="AB275" s="1184"/>
      <c r="AC275" s="1184"/>
      <c r="AD275" s="1184"/>
      <c r="AF275" s="1452" t="s">
        <v>1911</v>
      </c>
      <c r="AG275" s="1184"/>
      <c r="AH275" s="1184"/>
      <c r="AI275" s="1184"/>
      <c r="AJ275" s="1184"/>
      <c r="AK275" s="1184"/>
      <c r="AL275" s="1184"/>
      <c r="AM275" s="102"/>
      <c r="AN275" s="202"/>
      <c r="AO275" s="26" t="s">
        <v>71</v>
      </c>
      <c r="AP275" s="4">
        <v>8</v>
      </c>
      <c r="AT275" s="425"/>
      <c r="AU275" s="425"/>
      <c r="AV275" s="425"/>
      <c r="AW275" s="425"/>
      <c r="AX275" s="425"/>
      <c r="AY275" s="425"/>
      <c r="AZ275" s="425"/>
    </row>
    <row r="276" spans="1:82">
      <c r="A276" s="4"/>
      <c r="B276" s="100"/>
      <c r="C276" s="135"/>
      <c r="D276" s="26"/>
      <c r="E276" s="1184"/>
      <c r="F276" s="1184"/>
      <c r="G276" s="1184"/>
      <c r="H276" s="1184"/>
      <c r="I276" s="1184"/>
      <c r="J276" s="1184"/>
      <c r="K276" s="1184"/>
      <c r="L276" s="1184"/>
      <c r="M276" s="1184"/>
      <c r="N276" s="1184"/>
      <c r="O276" s="1184"/>
      <c r="P276" s="1184"/>
      <c r="Q276" s="1184"/>
      <c r="R276" s="1184"/>
      <c r="S276" s="1184"/>
      <c r="T276" s="1184"/>
      <c r="U276" s="1184"/>
      <c r="V276" s="1184"/>
      <c r="W276" s="1184"/>
      <c r="X276" s="1184"/>
      <c r="Y276" s="1184"/>
      <c r="Z276" s="1184"/>
      <c r="AA276" s="1184"/>
      <c r="AB276" s="1184"/>
      <c r="AC276" s="1184"/>
      <c r="AD276" s="118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ht="18.75" customHeight="1">
      <c r="A277" s="4"/>
      <c r="B277" s="100"/>
      <c r="C277" s="135"/>
      <c r="D277" s="26"/>
      <c r="E277" s="1184"/>
      <c r="F277" s="1184"/>
      <c r="G277" s="1184"/>
      <c r="H277" s="1184"/>
      <c r="I277" s="1184"/>
      <c r="J277" s="1184"/>
      <c r="K277" s="1184"/>
      <c r="L277" s="1184"/>
      <c r="M277" s="1184"/>
      <c r="N277" s="1184"/>
      <c r="O277" s="1184"/>
      <c r="P277" s="1184"/>
      <c r="Q277" s="1184"/>
      <c r="R277" s="1184"/>
      <c r="S277" s="1184"/>
      <c r="T277" s="1184"/>
      <c r="U277" s="1184"/>
      <c r="V277" s="1184"/>
      <c r="W277" s="1184"/>
      <c r="X277" s="1184"/>
      <c r="Y277" s="1184"/>
      <c r="Z277" s="1184"/>
      <c r="AA277" s="1184"/>
      <c r="AB277" s="1184"/>
      <c r="AC277" s="1184"/>
      <c r="AD277" s="1184"/>
      <c r="AE277" s="106"/>
      <c r="AF277" s="106"/>
      <c r="AG277" s="106"/>
      <c r="AH277" s="106"/>
      <c r="AI277" s="106"/>
      <c r="AJ277" s="106"/>
      <c r="AK277" s="106"/>
      <c r="AL277" s="106"/>
      <c r="AM277" s="102"/>
      <c r="AN277" s="202"/>
      <c r="AO277" s="192"/>
      <c r="AT277" s="425"/>
      <c r="AU277" s="425"/>
      <c r="AV277" s="425"/>
      <c r="AW277" s="425"/>
      <c r="AX277" s="425"/>
      <c r="AY277" s="425"/>
      <c r="AZ277" s="425"/>
    </row>
    <row r="278" spans="1:82">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 r="A279" s="4"/>
      <c r="B279" s="100"/>
      <c r="C279" s="135"/>
      <c r="D279" s="4" t="s">
        <v>1842</v>
      </c>
      <c r="E279" s="114"/>
      <c r="F279" s="114"/>
      <c r="G279" s="114"/>
      <c r="H279" s="1409" t="s">
        <v>71</v>
      </c>
      <c r="I279" s="106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6"/>
      <c r="BE279" s="636"/>
      <c r="BF279" s="636"/>
      <c r="BG279" s="636"/>
      <c r="BH279" s="636"/>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1912</v>
      </c>
      <c r="AJ281" s="1065">
        <f>VLOOKUP($H$279,$AO$274:$AP$275,2,FALSE)</f>
        <v>8</v>
      </c>
      <c r="AK281" s="974"/>
      <c r="AL281" s="10"/>
      <c r="AM281" s="4"/>
      <c r="AN281" s="202"/>
      <c r="AS281" s="425"/>
      <c r="AT281" s="425"/>
      <c r="AU281" s="425"/>
      <c r="AV281" s="425"/>
      <c r="AW281" s="425"/>
      <c r="AX281" s="425"/>
      <c r="AY281" s="425"/>
      <c r="AZ281" s="425"/>
      <c r="BA281" s="425"/>
      <c r="BB281" s="425"/>
      <c r="BC281" s="425"/>
      <c r="BD281" s="636"/>
      <c r="BE281" s="636"/>
      <c r="BF281" s="636"/>
      <c r="BG281" s="636"/>
      <c r="BH281" s="636"/>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6"/>
      <c r="BE282" s="636"/>
      <c r="BF282" s="636"/>
      <c r="BG282" s="636"/>
      <c r="BH282" s="636"/>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 r="A283" s="4"/>
      <c r="B283" s="100"/>
      <c r="C283" s="3" t="s">
        <v>1913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155</v>
      </c>
      <c r="AP283" s="469">
        <v>0</v>
      </c>
      <c r="AS283" s="425"/>
      <c r="AT283" s="425"/>
      <c r="AU283" s="425"/>
      <c r="AV283" s="425"/>
      <c r="AW283" s="425"/>
      <c r="AX283" s="425"/>
      <c r="AY283" s="425"/>
      <c r="AZ283" s="425"/>
      <c r="BA283" s="425"/>
      <c r="BB283" s="425"/>
      <c r="BC283" s="425"/>
      <c r="BD283" s="636"/>
      <c r="BE283" s="636"/>
      <c r="BF283" s="636"/>
      <c r="BG283" s="636"/>
      <c r="BH283" s="636"/>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907</v>
      </c>
      <c r="AP284" s="4">
        <v>5</v>
      </c>
      <c r="AS284" s="425"/>
      <c r="AT284" s="425"/>
      <c r="AU284" s="425"/>
      <c r="AV284" s="425"/>
      <c r="AW284" s="425"/>
      <c r="AX284" s="425"/>
      <c r="AY284" s="425"/>
      <c r="AZ284" s="425"/>
      <c r="BA284" s="425"/>
      <c r="BB284" s="425"/>
      <c r="BC284" s="425"/>
      <c r="BD284" s="636"/>
      <c r="BE284" s="636"/>
      <c r="BF284" s="636"/>
      <c r="BG284" s="636"/>
      <c r="BH284" s="636"/>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 r="A285" s="4"/>
      <c r="B285" s="100"/>
      <c r="C285" s="135"/>
      <c r="D285" s="26" t="s">
        <v>907</v>
      </c>
      <c r="E285" s="19" t="s">
        <v>1914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956</v>
      </c>
      <c r="AP285" s="4">
        <v>5</v>
      </c>
      <c r="AS285" s="425"/>
      <c r="AT285" s="425"/>
      <c r="AU285" s="425"/>
      <c r="AV285" s="425"/>
      <c r="AW285" s="425"/>
      <c r="AX285" s="425"/>
      <c r="AY285" s="425"/>
      <c r="AZ285" s="425"/>
      <c r="BA285" s="425"/>
      <c r="BB285" s="425"/>
      <c r="BC285" s="425"/>
      <c r="BD285" s="636"/>
      <c r="BE285" s="636"/>
      <c r="BF285" s="636"/>
      <c r="BG285" s="636"/>
      <c r="BH285" s="636"/>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6"/>
      <c r="BE286" s="636"/>
      <c r="BF286" s="636"/>
      <c r="BG286" s="636"/>
      <c r="BH286" s="636"/>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 r="A287" s="4"/>
      <c r="B287" s="100"/>
      <c r="C287" s="135"/>
      <c r="D287" s="26" t="s">
        <v>956</v>
      </c>
      <c r="E287" s="19" t="s">
        <v>1915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6"/>
      <c r="BE287" s="636"/>
      <c r="BF287" s="636"/>
      <c r="BG287" s="636"/>
      <c r="BH287" s="636"/>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ht="12.75" customHeight="1">
      <c r="A289" s="4"/>
      <c r="B289" s="100"/>
      <c r="C289" s="135"/>
      <c r="D289" s="4" t="s">
        <v>1842</v>
      </c>
      <c r="E289" s="114"/>
      <c r="F289" s="114"/>
      <c r="G289" s="114"/>
      <c r="H289" s="1409" t="s">
        <v>155</v>
      </c>
      <c r="I289" s="1060"/>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6"/>
      <c r="BE289" s="636"/>
      <c r="BF289" s="636"/>
      <c r="BG289" s="636"/>
      <c r="BH289" s="636"/>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1916</v>
      </c>
      <c r="AJ291" s="1065">
        <f>VLOOKUP($H$289,$AO$283:$AP$285,2,FALSE)</f>
        <v>0</v>
      </c>
      <c r="AK291" s="974"/>
      <c r="AL291" s="10"/>
      <c r="AM291" s="4"/>
      <c r="AN291" s="202"/>
      <c r="AS291" s="425"/>
      <c r="AT291" s="425"/>
      <c r="AU291" s="425"/>
      <c r="AV291" s="425"/>
      <c r="AW291" s="425"/>
      <c r="AX291" s="425"/>
      <c r="AY291" s="425"/>
      <c r="AZ291" s="425"/>
      <c r="BA291" s="425"/>
      <c r="BB291" s="425"/>
      <c r="BC291" s="425"/>
      <c r="BD291" s="636"/>
      <c r="BE291" s="636"/>
      <c r="BF291" s="636"/>
      <c r="BG291" s="636"/>
      <c r="BH291" s="636"/>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1917</v>
      </c>
      <c r="AK293" s="1065">
        <f>$AJ$124+$AJ$139+$AJ$151+$AJ$184+$AJ$206+$AJ$218+$AJ$230+$AJ$244+$AJ$256+$AJ$271+AJ281+AJ291</f>
        <v>18</v>
      </c>
      <c r="AL293" s="973"/>
      <c r="AM293" s="974"/>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1918</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1919</v>
      </c>
      <c r="C297" s="41"/>
      <c r="D297" s="41"/>
      <c r="E297" s="41"/>
      <c r="F297" s="41"/>
      <c r="H297" s="1117" t="s">
        <v>2448</v>
      </c>
      <c r="I297" s="1060"/>
      <c r="J297" s="1060"/>
      <c r="K297" s="1060"/>
      <c r="L297" s="1060"/>
      <c r="M297" s="1060"/>
      <c r="N297" s="1060"/>
      <c r="O297" s="1060"/>
      <c r="P297" s="1060"/>
      <c r="Q297" s="1060"/>
      <c r="R297" s="1060"/>
      <c r="T297" s="41" t="s">
        <v>1919</v>
      </c>
      <c r="V297" s="41"/>
      <c r="W297" s="41"/>
      <c r="X297" s="41"/>
      <c r="Y297" s="41"/>
      <c r="AA297" s="1059"/>
      <c r="AB297" s="1060"/>
      <c r="AC297" s="1060"/>
      <c r="AD297" s="1060"/>
      <c r="AE297" s="1060"/>
      <c r="AF297" s="1060"/>
      <c r="AG297" s="1060"/>
      <c r="AH297" s="1060"/>
      <c r="AI297" s="1060"/>
      <c r="AJ297" s="1060"/>
      <c r="AK297" s="1060"/>
      <c r="AL297" s="10"/>
      <c r="AN297" s="279"/>
      <c r="AP297" t="s">
        <v>1920</v>
      </c>
    </row>
    <row r="298" spans="1:82" s="4" customFormat="1" ht="12.75" customHeight="1">
      <c r="B298" s="41" t="s">
        <v>356</v>
      </c>
      <c r="C298" s="41"/>
      <c r="D298" s="41"/>
      <c r="E298" s="41"/>
      <c r="F298" s="41"/>
      <c r="H298" s="1126" t="s">
        <v>2449</v>
      </c>
      <c r="I298" s="1063"/>
      <c r="J298" s="1063"/>
      <c r="K298" s="1063"/>
      <c r="L298" s="1063"/>
      <c r="M298" s="1063"/>
      <c r="N298" s="1063"/>
      <c r="O298" s="1063"/>
      <c r="P298" s="1063"/>
      <c r="Q298" s="1063"/>
      <c r="R298" s="1063"/>
      <c r="T298" s="41" t="s">
        <v>356</v>
      </c>
      <c r="V298" s="41"/>
      <c r="W298" s="41"/>
      <c r="X298" s="41"/>
      <c r="Y298" s="41"/>
      <c r="AA298" s="1068"/>
      <c r="AB298" s="1063"/>
      <c r="AC298" s="1063"/>
      <c r="AD298" s="1063"/>
      <c r="AE298" s="1063"/>
      <c r="AF298" s="1063"/>
      <c r="AG298" s="1063"/>
      <c r="AH298" s="1063"/>
      <c r="AI298" s="1063"/>
      <c r="AJ298" s="1063"/>
      <c r="AK298" s="1063"/>
      <c r="AL298" s="10"/>
      <c r="AN298" s="279"/>
      <c r="AP298" t="s">
        <v>1921</v>
      </c>
    </row>
    <row r="299" spans="1:82" s="4" customFormat="1" ht="12.75" customHeight="1">
      <c r="B299" s="41" t="s">
        <v>1922</v>
      </c>
      <c r="C299" s="41"/>
      <c r="D299" s="41"/>
      <c r="E299" s="41"/>
      <c r="F299" s="41"/>
      <c r="H299" s="1126" t="s">
        <v>2441</v>
      </c>
      <c r="I299" s="1063"/>
      <c r="J299" s="1063"/>
      <c r="K299" s="1063"/>
      <c r="L299" s="1063"/>
      <c r="M299" s="1063"/>
      <c r="N299" s="1063"/>
      <c r="O299" s="1063"/>
      <c r="P299" s="1063"/>
      <c r="Q299" s="1063"/>
      <c r="R299" s="1063"/>
      <c r="T299" s="41" t="s">
        <v>1922</v>
      </c>
      <c r="V299" s="41"/>
      <c r="W299" s="41"/>
      <c r="X299" s="41"/>
      <c r="Y299" s="41"/>
      <c r="AA299" s="1068"/>
      <c r="AB299" s="1063"/>
      <c r="AC299" s="1063"/>
      <c r="AD299" s="1063"/>
      <c r="AE299" s="1063"/>
      <c r="AF299" s="1063"/>
      <c r="AG299" s="1063"/>
      <c r="AH299" s="1063"/>
      <c r="AI299" s="1063"/>
      <c r="AJ299" s="1063"/>
      <c r="AK299" s="1063"/>
      <c r="AL299" s="10"/>
      <c r="AN299" s="279"/>
      <c r="AO299" s="209"/>
      <c r="AP299" t="s">
        <v>1923</v>
      </c>
    </row>
    <row r="300" spans="1:82" s="4" customFormat="1" ht="12.75" customHeight="1">
      <c r="B300" s="41" t="s">
        <v>301</v>
      </c>
      <c r="C300" s="41"/>
      <c r="D300" s="41"/>
      <c r="E300" s="41"/>
      <c r="F300" s="41"/>
      <c r="H300" s="1068"/>
      <c r="I300" s="1063"/>
      <c r="J300" s="1063"/>
      <c r="K300" s="1063"/>
      <c r="L300" s="1063"/>
      <c r="M300" s="1063"/>
      <c r="N300" s="1063"/>
      <c r="O300" s="1063"/>
      <c r="P300" s="1063"/>
      <c r="Q300" s="1063"/>
      <c r="R300" s="1063"/>
      <c r="T300" s="41" t="s">
        <v>301</v>
      </c>
      <c r="V300" s="41"/>
      <c r="W300" s="41"/>
      <c r="X300" s="41"/>
      <c r="Y300" s="41"/>
      <c r="AA300" s="1068"/>
      <c r="AB300" s="1063"/>
      <c r="AC300" s="1063"/>
      <c r="AD300" s="1063"/>
      <c r="AE300" s="1063"/>
      <c r="AF300" s="1063"/>
      <c r="AG300" s="1063"/>
      <c r="AH300" s="1063"/>
      <c r="AI300" s="1063"/>
      <c r="AJ300" s="1063"/>
      <c r="AK300" s="1063"/>
      <c r="AL300" s="10"/>
      <c r="AN300" s="279"/>
      <c r="AO300" s="209"/>
      <c r="AP300" t="s">
        <v>1924</v>
      </c>
    </row>
    <row r="301" spans="1:82" s="4" customFormat="1" ht="12.75" customHeight="1">
      <c r="B301" s="41" t="s">
        <v>303</v>
      </c>
      <c r="C301" s="41"/>
      <c r="D301" s="41"/>
      <c r="E301" s="41"/>
      <c r="F301" s="41"/>
      <c r="G301" s="41"/>
      <c r="H301" s="1166" t="s">
        <v>2450</v>
      </c>
      <c r="I301" s="1060"/>
      <c r="J301" s="1060"/>
      <c r="K301" s="1060"/>
      <c r="L301" s="1060"/>
      <c r="M301" s="1060"/>
      <c r="N301" s="5" t="s">
        <v>305</v>
      </c>
      <c r="O301" s="5"/>
      <c r="P301" s="1061"/>
      <c r="Q301" s="1060"/>
      <c r="R301" s="1060"/>
      <c r="S301" s="41"/>
      <c r="T301" s="41" t="s">
        <v>303</v>
      </c>
      <c r="V301" s="41"/>
      <c r="W301" s="41"/>
      <c r="X301" s="41"/>
      <c r="Y301" s="41"/>
      <c r="AA301" s="1114"/>
      <c r="AB301" s="1060"/>
      <c r="AC301" s="1060"/>
      <c r="AD301" s="1060"/>
      <c r="AE301" s="1060"/>
      <c r="AF301" s="1060"/>
      <c r="AG301" s="5" t="s">
        <v>305</v>
      </c>
      <c r="AH301" s="5"/>
      <c r="AI301" s="1061"/>
      <c r="AJ301" s="1060"/>
      <c r="AK301" s="1060"/>
      <c r="AL301" s="10"/>
      <c r="AN301" s="279"/>
      <c r="AO301" s="209"/>
      <c r="AP301" t="s">
        <v>1925</v>
      </c>
    </row>
    <row r="302" spans="1:82" s="4" customFormat="1" ht="12.75" customHeight="1">
      <c r="B302" s="41" t="s">
        <v>1926</v>
      </c>
      <c r="C302" s="41"/>
      <c r="D302" s="41"/>
      <c r="E302" s="41"/>
      <c r="F302" s="41"/>
      <c r="G302" s="41"/>
      <c r="H302" s="1068" t="s">
        <v>1920</v>
      </c>
      <c r="I302" s="1063"/>
      <c r="J302" s="1063"/>
      <c r="K302" s="1063"/>
      <c r="L302" s="1063"/>
      <c r="M302" s="1063"/>
      <c r="N302" s="1063"/>
      <c r="O302" s="1063"/>
      <c r="P302" s="1063"/>
      <c r="Q302" s="1063"/>
      <c r="R302" s="1063"/>
      <c r="S302" s="41"/>
      <c r="T302" s="41" t="s">
        <v>1926</v>
      </c>
      <c r="V302" s="41"/>
      <c r="W302" s="41"/>
      <c r="X302" s="41"/>
      <c r="Y302" s="41"/>
      <c r="AA302" s="1068"/>
      <c r="AB302" s="1063"/>
      <c r="AC302" s="1063"/>
      <c r="AD302" s="1063"/>
      <c r="AE302" s="1063"/>
      <c r="AF302" s="1063"/>
      <c r="AG302" s="1063"/>
      <c r="AH302" s="1063"/>
      <c r="AI302" s="1063"/>
      <c r="AJ302" s="1063"/>
      <c r="AK302" s="1063"/>
      <c r="AL302" s="10"/>
      <c r="AN302" s="279"/>
      <c r="AO302" s="209"/>
      <c r="AP302" t="s">
        <v>1927</v>
      </c>
    </row>
    <row r="303" spans="1:82" s="4" customFormat="1" ht="12.75" customHeight="1">
      <c r="B303" s="41" t="s">
        <v>1928</v>
      </c>
      <c r="C303" s="41"/>
      <c r="D303" s="41"/>
      <c r="E303" s="41"/>
      <c r="F303" s="41"/>
      <c r="G303" s="41"/>
      <c r="H303" s="1126" t="s">
        <v>2451</v>
      </c>
      <c r="I303" s="1063"/>
      <c r="J303" s="1063"/>
      <c r="K303" s="1063"/>
      <c r="L303" s="1063"/>
      <c r="M303" s="1063"/>
      <c r="N303" s="1063"/>
      <c r="O303" s="1063"/>
      <c r="P303" s="1063"/>
      <c r="Q303" s="1063"/>
      <c r="R303" s="1063"/>
      <c r="S303" s="41"/>
      <c r="T303" s="41" t="s">
        <v>1928</v>
      </c>
      <c r="V303" s="41"/>
      <c r="W303" s="41"/>
      <c r="X303" s="41"/>
      <c r="Y303" s="41"/>
      <c r="AA303" s="1068"/>
      <c r="AB303" s="1063"/>
      <c r="AC303" s="1063"/>
      <c r="AD303" s="1063"/>
      <c r="AE303" s="1063"/>
      <c r="AF303" s="1063"/>
      <c r="AG303" s="1063"/>
      <c r="AH303" s="1063"/>
      <c r="AI303" s="1063"/>
      <c r="AJ303" s="1063"/>
      <c r="AK303" s="1063"/>
      <c r="AL303" s="10"/>
      <c r="AN303" s="279"/>
      <c r="AP303" t="s">
        <v>1929</v>
      </c>
    </row>
    <row r="304" spans="1:82" s="4" customFormat="1" ht="12.75" customHeight="1">
      <c r="B304" s="41" t="s">
        <v>1930</v>
      </c>
      <c r="C304" s="41"/>
      <c r="D304" s="41"/>
      <c r="E304" s="41"/>
      <c r="F304" s="41"/>
      <c r="G304" s="41"/>
      <c r="H304" s="1483" t="s">
        <v>2452</v>
      </c>
      <c r="I304" s="1063"/>
      <c r="J304" s="1063"/>
      <c r="K304" s="1063"/>
      <c r="L304" s="1063"/>
      <c r="M304" s="1063"/>
      <c r="N304" s="1063"/>
      <c r="O304" s="1063"/>
      <c r="P304" s="1063"/>
      <c r="Q304" s="1063"/>
      <c r="R304" s="1063"/>
      <c r="S304" s="41"/>
      <c r="T304" s="41" t="s">
        <v>1930</v>
      </c>
      <c r="U304" s="41"/>
      <c r="V304" s="41"/>
      <c r="W304" s="41"/>
      <c r="X304" s="41"/>
      <c r="Y304" s="41"/>
      <c r="Z304" s="12"/>
      <c r="AA304" s="1439"/>
      <c r="AB304" s="1063"/>
      <c r="AC304" s="1063"/>
      <c r="AD304" s="1063"/>
      <c r="AE304" s="1063"/>
      <c r="AF304" s="1063"/>
      <c r="AG304" s="1063"/>
      <c r="AH304" s="1063"/>
      <c r="AI304" s="1063"/>
      <c r="AJ304" s="1063"/>
      <c r="AK304" s="1063"/>
      <c r="AL304" s="10"/>
      <c r="AN304" s="279"/>
      <c r="AP304" t="s">
        <v>1931</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1932</v>
      </c>
    </row>
    <row r="306" spans="1:42" s="4" customFormat="1" ht="12.75" customHeight="1">
      <c r="B306" s="41" t="s">
        <v>1919</v>
      </c>
      <c r="C306" s="41"/>
      <c r="D306" s="41"/>
      <c r="E306" s="41"/>
      <c r="F306" s="41"/>
      <c r="H306" s="1117" t="s">
        <v>2453</v>
      </c>
      <c r="I306" s="1060"/>
      <c r="J306" s="1060"/>
      <c r="K306" s="1060"/>
      <c r="L306" s="1060"/>
      <c r="M306" s="1060"/>
      <c r="N306" s="1060"/>
      <c r="O306" s="1060"/>
      <c r="P306" s="1060"/>
      <c r="Q306" s="1060"/>
      <c r="R306" s="1060"/>
      <c r="T306" s="41" t="s">
        <v>1919</v>
      </c>
      <c r="V306" s="41"/>
      <c r="W306" s="41"/>
      <c r="X306" s="41"/>
      <c r="Y306" s="41"/>
      <c r="AA306" s="1059"/>
      <c r="AB306" s="1060"/>
      <c r="AC306" s="1060"/>
      <c r="AD306" s="1060"/>
      <c r="AE306" s="1060"/>
      <c r="AF306" s="1060"/>
      <c r="AG306" s="1060"/>
      <c r="AH306" s="1060"/>
      <c r="AI306" s="1060"/>
      <c r="AJ306" s="1060"/>
      <c r="AK306" s="1060"/>
      <c r="AL306" s="10"/>
      <c r="AN306" s="279"/>
      <c r="AP306" t="s">
        <v>1933</v>
      </c>
    </row>
    <row r="307" spans="1:42" s="20" customFormat="1" ht="12.75" customHeight="1">
      <c r="A307" s="4"/>
      <c r="B307" s="41" t="s">
        <v>356</v>
      </c>
      <c r="C307" s="41"/>
      <c r="D307" s="41"/>
      <c r="E307" s="41"/>
      <c r="F307" s="41"/>
      <c r="H307" s="1126" t="s">
        <v>2454</v>
      </c>
      <c r="I307" s="1063"/>
      <c r="J307" s="1063"/>
      <c r="K307" s="1063"/>
      <c r="L307" s="1063"/>
      <c r="M307" s="1063"/>
      <c r="N307" s="1063"/>
      <c r="O307" s="1063"/>
      <c r="P307" s="1063"/>
      <c r="Q307" s="1063"/>
      <c r="R307" s="1063"/>
      <c r="T307" s="41" t="s">
        <v>356</v>
      </c>
      <c r="V307" s="41"/>
      <c r="W307" s="41"/>
      <c r="X307" s="41"/>
      <c r="Y307" s="41"/>
      <c r="AA307" s="1068"/>
      <c r="AB307" s="1063"/>
      <c r="AC307" s="1063"/>
      <c r="AD307" s="1063"/>
      <c r="AE307" s="1063"/>
      <c r="AF307" s="1063"/>
      <c r="AG307" s="1063"/>
      <c r="AH307" s="1063"/>
      <c r="AI307" s="1063"/>
      <c r="AJ307" s="1063"/>
      <c r="AK307" s="1063"/>
      <c r="AL307" s="10"/>
      <c r="AM307" s="4"/>
      <c r="AN307" s="279"/>
      <c r="AO307" s="4"/>
      <c r="AP307" s="48" t="s">
        <v>1934</v>
      </c>
    </row>
    <row r="308" spans="1:42" s="20" customFormat="1" ht="12.75" customHeight="1">
      <c r="A308" s="4"/>
      <c r="B308" s="41" t="s">
        <v>1922</v>
      </c>
      <c r="C308" s="41"/>
      <c r="D308" s="41"/>
      <c r="E308" s="41"/>
      <c r="F308" s="41"/>
      <c r="H308" s="1126" t="s">
        <v>2441</v>
      </c>
      <c r="I308" s="1063"/>
      <c r="J308" s="1063"/>
      <c r="K308" s="1063"/>
      <c r="L308" s="1063"/>
      <c r="M308" s="1063"/>
      <c r="N308" s="1063"/>
      <c r="O308" s="1063"/>
      <c r="P308" s="1063"/>
      <c r="Q308" s="1063"/>
      <c r="R308" s="1063"/>
      <c r="T308" s="41" t="s">
        <v>1922</v>
      </c>
      <c r="V308" s="41"/>
      <c r="W308" s="41"/>
      <c r="X308" s="41"/>
      <c r="Y308" s="41"/>
      <c r="AA308" s="1068"/>
      <c r="AB308" s="1063"/>
      <c r="AC308" s="1063"/>
      <c r="AD308" s="1063"/>
      <c r="AE308" s="1063"/>
      <c r="AF308" s="1063"/>
      <c r="AG308" s="1063"/>
      <c r="AH308" s="1063"/>
      <c r="AI308" s="1063"/>
      <c r="AJ308" s="1063"/>
      <c r="AK308" s="1063"/>
      <c r="AL308" s="10"/>
      <c r="AM308" s="4"/>
      <c r="AN308" s="279"/>
      <c r="AO308" s="4"/>
    </row>
    <row r="309" spans="1:42" s="4" customFormat="1" ht="12.75" customHeight="1">
      <c r="B309" s="41" t="s">
        <v>301</v>
      </c>
      <c r="C309" s="41"/>
      <c r="D309" s="41"/>
      <c r="E309" s="41"/>
      <c r="F309" s="41"/>
      <c r="H309" s="1126" t="s">
        <v>2456</v>
      </c>
      <c r="I309" s="1063"/>
      <c r="J309" s="1063"/>
      <c r="K309" s="1063"/>
      <c r="L309" s="1063"/>
      <c r="M309" s="1063"/>
      <c r="N309" s="1063"/>
      <c r="O309" s="1063"/>
      <c r="P309" s="1063"/>
      <c r="Q309" s="1063"/>
      <c r="R309" s="1063"/>
      <c r="T309" s="41" t="s">
        <v>301</v>
      </c>
      <c r="V309" s="41"/>
      <c r="W309" s="41"/>
      <c r="X309" s="41"/>
      <c r="Y309" s="41"/>
      <c r="AA309" s="1068"/>
      <c r="AB309" s="1063"/>
      <c r="AC309" s="1063"/>
      <c r="AD309" s="1063"/>
      <c r="AE309" s="1063"/>
      <c r="AF309" s="1063"/>
      <c r="AG309" s="1063"/>
      <c r="AH309" s="1063"/>
      <c r="AI309" s="1063"/>
      <c r="AJ309" s="1063"/>
      <c r="AK309" s="1063"/>
      <c r="AL309" s="10"/>
      <c r="AN309" s="279"/>
    </row>
    <row r="310" spans="1:42" s="4" customFormat="1" ht="12.75" customHeight="1">
      <c r="B310" s="41" t="s">
        <v>303</v>
      </c>
      <c r="C310" s="41"/>
      <c r="D310" s="41"/>
      <c r="E310" s="41"/>
      <c r="F310" s="41"/>
      <c r="G310" s="41"/>
      <c r="H310" s="1166" t="s">
        <v>2457</v>
      </c>
      <c r="I310" s="1060"/>
      <c r="J310" s="1060"/>
      <c r="K310" s="1060"/>
      <c r="L310" s="1060"/>
      <c r="M310" s="1060"/>
      <c r="N310" s="5" t="s">
        <v>305</v>
      </c>
      <c r="O310" s="5"/>
      <c r="P310" s="1061"/>
      <c r="Q310" s="1060"/>
      <c r="R310" s="1060"/>
      <c r="S310" s="41"/>
      <c r="T310" s="41" t="s">
        <v>303</v>
      </c>
      <c r="V310" s="41"/>
      <c r="W310" s="41"/>
      <c r="X310" s="41"/>
      <c r="Y310" s="41"/>
      <c r="AA310" s="1114"/>
      <c r="AB310" s="1060"/>
      <c r="AC310" s="1060"/>
      <c r="AD310" s="1060"/>
      <c r="AE310" s="1060"/>
      <c r="AF310" s="1060"/>
      <c r="AG310" s="5" t="s">
        <v>305</v>
      </c>
      <c r="AH310" s="5"/>
      <c r="AI310" s="1061"/>
      <c r="AJ310" s="1060"/>
      <c r="AK310" s="1060"/>
      <c r="AL310" s="10"/>
      <c r="AN310" s="279"/>
    </row>
    <row r="311" spans="1:42" s="4" customFormat="1" ht="12.75" customHeight="1">
      <c r="B311" s="41" t="s">
        <v>1926</v>
      </c>
      <c r="C311" s="41"/>
      <c r="D311" s="41"/>
      <c r="E311" s="41"/>
      <c r="F311" s="41"/>
      <c r="G311" s="41"/>
      <c r="H311" s="1068" t="s">
        <v>1921</v>
      </c>
      <c r="I311" s="1063"/>
      <c r="J311" s="1063"/>
      <c r="K311" s="1063"/>
      <c r="L311" s="1063"/>
      <c r="M311" s="1063"/>
      <c r="N311" s="1063"/>
      <c r="O311" s="1063"/>
      <c r="P311" s="1063"/>
      <c r="Q311" s="1063"/>
      <c r="R311" s="1063"/>
      <c r="S311" s="41"/>
      <c r="T311" s="41" t="s">
        <v>1926</v>
      </c>
      <c r="V311" s="41"/>
      <c r="W311" s="41"/>
      <c r="X311" s="41"/>
      <c r="Y311" s="41"/>
      <c r="AA311" s="1068"/>
      <c r="AB311" s="1063"/>
      <c r="AC311" s="1063"/>
      <c r="AD311" s="1063"/>
      <c r="AE311" s="1063"/>
      <c r="AF311" s="1063"/>
      <c r="AG311" s="1063"/>
      <c r="AH311" s="1063"/>
      <c r="AI311" s="1063"/>
      <c r="AJ311" s="1063"/>
      <c r="AK311" s="1063"/>
      <c r="AL311" s="10"/>
      <c r="AN311" s="279"/>
    </row>
    <row r="312" spans="1:42" s="4" customFormat="1" ht="12.75" customHeight="1">
      <c r="B312" s="41" t="s">
        <v>1928</v>
      </c>
      <c r="C312" s="41"/>
      <c r="D312" s="41"/>
      <c r="E312" s="41"/>
      <c r="F312" s="41"/>
      <c r="G312" s="41"/>
      <c r="H312" s="1126" t="s">
        <v>2455</v>
      </c>
      <c r="I312" s="1063"/>
      <c r="J312" s="1063"/>
      <c r="K312" s="1063"/>
      <c r="L312" s="1063"/>
      <c r="M312" s="1063"/>
      <c r="N312" s="1063"/>
      <c r="O312" s="1063"/>
      <c r="P312" s="1063"/>
      <c r="Q312" s="1063"/>
      <c r="R312" s="1063"/>
      <c r="S312" s="41"/>
      <c r="T312" s="41" t="s">
        <v>1928</v>
      </c>
      <c r="V312" s="41"/>
      <c r="W312" s="41"/>
      <c r="X312" s="41"/>
      <c r="Y312" s="41"/>
      <c r="AA312" s="1068"/>
      <c r="AB312" s="1063"/>
      <c r="AC312" s="1063"/>
      <c r="AD312" s="1063"/>
      <c r="AE312" s="1063"/>
      <c r="AF312" s="1063"/>
      <c r="AG312" s="1063"/>
      <c r="AH312" s="1063"/>
      <c r="AI312" s="1063"/>
      <c r="AJ312" s="1063"/>
      <c r="AK312" s="1063"/>
      <c r="AL312" s="10"/>
      <c r="AN312" s="279"/>
    </row>
    <row r="313" spans="1:42" s="4" customFormat="1" ht="12.75" customHeight="1">
      <c r="B313" s="41" t="s">
        <v>1930</v>
      </c>
      <c r="C313" s="41"/>
      <c r="D313" s="41"/>
      <c r="E313" s="41"/>
      <c r="F313" s="41"/>
      <c r="G313" s="41"/>
      <c r="H313" s="1483" t="s">
        <v>2452</v>
      </c>
      <c r="I313" s="1063"/>
      <c r="J313" s="1063"/>
      <c r="K313" s="1063"/>
      <c r="L313" s="1063"/>
      <c r="M313" s="1063"/>
      <c r="N313" s="1063"/>
      <c r="O313" s="1063"/>
      <c r="P313" s="1063"/>
      <c r="Q313" s="1063"/>
      <c r="R313" s="1063"/>
      <c r="S313" s="41"/>
      <c r="T313" s="41" t="s">
        <v>1930</v>
      </c>
      <c r="U313" s="41"/>
      <c r="V313" s="41"/>
      <c r="W313" s="41"/>
      <c r="X313" s="41"/>
      <c r="Y313" s="41"/>
      <c r="Z313" s="12"/>
      <c r="AA313" s="1439"/>
      <c r="AB313" s="1063"/>
      <c r="AC313" s="1063"/>
      <c r="AD313" s="1063"/>
      <c r="AE313" s="1063"/>
      <c r="AF313" s="1063"/>
      <c r="AG313" s="1063"/>
      <c r="AH313" s="1063"/>
      <c r="AI313" s="1063"/>
      <c r="AJ313" s="1063"/>
      <c r="AK313" s="1063"/>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1919</v>
      </c>
      <c r="C315" s="41"/>
      <c r="D315" s="41"/>
      <c r="E315" s="41"/>
      <c r="F315" s="41"/>
      <c r="H315" s="1059"/>
      <c r="I315" s="1060"/>
      <c r="J315" s="1060"/>
      <c r="K315" s="1060"/>
      <c r="L315" s="1060"/>
      <c r="M315" s="1060"/>
      <c r="N315" s="1060"/>
      <c r="O315" s="1060"/>
      <c r="P315" s="1060"/>
      <c r="Q315" s="1060"/>
      <c r="R315" s="1060"/>
      <c r="T315" s="41" t="s">
        <v>1919</v>
      </c>
      <c r="V315" s="41"/>
      <c r="W315" s="41"/>
      <c r="X315" s="41"/>
      <c r="Y315" s="41"/>
      <c r="AA315" s="1059"/>
      <c r="AB315" s="1060"/>
      <c r="AC315" s="1060"/>
      <c r="AD315" s="1060"/>
      <c r="AE315" s="1060"/>
      <c r="AF315" s="1060"/>
      <c r="AG315" s="1060"/>
      <c r="AH315" s="1060"/>
      <c r="AI315" s="1060"/>
      <c r="AJ315" s="1060"/>
      <c r="AK315" s="1060"/>
      <c r="AL315" s="10"/>
      <c r="AN315" s="279"/>
    </row>
    <row r="316" spans="1:42" s="4" customFormat="1" ht="12.75" customHeight="1">
      <c r="B316" s="41" t="s">
        <v>356</v>
      </c>
      <c r="C316" s="41"/>
      <c r="D316" s="41"/>
      <c r="E316" s="41"/>
      <c r="F316" s="41"/>
      <c r="H316" s="1068"/>
      <c r="I316" s="1063"/>
      <c r="J316" s="1063"/>
      <c r="K316" s="1063"/>
      <c r="L316" s="1063"/>
      <c r="M316" s="1063"/>
      <c r="N316" s="1063"/>
      <c r="O316" s="1063"/>
      <c r="P316" s="1063"/>
      <c r="Q316" s="1063"/>
      <c r="R316" s="1063"/>
      <c r="T316" s="41" t="s">
        <v>356</v>
      </c>
      <c r="V316" s="41"/>
      <c r="W316" s="41"/>
      <c r="X316" s="41"/>
      <c r="Y316" s="41"/>
      <c r="AA316" s="1068"/>
      <c r="AB316" s="1063"/>
      <c r="AC316" s="1063"/>
      <c r="AD316" s="1063"/>
      <c r="AE316" s="1063"/>
      <c r="AF316" s="1063"/>
      <c r="AG316" s="1063"/>
      <c r="AH316" s="1063"/>
      <c r="AI316" s="1063"/>
      <c r="AJ316" s="1063"/>
      <c r="AK316" s="1063"/>
      <c r="AL316" s="10"/>
      <c r="AN316" s="279"/>
    </row>
    <row r="317" spans="1:42" s="4" customFormat="1" ht="12.75" customHeight="1">
      <c r="B317" s="41" t="s">
        <v>1922</v>
      </c>
      <c r="C317" s="41"/>
      <c r="D317" s="41"/>
      <c r="E317" s="41"/>
      <c r="F317" s="41"/>
      <c r="H317" s="1068"/>
      <c r="I317" s="1063"/>
      <c r="J317" s="1063"/>
      <c r="K317" s="1063"/>
      <c r="L317" s="1063"/>
      <c r="M317" s="1063"/>
      <c r="N317" s="1063"/>
      <c r="O317" s="1063"/>
      <c r="P317" s="1063"/>
      <c r="Q317" s="1063"/>
      <c r="R317" s="1063"/>
      <c r="T317" s="41" t="s">
        <v>1922</v>
      </c>
      <c r="V317" s="41"/>
      <c r="W317" s="41"/>
      <c r="X317" s="41"/>
      <c r="Y317" s="41"/>
      <c r="AA317" s="1068"/>
      <c r="AB317" s="1063"/>
      <c r="AC317" s="1063"/>
      <c r="AD317" s="1063"/>
      <c r="AE317" s="1063"/>
      <c r="AF317" s="1063"/>
      <c r="AG317" s="1063"/>
      <c r="AH317" s="1063"/>
      <c r="AI317" s="1063"/>
      <c r="AJ317" s="1063"/>
      <c r="AK317" s="1063"/>
      <c r="AL317" s="10"/>
      <c r="AN317" s="279"/>
    </row>
    <row r="318" spans="1:42" s="4" customFormat="1" ht="12.75" customHeight="1">
      <c r="B318" s="41" t="s">
        <v>301</v>
      </c>
      <c r="C318" s="41"/>
      <c r="D318" s="41"/>
      <c r="E318" s="41"/>
      <c r="F318" s="41"/>
      <c r="H318" s="1068"/>
      <c r="I318" s="1063"/>
      <c r="J318" s="1063"/>
      <c r="K318" s="1063"/>
      <c r="L318" s="1063"/>
      <c r="M318" s="1063"/>
      <c r="N318" s="1063"/>
      <c r="O318" s="1063"/>
      <c r="P318" s="1063"/>
      <c r="Q318" s="1063"/>
      <c r="R318" s="1063"/>
      <c r="T318" s="41" t="s">
        <v>301</v>
      </c>
      <c r="V318" s="41"/>
      <c r="W318" s="41"/>
      <c r="X318" s="41"/>
      <c r="Y318" s="41"/>
      <c r="AA318" s="1068"/>
      <c r="AB318" s="1063"/>
      <c r="AC318" s="1063"/>
      <c r="AD318" s="1063"/>
      <c r="AE318" s="1063"/>
      <c r="AF318" s="1063"/>
      <c r="AG318" s="1063"/>
      <c r="AH318" s="1063"/>
      <c r="AI318" s="1063"/>
      <c r="AJ318" s="1063"/>
      <c r="AK318" s="1063"/>
      <c r="AL318" s="10"/>
      <c r="AN318" s="279"/>
    </row>
    <row r="319" spans="1:42" s="4" customFormat="1" ht="12.75" customHeight="1">
      <c r="B319" s="41" t="s">
        <v>303</v>
      </c>
      <c r="C319" s="41"/>
      <c r="D319" s="41"/>
      <c r="E319" s="41"/>
      <c r="F319" s="41"/>
      <c r="G319" s="41"/>
      <c r="H319" s="1114"/>
      <c r="I319" s="1060"/>
      <c r="J319" s="1060"/>
      <c r="K319" s="1060"/>
      <c r="L319" s="1060"/>
      <c r="M319" s="1060"/>
      <c r="N319" s="5" t="s">
        <v>305</v>
      </c>
      <c r="O319" s="5"/>
      <c r="P319" s="1061"/>
      <c r="Q319" s="1060"/>
      <c r="R319" s="1060"/>
      <c r="S319" s="41"/>
      <c r="T319" s="41" t="s">
        <v>303</v>
      </c>
      <c r="V319" s="41"/>
      <c r="W319" s="41"/>
      <c r="X319" s="41"/>
      <c r="Y319" s="41"/>
      <c r="AA319" s="1114"/>
      <c r="AB319" s="1060"/>
      <c r="AC319" s="1060"/>
      <c r="AD319" s="1060"/>
      <c r="AE319" s="1060"/>
      <c r="AF319" s="1060"/>
      <c r="AG319" s="5" t="s">
        <v>305</v>
      </c>
      <c r="AH319" s="5"/>
      <c r="AI319" s="1061"/>
      <c r="AJ319" s="1060"/>
      <c r="AK319" s="1060"/>
      <c r="AL319" s="10"/>
      <c r="AN319" s="279"/>
    </row>
    <row r="320" spans="1:42" s="4" customFormat="1" ht="12.75" customHeight="1">
      <c r="B320" s="41" t="s">
        <v>1926</v>
      </c>
      <c r="C320" s="41"/>
      <c r="D320" s="41"/>
      <c r="E320" s="41"/>
      <c r="F320" s="41"/>
      <c r="G320" s="41"/>
      <c r="H320" s="1068"/>
      <c r="I320" s="1063"/>
      <c r="J320" s="1063"/>
      <c r="K320" s="1063"/>
      <c r="L320" s="1063"/>
      <c r="M320" s="1063"/>
      <c r="N320" s="1063"/>
      <c r="O320" s="1063"/>
      <c r="P320" s="1063"/>
      <c r="Q320" s="1063"/>
      <c r="R320" s="1063"/>
      <c r="S320" s="41"/>
      <c r="T320" s="41" t="s">
        <v>1926</v>
      </c>
      <c r="V320" s="41"/>
      <c r="W320" s="41"/>
      <c r="X320" s="41"/>
      <c r="Y320" s="41"/>
      <c r="AA320" s="1068"/>
      <c r="AB320" s="1063"/>
      <c r="AC320" s="1063"/>
      <c r="AD320" s="1063"/>
      <c r="AE320" s="1063"/>
      <c r="AF320" s="1063"/>
      <c r="AG320" s="1063"/>
      <c r="AH320" s="1063"/>
      <c r="AI320" s="1063"/>
      <c r="AJ320" s="1063"/>
      <c r="AK320" s="1063"/>
      <c r="AL320" s="10"/>
      <c r="AN320" s="279"/>
    </row>
    <row r="321" spans="2:40" s="4" customFormat="1" ht="12.75" customHeight="1">
      <c r="B321" s="41" t="s">
        <v>1928</v>
      </c>
      <c r="C321" s="41"/>
      <c r="D321" s="41"/>
      <c r="E321" s="41"/>
      <c r="F321" s="41"/>
      <c r="G321" s="41"/>
      <c r="H321" s="1068"/>
      <c r="I321" s="1063"/>
      <c r="J321" s="1063"/>
      <c r="K321" s="1063"/>
      <c r="L321" s="1063"/>
      <c r="M321" s="1063"/>
      <c r="N321" s="1063"/>
      <c r="O321" s="1063"/>
      <c r="P321" s="1063"/>
      <c r="Q321" s="1063"/>
      <c r="R321" s="1063"/>
      <c r="S321" s="41"/>
      <c r="T321" s="41" t="s">
        <v>1928</v>
      </c>
      <c r="V321" s="41"/>
      <c r="W321" s="41"/>
      <c r="X321" s="41"/>
      <c r="Y321" s="41"/>
      <c r="AA321" s="1068"/>
      <c r="AB321" s="1063"/>
      <c r="AC321" s="1063"/>
      <c r="AD321" s="1063"/>
      <c r="AE321" s="1063"/>
      <c r="AF321" s="1063"/>
      <c r="AG321" s="1063"/>
      <c r="AH321" s="1063"/>
      <c r="AI321" s="1063"/>
      <c r="AJ321" s="1063"/>
      <c r="AK321" s="1063"/>
      <c r="AL321" s="10"/>
      <c r="AN321" s="279"/>
    </row>
    <row r="322" spans="2:40" s="4" customFormat="1" ht="12.75" customHeight="1">
      <c r="B322" s="41" t="s">
        <v>1930</v>
      </c>
      <c r="C322" s="41"/>
      <c r="D322" s="41"/>
      <c r="E322" s="41"/>
      <c r="F322" s="41"/>
      <c r="G322" s="41"/>
      <c r="H322" s="1439"/>
      <c r="I322" s="1063"/>
      <c r="J322" s="1063"/>
      <c r="K322" s="1063"/>
      <c r="L322" s="1063"/>
      <c r="M322" s="1063"/>
      <c r="N322" s="1063"/>
      <c r="O322" s="1063"/>
      <c r="P322" s="1063"/>
      <c r="Q322" s="1063"/>
      <c r="R322" s="1063"/>
      <c r="S322" s="41"/>
      <c r="T322" s="41" t="s">
        <v>1930</v>
      </c>
      <c r="U322" s="41"/>
      <c r="V322" s="41"/>
      <c r="W322" s="41"/>
      <c r="X322" s="41"/>
      <c r="Y322" s="41"/>
      <c r="Z322" s="12"/>
      <c r="AA322" s="1439"/>
      <c r="AB322" s="1063"/>
      <c r="AC322" s="1063"/>
      <c r="AD322" s="1063"/>
      <c r="AE322" s="1063"/>
      <c r="AF322" s="1063"/>
      <c r="AG322" s="1063"/>
      <c r="AH322" s="1063"/>
      <c r="AI322" s="1063"/>
      <c r="AJ322" s="1063"/>
      <c r="AK322" s="1063"/>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1919</v>
      </c>
      <c r="C324" s="41"/>
      <c r="D324" s="41"/>
      <c r="E324" s="41"/>
      <c r="F324" s="41"/>
      <c r="H324" s="1059"/>
      <c r="I324" s="1060"/>
      <c r="J324" s="1060"/>
      <c r="K324" s="1060"/>
      <c r="L324" s="1060"/>
      <c r="M324" s="1060"/>
      <c r="N324" s="1060"/>
      <c r="O324" s="1060"/>
      <c r="P324" s="1060"/>
      <c r="Q324" s="1060"/>
      <c r="R324" s="1060"/>
      <c r="T324" s="41" t="s">
        <v>1919</v>
      </c>
      <c r="V324" s="41"/>
      <c r="W324" s="41"/>
      <c r="X324" s="41"/>
      <c r="Y324" s="41"/>
      <c r="AA324" s="1059"/>
      <c r="AB324" s="1060"/>
      <c r="AC324" s="1060"/>
      <c r="AD324" s="1060"/>
      <c r="AE324" s="1060"/>
      <c r="AF324" s="1060"/>
      <c r="AG324" s="1060"/>
      <c r="AH324" s="1060"/>
      <c r="AI324" s="1060"/>
      <c r="AJ324" s="1060"/>
      <c r="AK324" s="1060"/>
      <c r="AL324" s="10"/>
      <c r="AN324" s="279"/>
    </row>
    <row r="325" spans="2:40" s="4" customFormat="1" ht="12.75" customHeight="1">
      <c r="B325" s="41" t="s">
        <v>356</v>
      </c>
      <c r="C325" s="41"/>
      <c r="D325" s="41"/>
      <c r="E325" s="41"/>
      <c r="F325" s="41"/>
      <c r="H325" s="1068"/>
      <c r="I325" s="1063"/>
      <c r="J325" s="1063"/>
      <c r="K325" s="1063"/>
      <c r="L325" s="1063"/>
      <c r="M325" s="1063"/>
      <c r="N325" s="1063"/>
      <c r="O325" s="1063"/>
      <c r="P325" s="1063"/>
      <c r="Q325" s="1063"/>
      <c r="R325" s="1063"/>
      <c r="T325" s="41" t="s">
        <v>356</v>
      </c>
      <c r="V325" s="41"/>
      <c r="W325" s="41"/>
      <c r="X325" s="41"/>
      <c r="Y325" s="41"/>
      <c r="AA325" s="1068"/>
      <c r="AB325" s="1063"/>
      <c r="AC325" s="1063"/>
      <c r="AD325" s="1063"/>
      <c r="AE325" s="1063"/>
      <c r="AF325" s="1063"/>
      <c r="AG325" s="1063"/>
      <c r="AH325" s="1063"/>
      <c r="AI325" s="1063"/>
      <c r="AJ325" s="1063"/>
      <c r="AK325" s="1063"/>
      <c r="AL325" s="10"/>
      <c r="AN325" s="279"/>
    </row>
    <row r="326" spans="2:40" s="4" customFormat="1" ht="12.75" customHeight="1">
      <c r="B326" s="41" t="s">
        <v>1922</v>
      </c>
      <c r="C326" s="41"/>
      <c r="D326" s="41"/>
      <c r="E326" s="41"/>
      <c r="F326" s="41"/>
      <c r="H326" s="1068"/>
      <c r="I326" s="1063"/>
      <c r="J326" s="1063"/>
      <c r="K326" s="1063"/>
      <c r="L326" s="1063"/>
      <c r="M326" s="1063"/>
      <c r="N326" s="1063"/>
      <c r="O326" s="1063"/>
      <c r="P326" s="1063"/>
      <c r="Q326" s="1063"/>
      <c r="R326" s="1063"/>
      <c r="T326" s="41" t="s">
        <v>1922</v>
      </c>
      <c r="V326" s="41"/>
      <c r="W326" s="41"/>
      <c r="X326" s="41"/>
      <c r="Y326" s="41"/>
      <c r="AA326" s="1068"/>
      <c r="AB326" s="1063"/>
      <c r="AC326" s="1063"/>
      <c r="AD326" s="1063"/>
      <c r="AE326" s="1063"/>
      <c r="AF326" s="1063"/>
      <c r="AG326" s="1063"/>
      <c r="AH326" s="1063"/>
      <c r="AI326" s="1063"/>
      <c r="AJ326" s="1063"/>
      <c r="AK326" s="1063"/>
      <c r="AL326" s="10"/>
      <c r="AN326" s="279"/>
    </row>
    <row r="327" spans="2:40" s="4" customFormat="1" ht="12.75" customHeight="1">
      <c r="B327" s="41" t="s">
        <v>301</v>
      </c>
      <c r="C327" s="41"/>
      <c r="D327" s="41"/>
      <c r="E327" s="41"/>
      <c r="F327" s="41"/>
      <c r="H327" s="1068"/>
      <c r="I327" s="1063"/>
      <c r="J327" s="1063"/>
      <c r="K327" s="1063"/>
      <c r="L327" s="1063"/>
      <c r="M327" s="1063"/>
      <c r="N327" s="1063"/>
      <c r="O327" s="1063"/>
      <c r="P327" s="1063"/>
      <c r="Q327" s="1063"/>
      <c r="R327" s="1063"/>
      <c r="T327" s="41" t="s">
        <v>301</v>
      </c>
      <c r="V327" s="41"/>
      <c r="W327" s="41"/>
      <c r="X327" s="41"/>
      <c r="Y327" s="41"/>
      <c r="AA327" s="1068"/>
      <c r="AB327" s="1063"/>
      <c r="AC327" s="1063"/>
      <c r="AD327" s="1063"/>
      <c r="AE327" s="1063"/>
      <c r="AF327" s="1063"/>
      <c r="AG327" s="1063"/>
      <c r="AH327" s="1063"/>
      <c r="AI327" s="1063"/>
      <c r="AJ327" s="1063"/>
      <c r="AK327" s="1063"/>
      <c r="AL327" s="10"/>
      <c r="AN327" s="279"/>
    </row>
    <row r="328" spans="2:40" s="4" customFormat="1" ht="12.75" customHeight="1">
      <c r="B328" s="41" t="s">
        <v>303</v>
      </c>
      <c r="C328" s="41"/>
      <c r="D328" s="41"/>
      <c r="E328" s="41"/>
      <c r="F328" s="41"/>
      <c r="G328" s="41"/>
      <c r="H328" s="1114"/>
      <c r="I328" s="1060"/>
      <c r="J328" s="1060"/>
      <c r="K328" s="1060"/>
      <c r="L328" s="1060"/>
      <c r="M328" s="1060"/>
      <c r="N328" s="5" t="s">
        <v>305</v>
      </c>
      <c r="O328" s="5"/>
      <c r="P328" s="1061"/>
      <c r="Q328" s="1060"/>
      <c r="R328" s="1060"/>
      <c r="S328" s="41"/>
      <c r="T328" s="41" t="s">
        <v>303</v>
      </c>
      <c r="V328" s="41"/>
      <c r="W328" s="41"/>
      <c r="X328" s="41"/>
      <c r="Y328" s="41"/>
      <c r="AA328" s="1114"/>
      <c r="AB328" s="1060"/>
      <c r="AC328" s="1060"/>
      <c r="AD328" s="1060"/>
      <c r="AE328" s="1060"/>
      <c r="AF328" s="1060"/>
      <c r="AG328" s="5" t="s">
        <v>305</v>
      </c>
      <c r="AH328" s="5"/>
      <c r="AI328" s="1061"/>
      <c r="AJ328" s="1060"/>
      <c r="AK328" s="1060"/>
      <c r="AL328" s="10"/>
      <c r="AN328" s="279"/>
    </row>
    <row r="329" spans="2:40" s="4" customFormat="1" ht="12.75" customHeight="1">
      <c r="B329" s="41" t="s">
        <v>1926</v>
      </c>
      <c r="C329" s="41"/>
      <c r="D329" s="41"/>
      <c r="E329" s="41"/>
      <c r="F329" s="41"/>
      <c r="G329" s="41"/>
      <c r="H329" s="1068"/>
      <c r="I329" s="1063"/>
      <c r="J329" s="1063"/>
      <c r="K329" s="1063"/>
      <c r="L329" s="1063"/>
      <c r="M329" s="1063"/>
      <c r="N329" s="1063"/>
      <c r="O329" s="1063"/>
      <c r="P329" s="1063"/>
      <c r="Q329" s="1063"/>
      <c r="R329" s="1063"/>
      <c r="S329" s="41"/>
      <c r="T329" s="41" t="s">
        <v>1926</v>
      </c>
      <c r="V329" s="41"/>
      <c r="W329" s="41"/>
      <c r="X329" s="41"/>
      <c r="Y329" s="41"/>
      <c r="AA329" s="1068"/>
      <c r="AB329" s="1063"/>
      <c r="AC329" s="1063"/>
      <c r="AD329" s="1063"/>
      <c r="AE329" s="1063"/>
      <c r="AF329" s="1063"/>
      <c r="AG329" s="1063"/>
      <c r="AH329" s="1063"/>
      <c r="AI329" s="1063"/>
      <c r="AJ329" s="1063"/>
      <c r="AK329" s="1063"/>
      <c r="AL329" s="10"/>
      <c r="AN329" s="279"/>
    </row>
    <row r="330" spans="2:40" s="4" customFormat="1" ht="12.75" customHeight="1">
      <c r="B330" s="41" t="s">
        <v>1928</v>
      </c>
      <c r="C330" s="41"/>
      <c r="D330" s="41"/>
      <c r="E330" s="41"/>
      <c r="F330" s="41"/>
      <c r="G330" s="41"/>
      <c r="H330" s="1068"/>
      <c r="I330" s="1063"/>
      <c r="J330" s="1063"/>
      <c r="K330" s="1063"/>
      <c r="L330" s="1063"/>
      <c r="M330" s="1063"/>
      <c r="N330" s="1063"/>
      <c r="O330" s="1063"/>
      <c r="P330" s="1063"/>
      <c r="Q330" s="1063"/>
      <c r="R330" s="1063"/>
      <c r="S330" s="41"/>
      <c r="T330" s="41" t="s">
        <v>1928</v>
      </c>
      <c r="V330" s="41"/>
      <c r="W330" s="41"/>
      <c r="X330" s="41"/>
      <c r="Y330" s="41"/>
      <c r="AA330" s="1068"/>
      <c r="AB330" s="1063"/>
      <c r="AC330" s="1063"/>
      <c r="AD330" s="1063"/>
      <c r="AE330" s="1063"/>
      <c r="AF330" s="1063"/>
      <c r="AG330" s="1063"/>
      <c r="AH330" s="1063"/>
      <c r="AI330" s="1063"/>
      <c r="AJ330" s="1063"/>
      <c r="AK330" s="1063"/>
      <c r="AL330" s="10"/>
      <c r="AN330" s="279"/>
    </row>
    <row r="331" spans="2:40" s="4" customFormat="1" ht="12.75" customHeight="1">
      <c r="B331" s="41" t="s">
        <v>1930</v>
      </c>
      <c r="C331" s="41"/>
      <c r="D331" s="41"/>
      <c r="E331" s="41"/>
      <c r="F331" s="41"/>
      <c r="G331" s="41"/>
      <c r="H331" s="1439"/>
      <c r="I331" s="1063"/>
      <c r="J331" s="1063"/>
      <c r="K331" s="1063"/>
      <c r="L331" s="1063"/>
      <c r="M331" s="1063"/>
      <c r="N331" s="1063"/>
      <c r="O331" s="1063"/>
      <c r="P331" s="1063"/>
      <c r="Q331" s="1063"/>
      <c r="R331" s="1063"/>
      <c r="S331" s="41"/>
      <c r="T331" s="41" t="s">
        <v>1930</v>
      </c>
      <c r="U331" s="41"/>
      <c r="V331" s="41"/>
      <c r="W331" s="41"/>
      <c r="X331" s="41"/>
      <c r="Y331" s="41"/>
      <c r="Z331" s="12"/>
      <c r="AA331" s="1439"/>
      <c r="AB331" s="1063"/>
      <c r="AC331" s="1063"/>
      <c r="AD331" s="1063"/>
      <c r="AE331" s="1063"/>
      <c r="AF331" s="1063"/>
      <c r="AG331" s="1063"/>
      <c r="AH331" s="1063"/>
      <c r="AI331" s="1063"/>
      <c r="AJ331" s="1063"/>
      <c r="AK331" s="1063"/>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1919</v>
      </c>
      <c r="C333" s="41"/>
      <c r="D333" s="41"/>
      <c r="E333" s="41"/>
      <c r="F333" s="41"/>
      <c r="H333" s="1059"/>
      <c r="I333" s="1060"/>
      <c r="J333" s="1060"/>
      <c r="K333" s="1060"/>
      <c r="L333" s="1060"/>
      <c r="M333" s="1060"/>
      <c r="N333" s="1060"/>
      <c r="O333" s="1060"/>
      <c r="P333" s="1060"/>
      <c r="Q333" s="1060"/>
      <c r="R333" s="1060"/>
      <c r="T333" s="41" t="s">
        <v>1919</v>
      </c>
      <c r="V333" s="41"/>
      <c r="W333" s="41"/>
      <c r="X333" s="41"/>
      <c r="Y333" s="41"/>
      <c r="AA333" s="1059"/>
      <c r="AB333" s="1060"/>
      <c r="AC333" s="1060"/>
      <c r="AD333" s="1060"/>
      <c r="AE333" s="1060"/>
      <c r="AF333" s="1060"/>
      <c r="AG333" s="1060"/>
      <c r="AH333" s="1060"/>
      <c r="AI333" s="1060"/>
      <c r="AJ333" s="1060"/>
      <c r="AK333" s="1060"/>
      <c r="AL333" s="41"/>
      <c r="AN333" s="279"/>
    </row>
    <row r="334" spans="2:40" s="4" customFormat="1" ht="12.75" customHeight="1">
      <c r="B334" s="41" t="s">
        <v>356</v>
      </c>
      <c r="C334" s="41"/>
      <c r="D334" s="41"/>
      <c r="E334" s="41"/>
      <c r="F334" s="41"/>
      <c r="H334" s="1068"/>
      <c r="I334" s="1063"/>
      <c r="J334" s="1063"/>
      <c r="K334" s="1063"/>
      <c r="L334" s="1063"/>
      <c r="M334" s="1063"/>
      <c r="N334" s="1063"/>
      <c r="O334" s="1063"/>
      <c r="P334" s="1063"/>
      <c r="Q334" s="1063"/>
      <c r="R334" s="1063"/>
      <c r="T334" s="41" t="s">
        <v>356</v>
      </c>
      <c r="V334" s="41"/>
      <c r="W334" s="41"/>
      <c r="X334" s="41"/>
      <c r="Y334" s="41"/>
      <c r="AA334" s="1068"/>
      <c r="AB334" s="1063"/>
      <c r="AC334" s="1063"/>
      <c r="AD334" s="1063"/>
      <c r="AE334" s="1063"/>
      <c r="AF334" s="1063"/>
      <c r="AG334" s="1063"/>
      <c r="AH334" s="1063"/>
      <c r="AI334" s="1063"/>
      <c r="AJ334" s="1063"/>
      <c r="AK334" s="1063"/>
      <c r="AL334" s="41"/>
      <c r="AN334" s="279"/>
    </row>
    <row r="335" spans="2:40" s="4" customFormat="1" ht="18" customHeight="1">
      <c r="B335" s="41" t="s">
        <v>1922</v>
      </c>
      <c r="C335" s="41"/>
      <c r="D335" s="41"/>
      <c r="E335" s="41"/>
      <c r="F335" s="41"/>
      <c r="H335" s="1068"/>
      <c r="I335" s="1063"/>
      <c r="J335" s="1063"/>
      <c r="K335" s="1063"/>
      <c r="L335" s="1063"/>
      <c r="M335" s="1063"/>
      <c r="N335" s="1063"/>
      <c r="O335" s="1063"/>
      <c r="P335" s="1063"/>
      <c r="Q335" s="1063"/>
      <c r="R335" s="1063"/>
      <c r="T335" s="41" t="s">
        <v>1922</v>
      </c>
      <c r="V335" s="41"/>
      <c r="W335" s="41"/>
      <c r="X335" s="41"/>
      <c r="Y335" s="41"/>
      <c r="AA335" s="1068"/>
      <c r="AB335" s="1063"/>
      <c r="AC335" s="1063"/>
      <c r="AD335" s="1063"/>
      <c r="AE335" s="1063"/>
      <c r="AF335" s="1063"/>
      <c r="AG335" s="1063"/>
      <c r="AH335" s="1063"/>
      <c r="AI335" s="1063"/>
      <c r="AJ335" s="1063"/>
      <c r="AK335" s="1063"/>
      <c r="AL335" s="41"/>
      <c r="AN335" s="279"/>
    </row>
    <row r="336" spans="2:40" s="4" customFormat="1" ht="12.75" customHeight="1">
      <c r="B336" s="41" t="s">
        <v>301</v>
      </c>
      <c r="C336" s="41"/>
      <c r="D336" s="41"/>
      <c r="E336" s="41"/>
      <c r="F336" s="41"/>
      <c r="H336" s="1068"/>
      <c r="I336" s="1063"/>
      <c r="J336" s="1063"/>
      <c r="K336" s="1063"/>
      <c r="L336" s="1063"/>
      <c r="M336" s="1063"/>
      <c r="N336" s="1063"/>
      <c r="O336" s="1063"/>
      <c r="P336" s="1063"/>
      <c r="Q336" s="1063"/>
      <c r="R336" s="1063"/>
      <c r="T336" s="41" t="s">
        <v>301</v>
      </c>
      <c r="V336" s="41"/>
      <c r="W336" s="41"/>
      <c r="X336" s="41"/>
      <c r="Y336" s="41"/>
      <c r="AA336" s="1068"/>
      <c r="AB336" s="1063"/>
      <c r="AC336" s="1063"/>
      <c r="AD336" s="1063"/>
      <c r="AE336" s="1063"/>
      <c r="AF336" s="1063"/>
      <c r="AG336" s="1063"/>
      <c r="AH336" s="1063"/>
      <c r="AI336" s="1063"/>
      <c r="AJ336" s="1063"/>
      <c r="AK336" s="1063"/>
      <c r="AL336" s="41"/>
      <c r="AN336" s="279"/>
    </row>
    <row r="337" spans="1:76" s="4" customFormat="1" ht="12.75" customHeight="1">
      <c r="B337" s="41" t="s">
        <v>303</v>
      </c>
      <c r="C337" s="41"/>
      <c r="D337" s="41"/>
      <c r="E337" s="41"/>
      <c r="F337" s="41"/>
      <c r="G337" s="41"/>
      <c r="H337" s="1114"/>
      <c r="I337" s="1060"/>
      <c r="J337" s="1060"/>
      <c r="K337" s="1060"/>
      <c r="L337" s="1060"/>
      <c r="M337" s="1060"/>
      <c r="N337" s="5" t="s">
        <v>305</v>
      </c>
      <c r="O337" s="5"/>
      <c r="P337" s="1061"/>
      <c r="Q337" s="1060"/>
      <c r="R337" s="1060"/>
      <c r="S337" s="41"/>
      <c r="T337" s="41" t="s">
        <v>303</v>
      </c>
      <c r="V337" s="41"/>
      <c r="W337" s="41"/>
      <c r="X337" s="41"/>
      <c r="Y337" s="41"/>
      <c r="AA337" s="1114"/>
      <c r="AB337" s="1060"/>
      <c r="AC337" s="1060"/>
      <c r="AD337" s="1060"/>
      <c r="AE337" s="1060"/>
      <c r="AF337" s="1060"/>
      <c r="AG337" s="5" t="s">
        <v>305</v>
      </c>
      <c r="AH337" s="5"/>
      <c r="AI337" s="1061"/>
      <c r="AJ337" s="1060"/>
      <c r="AK337" s="1060"/>
      <c r="AL337" s="41"/>
      <c r="AN337" s="279"/>
    </row>
    <row r="338" spans="1:76" s="4" customFormat="1" ht="12.75" customHeight="1">
      <c r="B338" s="41" t="s">
        <v>1926</v>
      </c>
      <c r="C338" s="41"/>
      <c r="D338" s="41"/>
      <c r="E338" s="41"/>
      <c r="F338" s="41"/>
      <c r="G338" s="41"/>
      <c r="H338" s="1068"/>
      <c r="I338" s="1063"/>
      <c r="J338" s="1063"/>
      <c r="K338" s="1063"/>
      <c r="L338" s="1063"/>
      <c r="M338" s="1063"/>
      <c r="N338" s="1063"/>
      <c r="O338" s="1063"/>
      <c r="P338" s="1063"/>
      <c r="Q338" s="1063"/>
      <c r="R338" s="1063"/>
      <c r="S338" s="41"/>
      <c r="T338" s="41" t="s">
        <v>1926</v>
      </c>
      <c r="V338" s="41"/>
      <c r="W338" s="41"/>
      <c r="X338" s="41"/>
      <c r="Y338" s="41"/>
      <c r="AA338" s="1068"/>
      <c r="AB338" s="1063"/>
      <c r="AC338" s="1063"/>
      <c r="AD338" s="1063"/>
      <c r="AE338" s="1063"/>
      <c r="AF338" s="1063"/>
      <c r="AG338" s="1063"/>
      <c r="AH338" s="1063"/>
      <c r="AI338" s="1063"/>
      <c r="AJ338" s="1063"/>
      <c r="AK338" s="1063"/>
      <c r="AL338" s="41"/>
      <c r="AN338" s="279"/>
    </row>
    <row r="339" spans="1:76" s="4" customFormat="1" ht="12.75" customHeight="1">
      <c r="B339" s="41" t="s">
        <v>1928</v>
      </c>
      <c r="C339" s="41"/>
      <c r="D339" s="41"/>
      <c r="E339" s="41"/>
      <c r="F339" s="41"/>
      <c r="G339" s="41"/>
      <c r="H339" s="1068"/>
      <c r="I339" s="1063"/>
      <c r="J339" s="1063"/>
      <c r="K339" s="1063"/>
      <c r="L339" s="1063"/>
      <c r="M339" s="1063"/>
      <c r="N339" s="1063"/>
      <c r="O339" s="1063"/>
      <c r="P339" s="1063"/>
      <c r="Q339" s="1063"/>
      <c r="R339" s="1063"/>
      <c r="S339" s="41"/>
      <c r="T339" s="41" t="s">
        <v>1928</v>
      </c>
      <c r="V339" s="41"/>
      <c r="W339" s="41"/>
      <c r="X339" s="41"/>
      <c r="Y339" s="41"/>
      <c r="AA339" s="1068"/>
      <c r="AB339" s="1063"/>
      <c r="AC339" s="1063"/>
      <c r="AD339" s="1063"/>
      <c r="AE339" s="1063"/>
      <c r="AF339" s="1063"/>
      <c r="AG339" s="1063"/>
      <c r="AH339" s="1063"/>
      <c r="AI339" s="1063"/>
      <c r="AJ339" s="1063"/>
      <c r="AK339" s="1063"/>
      <c r="AL339" s="41"/>
      <c r="AN339" s="279"/>
    </row>
    <row r="340" spans="1:76" s="4" customFormat="1" ht="12.75" customHeight="1">
      <c r="B340" s="41" t="s">
        <v>1930</v>
      </c>
      <c r="C340" s="41"/>
      <c r="D340" s="41"/>
      <c r="E340" s="41"/>
      <c r="F340" s="41"/>
      <c r="G340" s="41"/>
      <c r="H340" s="1439"/>
      <c r="I340" s="1063"/>
      <c r="J340" s="1063"/>
      <c r="K340" s="1063"/>
      <c r="L340" s="1063"/>
      <c r="M340" s="1063"/>
      <c r="N340" s="1063"/>
      <c r="O340" s="1063"/>
      <c r="P340" s="1063"/>
      <c r="Q340" s="1063"/>
      <c r="R340" s="1063"/>
      <c r="S340" s="41"/>
      <c r="T340" s="41" t="s">
        <v>1930</v>
      </c>
      <c r="U340" s="41"/>
      <c r="V340" s="41"/>
      <c r="W340" s="41"/>
      <c r="X340" s="41"/>
      <c r="Y340" s="41"/>
      <c r="Z340" s="12"/>
      <c r="AA340" s="1439"/>
      <c r="AB340" s="1063"/>
      <c r="AC340" s="1063"/>
      <c r="AD340" s="1063"/>
      <c r="AE340" s="1063"/>
      <c r="AF340" s="1063"/>
      <c r="AG340" s="1063"/>
      <c r="AH340" s="1063"/>
      <c r="AI340" s="1063"/>
      <c r="AJ340" s="1063"/>
      <c r="AK340" s="1063"/>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B342" s="184"/>
      <c r="C342" s="185"/>
      <c r="D342" s="185"/>
      <c r="E342" s="185"/>
      <c r="F342" s="185"/>
      <c r="G342" s="185"/>
      <c r="H342" s="185"/>
      <c r="I342" s="101"/>
      <c r="J342" s="101"/>
      <c r="K342" s="101"/>
      <c r="L342" s="101"/>
      <c r="M342" s="101"/>
      <c r="N342" s="101"/>
      <c r="O342" s="101"/>
      <c r="P342" s="101"/>
      <c r="Q342" s="101"/>
      <c r="T342" s="3"/>
      <c r="U342" s="3"/>
      <c r="V342" s="3"/>
      <c r="W342" s="3"/>
      <c r="X342" s="3"/>
      <c r="Y342" s="3"/>
      <c r="Z342" s="3"/>
      <c r="AA342" s="3"/>
      <c r="AB342" s="3"/>
      <c r="AC342" s="3"/>
      <c r="AD342" s="3"/>
      <c r="AE342" s="3"/>
      <c r="AG342" s="3"/>
      <c r="AH342" s="3"/>
      <c r="AI342" s="3"/>
      <c r="AJ342" s="3"/>
      <c r="AN342" s="279"/>
    </row>
    <row r="343" spans="1:76" s="4" customFormat="1" ht="12.75" customHeight="1">
      <c r="B343" s="3" t="s">
        <v>1935</v>
      </c>
      <c r="C343" s="5"/>
      <c r="AC343" s="3"/>
      <c r="AE343" s="1435" t="s">
        <v>1776</v>
      </c>
      <c r="AF343" s="1376"/>
      <c r="AG343" s="1376"/>
      <c r="AH343" s="1376"/>
      <c r="AI343" s="1376"/>
      <c r="AJ343" s="1376"/>
      <c r="AK343" s="1376"/>
      <c r="AL343" s="3"/>
      <c r="AM343" s="821"/>
      <c r="AN343" s="3"/>
    </row>
    <row r="344" spans="1:76" s="4" customFormat="1" ht="12.75" customHeight="1">
      <c r="A344" s="3"/>
      <c r="B344" s="5"/>
      <c r="C344" s="1438" t="s">
        <v>1936</v>
      </c>
      <c r="D344" s="1376"/>
      <c r="E344" s="1376"/>
      <c r="F344" s="1376"/>
      <c r="G344" s="1376"/>
      <c r="H344" s="1376"/>
      <c r="I344" s="1376"/>
      <c r="J344" s="1376"/>
      <c r="K344" s="1376"/>
      <c r="L344" s="1376"/>
      <c r="M344" s="1376"/>
      <c r="N344" s="1376"/>
      <c r="O344" s="1376"/>
      <c r="P344" s="1376"/>
      <c r="Q344" s="1376"/>
      <c r="R344" s="1376"/>
      <c r="S344" s="1376"/>
      <c r="T344" s="1376"/>
      <c r="U344" s="1376"/>
      <c r="V344" s="1376"/>
      <c r="W344" s="1376"/>
      <c r="X344" s="1376"/>
      <c r="Y344" s="1376"/>
      <c r="Z344" s="1376"/>
      <c r="AA344" s="1376"/>
      <c r="AB344" s="1376"/>
      <c r="AC344" s="1376"/>
      <c r="AD344" s="1376"/>
      <c r="AE344" s="1376"/>
      <c r="AF344" s="1376"/>
      <c r="AG344" s="1376"/>
      <c r="AH344" s="1376"/>
      <c r="AI344" s="1376"/>
      <c r="AJ344" s="1376"/>
      <c r="AM344" s="822"/>
      <c r="AS344" s="780"/>
      <c r="AT344" s="780"/>
      <c r="AU344" s="780"/>
      <c r="AV344" s="780"/>
      <c r="AW344" s="780"/>
      <c r="AX344" s="780"/>
      <c r="AY344" s="780"/>
      <c r="AZ344" s="780"/>
      <c r="BA344" s="780"/>
      <c r="BB344" s="780"/>
      <c r="BC344" s="780"/>
      <c r="BD344" s="780"/>
      <c r="BE344" s="780"/>
      <c r="BF344" s="780"/>
      <c r="BG344" s="780"/>
      <c r="BH344" s="780"/>
      <c r="BI344" s="780"/>
      <c r="BJ344" s="780"/>
      <c r="BK344" s="780"/>
      <c r="BL344" s="780"/>
      <c r="BM344" s="780"/>
      <c r="BN344" s="780"/>
      <c r="BO344" s="780"/>
      <c r="BP344" s="780"/>
      <c r="BQ344" s="780"/>
      <c r="BR344" s="780"/>
      <c r="BS344" s="780"/>
      <c r="BT344" s="780"/>
      <c r="BU344" s="780"/>
      <c r="BV344" s="780"/>
      <c r="BW344" s="780"/>
      <c r="BX344" s="780"/>
    </row>
    <row r="345" spans="1:76" s="4" customFormat="1" ht="12.75" customHeight="1">
      <c r="C345" s="1376"/>
      <c r="D345" s="1376"/>
      <c r="E345" s="1376"/>
      <c r="F345" s="1376"/>
      <c r="G345" s="1376"/>
      <c r="H345" s="1376"/>
      <c r="I345" s="1376"/>
      <c r="J345" s="1376"/>
      <c r="K345" s="1376"/>
      <c r="L345" s="1376"/>
      <c r="M345" s="1376"/>
      <c r="N345" s="1376"/>
      <c r="O345" s="1376"/>
      <c r="P345" s="1376"/>
      <c r="Q345" s="1376"/>
      <c r="R345" s="1376"/>
      <c r="S345" s="1376"/>
      <c r="T345" s="1376"/>
      <c r="U345" s="1376"/>
      <c r="V345" s="1376"/>
      <c r="W345" s="1376"/>
      <c r="X345" s="1376"/>
      <c r="Y345" s="1376"/>
      <c r="Z345" s="1376"/>
      <c r="AA345" s="1376"/>
      <c r="AB345" s="1376"/>
      <c r="AC345" s="1376"/>
      <c r="AD345" s="1376"/>
      <c r="AE345" s="1376"/>
      <c r="AF345" s="1376"/>
      <c r="AG345" s="1376"/>
      <c r="AH345" s="1376"/>
      <c r="AI345" s="1376"/>
      <c r="AJ345" s="1376"/>
      <c r="AK345" s="3"/>
      <c r="AL345" s="3"/>
      <c r="AM345" s="27"/>
      <c r="AN345" s="279"/>
      <c r="AR345" s="780"/>
      <c r="AS345" s="780"/>
      <c r="AT345" s="780"/>
      <c r="AU345" s="780"/>
      <c r="AV345" s="780"/>
      <c r="AW345" s="780"/>
      <c r="AX345" s="780"/>
      <c r="AY345" s="780"/>
      <c r="AZ345" s="780"/>
      <c r="BA345" s="780"/>
      <c r="BB345" s="780"/>
      <c r="BC345" s="780"/>
      <c r="BD345" s="780"/>
      <c r="BE345" s="780"/>
      <c r="BF345" s="780"/>
      <c r="BG345" s="780"/>
      <c r="BH345" s="780"/>
      <c r="BI345" s="780"/>
      <c r="BJ345" s="780"/>
      <c r="BK345" s="780"/>
      <c r="BL345" s="780"/>
      <c r="BM345" s="780"/>
      <c r="BN345" s="780"/>
      <c r="BO345" s="780"/>
      <c r="BP345" s="780"/>
      <c r="BQ345" s="780"/>
      <c r="BR345" s="780"/>
      <c r="BS345" s="780"/>
      <c r="BT345" s="780"/>
      <c r="BU345" s="780"/>
      <c r="BV345" s="780"/>
      <c r="BW345" s="780"/>
      <c r="BX345" s="780"/>
    </row>
    <row r="346" spans="1:76" s="4" customFormat="1" ht="12.75" customHeight="1">
      <c r="A346" s="27"/>
      <c r="B346" s="26"/>
      <c r="C346" s="1376"/>
      <c r="D346" s="1376"/>
      <c r="E346" s="1376"/>
      <c r="F346" s="1376"/>
      <c r="G346" s="1376"/>
      <c r="H346" s="1376"/>
      <c r="I346" s="1376"/>
      <c r="J346" s="1376"/>
      <c r="K346" s="1376"/>
      <c r="L346" s="1376"/>
      <c r="M346" s="1376"/>
      <c r="N346" s="1376"/>
      <c r="O346" s="1376"/>
      <c r="P346" s="1376"/>
      <c r="Q346" s="1376"/>
      <c r="R346" s="1376"/>
      <c r="S346" s="1376"/>
      <c r="T346" s="1376"/>
      <c r="U346" s="1376"/>
      <c r="V346" s="1376"/>
      <c r="W346" s="1376"/>
      <c r="X346" s="1376"/>
      <c r="Y346" s="1376"/>
      <c r="Z346" s="1376"/>
      <c r="AA346" s="1376"/>
      <c r="AB346" s="1376"/>
      <c r="AC346" s="1376"/>
      <c r="AD346" s="1376"/>
      <c r="AE346" s="1376"/>
      <c r="AF346" s="1376"/>
      <c r="AG346" s="1376"/>
      <c r="AH346" s="1376"/>
      <c r="AI346" s="1376"/>
      <c r="AJ346" s="1376"/>
      <c r="AK346" s="27"/>
      <c r="AL346" s="27"/>
      <c r="AM346" s="27"/>
      <c r="AN346" s="279"/>
      <c r="AO346" s="183"/>
      <c r="AR346" s="780"/>
      <c r="AS346" s="780"/>
      <c r="AT346" s="780"/>
      <c r="AU346" s="780"/>
      <c r="AV346" s="780"/>
      <c r="AW346" s="780"/>
      <c r="AX346" s="780"/>
      <c r="AY346" s="780"/>
      <c r="AZ346" s="780"/>
      <c r="BA346" s="780"/>
      <c r="BB346" s="780"/>
      <c r="BC346" s="780"/>
      <c r="BD346" s="780"/>
      <c r="BE346" s="780"/>
      <c r="BF346" s="780"/>
      <c r="BG346" s="780"/>
      <c r="BH346" s="780"/>
      <c r="BI346" s="780"/>
      <c r="BJ346" s="780"/>
      <c r="BK346" s="780"/>
      <c r="BL346" s="780"/>
      <c r="BM346" s="780"/>
      <c r="BN346" s="780"/>
      <c r="BO346" s="780"/>
      <c r="BP346" s="780"/>
      <c r="BQ346" s="780"/>
      <c r="BR346" s="780"/>
      <c r="BS346" s="780"/>
      <c r="BT346" s="780"/>
      <c r="BU346" s="780"/>
      <c r="BV346" s="780"/>
      <c r="BW346" s="780"/>
      <c r="BX346" s="780"/>
    </row>
    <row r="347" spans="1:76" s="4" customFormat="1" ht="12.75" customHeight="1">
      <c r="A347" s="27"/>
      <c r="B347" s="26"/>
      <c r="C347" s="1376"/>
      <c r="D347" s="1376"/>
      <c r="E347" s="1376"/>
      <c r="F347" s="1376"/>
      <c r="G347" s="1376"/>
      <c r="H347" s="1376"/>
      <c r="I347" s="1376"/>
      <c r="J347" s="1376"/>
      <c r="K347" s="1376"/>
      <c r="L347" s="1376"/>
      <c r="M347" s="1376"/>
      <c r="N347" s="1376"/>
      <c r="O347" s="1376"/>
      <c r="P347" s="1376"/>
      <c r="Q347" s="1376"/>
      <c r="R347" s="1376"/>
      <c r="S347" s="1376"/>
      <c r="T347" s="1376"/>
      <c r="U347" s="1376"/>
      <c r="V347" s="1376"/>
      <c r="W347" s="1376"/>
      <c r="X347" s="1376"/>
      <c r="Y347" s="1376"/>
      <c r="Z347" s="1376"/>
      <c r="AA347" s="1376"/>
      <c r="AB347" s="1376"/>
      <c r="AC347" s="1376"/>
      <c r="AD347" s="1376"/>
      <c r="AE347" s="1376"/>
      <c r="AF347" s="1376"/>
      <c r="AG347" s="1376"/>
      <c r="AH347" s="1376"/>
      <c r="AI347" s="1376"/>
      <c r="AJ347" s="1376"/>
      <c r="AK347" s="27"/>
      <c r="AL347" s="27"/>
      <c r="AM347" s="27"/>
      <c r="AN347" s="279"/>
      <c r="AO347" s="183"/>
      <c r="AR347" s="780"/>
      <c r="AS347" s="780"/>
      <c r="AT347" s="780"/>
      <c r="AU347" s="780"/>
      <c r="AV347" s="780"/>
      <c r="AW347" s="780"/>
      <c r="AX347" s="780"/>
      <c r="AY347" s="780"/>
      <c r="AZ347" s="780"/>
      <c r="BA347" s="780"/>
      <c r="BB347" s="780"/>
      <c r="BC347" s="780"/>
      <c r="BD347" s="780"/>
      <c r="BE347" s="780"/>
      <c r="BF347" s="780"/>
      <c r="BG347" s="780"/>
      <c r="BH347" s="780"/>
      <c r="BI347" s="780"/>
      <c r="BJ347" s="780"/>
      <c r="BK347" s="780"/>
      <c r="BL347" s="780"/>
      <c r="BM347" s="780"/>
      <c r="BN347" s="780"/>
      <c r="BO347" s="780"/>
      <c r="BP347" s="780"/>
      <c r="BQ347" s="780"/>
      <c r="BR347" s="780"/>
      <c r="BS347" s="780"/>
      <c r="BT347" s="780"/>
      <c r="BU347" s="780"/>
      <c r="BV347" s="780"/>
      <c r="BW347" s="780"/>
      <c r="BX347" s="780"/>
    </row>
    <row r="348" spans="1:76" s="4" customFormat="1" ht="12.75" customHeight="1">
      <c r="A348" s="27"/>
      <c r="B348" s="26"/>
      <c r="C348" s="1376"/>
      <c r="D348" s="1376"/>
      <c r="E348" s="1376"/>
      <c r="F348" s="1376"/>
      <c r="G348" s="1376"/>
      <c r="H348" s="1376"/>
      <c r="I348" s="1376"/>
      <c r="J348" s="1376"/>
      <c r="K348" s="1376"/>
      <c r="L348" s="1376"/>
      <c r="M348" s="1376"/>
      <c r="N348" s="1376"/>
      <c r="O348" s="1376"/>
      <c r="P348" s="1376"/>
      <c r="Q348" s="1376"/>
      <c r="R348" s="1376"/>
      <c r="S348" s="1376"/>
      <c r="T348" s="1376"/>
      <c r="U348" s="1376"/>
      <c r="V348" s="1376"/>
      <c r="W348" s="1376"/>
      <c r="X348" s="1376"/>
      <c r="Y348" s="1376"/>
      <c r="Z348" s="1376"/>
      <c r="AA348" s="1376"/>
      <c r="AB348" s="1376"/>
      <c r="AC348" s="1376"/>
      <c r="AD348" s="1376"/>
      <c r="AE348" s="1376"/>
      <c r="AF348" s="1376"/>
      <c r="AG348" s="1376"/>
      <c r="AH348" s="1376"/>
      <c r="AI348" s="1376"/>
      <c r="AJ348" s="1376"/>
      <c r="AK348" s="27"/>
      <c r="AL348" s="27"/>
      <c r="AM348" s="27"/>
      <c r="AN348" s="279"/>
      <c r="AO348" s="183"/>
      <c r="AR348" s="780"/>
      <c r="AS348" s="780"/>
      <c r="AT348" s="780"/>
      <c r="AU348" s="780"/>
      <c r="AV348" s="780"/>
      <c r="AW348" s="780"/>
      <c r="AX348" s="780"/>
      <c r="AY348" s="780"/>
      <c r="AZ348" s="780"/>
      <c r="BA348" s="780"/>
      <c r="BB348" s="780"/>
      <c r="BC348" s="780"/>
      <c r="BD348" s="780"/>
      <c r="BE348" s="780"/>
      <c r="BF348" s="780"/>
      <c r="BG348" s="780"/>
      <c r="BH348" s="780"/>
      <c r="BI348" s="780"/>
      <c r="BJ348" s="780"/>
      <c r="BK348" s="780"/>
      <c r="BL348" s="780"/>
      <c r="BM348" s="780"/>
      <c r="BN348" s="780"/>
      <c r="BO348" s="780"/>
      <c r="BP348" s="780"/>
      <c r="BQ348" s="780"/>
      <c r="BR348" s="780"/>
      <c r="BS348" s="780"/>
      <c r="BT348" s="780"/>
      <c r="BU348" s="780"/>
      <c r="BV348" s="780"/>
      <c r="BW348" s="780"/>
      <c r="BX348" s="780"/>
    </row>
    <row r="349" spans="1:76" s="4" customFormat="1" ht="12.75" customHeight="1">
      <c r="A349" s="27"/>
      <c r="B349" s="26"/>
      <c r="C349" s="1376"/>
      <c r="D349" s="1376"/>
      <c r="E349" s="1376"/>
      <c r="F349" s="1376"/>
      <c r="G349" s="1376"/>
      <c r="H349" s="1376"/>
      <c r="I349" s="1376"/>
      <c r="J349" s="1376"/>
      <c r="K349" s="1376"/>
      <c r="L349" s="1376"/>
      <c r="M349" s="1376"/>
      <c r="N349" s="1376"/>
      <c r="O349" s="1376"/>
      <c r="P349" s="1376"/>
      <c r="Q349" s="1376"/>
      <c r="R349" s="1376"/>
      <c r="S349" s="1376"/>
      <c r="T349" s="1376"/>
      <c r="U349" s="1376"/>
      <c r="V349" s="1376"/>
      <c r="W349" s="1376"/>
      <c r="X349" s="1376"/>
      <c r="Y349" s="1376"/>
      <c r="Z349" s="1376"/>
      <c r="AA349" s="1376"/>
      <c r="AB349" s="1376"/>
      <c r="AC349" s="1376"/>
      <c r="AD349" s="1376"/>
      <c r="AE349" s="1376"/>
      <c r="AF349" s="1376"/>
      <c r="AG349" s="1376"/>
      <c r="AH349" s="1376"/>
      <c r="AI349" s="1376"/>
      <c r="AJ349" s="1376"/>
      <c r="AK349" s="27"/>
      <c r="AL349" s="27"/>
      <c r="AM349" s="27"/>
      <c r="AN349" s="279"/>
      <c r="AO349" s="183"/>
      <c r="AR349" s="780"/>
      <c r="AS349" s="780"/>
      <c r="AT349" s="780"/>
      <c r="AU349" s="780"/>
      <c r="AV349" s="780"/>
      <c r="AW349" s="780"/>
      <c r="AX349" s="780"/>
      <c r="AY349" s="780"/>
      <c r="AZ349" s="780"/>
      <c r="BA349" s="780"/>
      <c r="BB349" s="780"/>
      <c r="BC349" s="780"/>
      <c r="BD349" s="780"/>
      <c r="BE349" s="780"/>
      <c r="BF349" s="780"/>
      <c r="BG349" s="780"/>
      <c r="BH349" s="780"/>
      <c r="BI349" s="780"/>
      <c r="BJ349" s="780"/>
      <c r="BK349" s="780"/>
      <c r="BL349" s="780"/>
      <c r="BM349" s="780"/>
      <c r="BN349" s="780"/>
      <c r="BO349" s="780"/>
      <c r="BP349" s="780"/>
      <c r="BQ349" s="780"/>
      <c r="BR349" s="780"/>
      <c r="BS349" s="780"/>
      <c r="BT349" s="780"/>
      <c r="BU349" s="780"/>
      <c r="BV349" s="780"/>
      <c r="BW349" s="780"/>
      <c r="BX349" s="780"/>
    </row>
    <row r="350" spans="1:76" s="4" customFormat="1" ht="12.4" customHeight="1">
      <c r="A350" s="27"/>
      <c r="B350" s="26"/>
      <c r="C350" s="1376"/>
      <c r="D350" s="1376"/>
      <c r="E350" s="1376"/>
      <c r="F350" s="1376"/>
      <c r="G350" s="1376"/>
      <c r="H350" s="1376"/>
      <c r="I350" s="1376"/>
      <c r="J350" s="1376"/>
      <c r="K350" s="1376"/>
      <c r="L350" s="1376"/>
      <c r="M350" s="1376"/>
      <c r="N350" s="1376"/>
      <c r="O350" s="1376"/>
      <c r="P350" s="1376"/>
      <c r="Q350" s="1376"/>
      <c r="R350" s="1376"/>
      <c r="S350" s="1376"/>
      <c r="T350" s="1376"/>
      <c r="U350" s="1376"/>
      <c r="V350" s="1376"/>
      <c r="W350" s="1376"/>
      <c r="X350" s="1376"/>
      <c r="Y350" s="1376"/>
      <c r="Z350" s="1376"/>
      <c r="AA350" s="1376"/>
      <c r="AB350" s="1376"/>
      <c r="AC350" s="1376"/>
      <c r="AD350" s="1376"/>
      <c r="AE350" s="1376"/>
      <c r="AF350" s="1376"/>
      <c r="AG350" s="1376"/>
      <c r="AH350" s="1376"/>
      <c r="AI350" s="1376"/>
      <c r="AJ350" s="1376"/>
      <c r="AK350" s="27"/>
      <c r="AL350" s="27"/>
      <c r="AM350" s="27"/>
      <c r="AN350" s="279"/>
      <c r="AO350" s="183"/>
      <c r="AR350" s="780"/>
      <c r="AS350" s="780"/>
      <c r="AT350" s="780"/>
      <c r="AU350" s="780"/>
      <c r="AV350" s="780"/>
      <c r="AW350" s="780"/>
      <c r="AX350" s="780"/>
      <c r="AY350" s="780"/>
      <c r="AZ350" s="780"/>
      <c r="BA350" s="780"/>
      <c r="BB350" s="780"/>
      <c r="BC350" s="780"/>
      <c r="BD350" s="780"/>
      <c r="BE350" s="780"/>
      <c r="BF350" s="780"/>
      <c r="BG350" s="780"/>
      <c r="BH350" s="780"/>
      <c r="BI350" s="780"/>
      <c r="BJ350" s="780"/>
      <c r="BK350" s="780"/>
      <c r="BL350" s="780"/>
      <c r="BM350" s="780"/>
      <c r="BN350" s="780"/>
      <c r="BO350" s="780"/>
      <c r="BP350" s="780"/>
      <c r="BQ350" s="780"/>
      <c r="BR350" s="780"/>
      <c r="BS350" s="780"/>
      <c r="BT350" s="780"/>
      <c r="BU350" s="780"/>
      <c r="BV350" s="780"/>
      <c r="BW350" s="780"/>
      <c r="BX350" s="780"/>
    </row>
    <row r="351" spans="1:76" s="4" customFormat="1" ht="12.4" customHeight="1">
      <c r="A351" s="27"/>
      <c r="B351" s="26"/>
      <c r="C351" s="1376"/>
      <c r="D351" s="1376"/>
      <c r="E351" s="1376"/>
      <c r="F351" s="1376"/>
      <c r="G351" s="1376"/>
      <c r="H351" s="1376"/>
      <c r="I351" s="1376"/>
      <c r="J351" s="1376"/>
      <c r="K351" s="1376"/>
      <c r="L351" s="1376"/>
      <c r="M351" s="1376"/>
      <c r="N351" s="1376"/>
      <c r="O351" s="1376"/>
      <c r="P351" s="1376"/>
      <c r="Q351" s="1376"/>
      <c r="R351" s="1376"/>
      <c r="S351" s="1376"/>
      <c r="T351" s="1376"/>
      <c r="U351" s="1376"/>
      <c r="V351" s="1376"/>
      <c r="W351" s="1376"/>
      <c r="X351" s="1376"/>
      <c r="Y351" s="1376"/>
      <c r="Z351" s="1376"/>
      <c r="AA351" s="1376"/>
      <c r="AB351" s="1376"/>
      <c r="AC351" s="1376"/>
      <c r="AD351" s="1376"/>
      <c r="AE351" s="1376"/>
      <c r="AF351" s="1376"/>
      <c r="AG351" s="1376"/>
      <c r="AH351" s="1376"/>
      <c r="AI351" s="1376"/>
      <c r="AJ351" s="1376"/>
      <c r="AK351" s="27"/>
      <c r="AL351" s="27"/>
      <c r="AM351" s="27"/>
      <c r="AN351" s="279"/>
      <c r="AO351" s="183"/>
    </row>
    <row r="352" spans="1:76" s="4" customFormat="1" ht="12.75" customHeight="1">
      <c r="A352" s="27"/>
      <c r="B352" s="26"/>
      <c r="C352" s="1438" t="s">
        <v>1937</v>
      </c>
      <c r="D352" s="1376"/>
      <c r="E352" s="1376"/>
      <c r="F352" s="1376"/>
      <c r="G352" s="1376"/>
      <c r="H352" s="1376"/>
      <c r="I352" s="1376"/>
      <c r="J352" s="1376"/>
      <c r="K352" s="1376"/>
      <c r="L352" s="1376"/>
      <c r="M352" s="1376"/>
      <c r="N352" s="1376"/>
      <c r="O352" s="1376"/>
      <c r="P352" s="1376"/>
      <c r="Q352" s="1376"/>
      <c r="R352" s="1376"/>
      <c r="S352" s="1376"/>
      <c r="T352" s="1376"/>
      <c r="U352" s="1376"/>
      <c r="V352" s="1376"/>
      <c r="W352" s="1376"/>
      <c r="X352" s="1376"/>
      <c r="Y352" s="1376"/>
      <c r="Z352" s="1376"/>
      <c r="AA352" s="1376"/>
      <c r="AB352" s="1376"/>
      <c r="AC352" s="1376"/>
      <c r="AD352" s="1376"/>
      <c r="AE352" s="1376"/>
      <c r="AF352" s="1376"/>
      <c r="AG352" s="1376"/>
      <c r="AH352" s="1376"/>
      <c r="AI352" s="1376"/>
      <c r="AJ352" s="1376"/>
      <c r="AK352" s="27"/>
      <c r="AL352" s="27"/>
      <c r="AM352" s="27"/>
      <c r="AN352" s="279"/>
    </row>
    <row r="353" spans="1:46" s="4" customFormat="1" ht="12.75" customHeight="1">
      <c r="A353" s="27"/>
      <c r="B353" s="26"/>
      <c r="C353" s="1376"/>
      <c r="D353" s="1376"/>
      <c r="E353" s="1376"/>
      <c r="F353" s="1376"/>
      <c r="G353" s="1376"/>
      <c r="H353" s="1376"/>
      <c r="I353" s="1376"/>
      <c r="J353" s="1376"/>
      <c r="K353" s="1376"/>
      <c r="L353" s="1376"/>
      <c r="M353" s="1376"/>
      <c r="N353" s="1376"/>
      <c r="O353" s="1376"/>
      <c r="P353" s="1376"/>
      <c r="Q353" s="1376"/>
      <c r="R353" s="1376"/>
      <c r="S353" s="1376"/>
      <c r="T353" s="1376"/>
      <c r="U353" s="1376"/>
      <c r="V353" s="1376"/>
      <c r="W353" s="1376"/>
      <c r="X353" s="1376"/>
      <c r="Y353" s="1376"/>
      <c r="Z353" s="1376"/>
      <c r="AA353" s="1376"/>
      <c r="AB353" s="1376"/>
      <c r="AC353" s="1376"/>
      <c r="AD353" s="1376"/>
      <c r="AE353" s="1376"/>
      <c r="AF353" s="1376"/>
      <c r="AG353" s="1376"/>
      <c r="AH353" s="1376"/>
      <c r="AI353" s="1376"/>
      <c r="AJ353" s="1376"/>
      <c r="AK353" s="27"/>
      <c r="AL353" s="27"/>
      <c r="AM353" s="27"/>
      <c r="AN353" s="279"/>
    </row>
    <row r="354" spans="1:46" s="4" customFormat="1" ht="12.75" customHeight="1">
      <c r="A354" s="27"/>
      <c r="B354" s="26"/>
      <c r="C354" s="1376"/>
      <c r="D354" s="1376"/>
      <c r="E354" s="1376"/>
      <c r="F354" s="1376"/>
      <c r="G354" s="1376"/>
      <c r="H354" s="1376"/>
      <c r="I354" s="1376"/>
      <c r="J354" s="1376"/>
      <c r="K354" s="1376"/>
      <c r="L354" s="1376"/>
      <c r="M354" s="1376"/>
      <c r="N354" s="1376"/>
      <c r="O354" s="1376"/>
      <c r="P354" s="1376"/>
      <c r="Q354" s="1376"/>
      <c r="R354" s="1376"/>
      <c r="S354" s="1376"/>
      <c r="T354" s="1376"/>
      <c r="U354" s="1376"/>
      <c r="V354" s="1376"/>
      <c r="W354" s="1376"/>
      <c r="X354" s="1376"/>
      <c r="Y354" s="1376"/>
      <c r="Z354" s="1376"/>
      <c r="AA354" s="1376"/>
      <c r="AB354" s="1376"/>
      <c r="AC354" s="1376"/>
      <c r="AD354" s="1376"/>
      <c r="AE354" s="1376"/>
      <c r="AF354" s="1376"/>
      <c r="AG354" s="1376"/>
      <c r="AH354" s="1376"/>
      <c r="AI354" s="1376"/>
      <c r="AJ354" s="1376"/>
      <c r="AK354" s="27"/>
      <c r="AL354" s="27"/>
      <c r="AM354" s="27"/>
      <c r="AN354" s="279"/>
    </row>
    <row r="355" spans="1:46" s="4" customFormat="1" ht="12.75" customHeight="1">
      <c r="A355" s="27"/>
      <c r="B355" s="26"/>
      <c r="C355" s="1376"/>
      <c r="D355" s="1376"/>
      <c r="E355" s="1376"/>
      <c r="F355" s="1376"/>
      <c r="G355" s="1376"/>
      <c r="H355" s="1376"/>
      <c r="I355" s="1376"/>
      <c r="J355" s="1376"/>
      <c r="K355" s="1376"/>
      <c r="L355" s="1376"/>
      <c r="M355" s="1376"/>
      <c r="N355" s="1376"/>
      <c r="O355" s="1376"/>
      <c r="P355" s="1376"/>
      <c r="Q355" s="1376"/>
      <c r="R355" s="1376"/>
      <c r="S355" s="1376"/>
      <c r="T355" s="1376"/>
      <c r="U355" s="1376"/>
      <c r="V355" s="1376"/>
      <c r="W355" s="1376"/>
      <c r="X355" s="1376"/>
      <c r="Y355" s="1376"/>
      <c r="Z355" s="1376"/>
      <c r="AA355" s="1376"/>
      <c r="AB355" s="1376"/>
      <c r="AC355" s="1376"/>
      <c r="AD355" s="1376"/>
      <c r="AE355" s="1376"/>
      <c r="AF355" s="1376"/>
      <c r="AG355" s="1376"/>
      <c r="AH355" s="1376"/>
      <c r="AI355" s="1376"/>
      <c r="AJ355" s="1376"/>
      <c r="AK355" s="27"/>
      <c r="AL355" s="27"/>
      <c r="AM355" s="27"/>
      <c r="AN355" s="279"/>
    </row>
    <row r="356" spans="1:46" s="4" customFormat="1" ht="12.4" customHeight="1">
      <c r="A356" s="27"/>
      <c r="B356" s="26"/>
      <c r="C356" s="1376"/>
      <c r="D356" s="1376"/>
      <c r="E356" s="1376"/>
      <c r="F356" s="1376"/>
      <c r="G356" s="1376"/>
      <c r="H356" s="1376"/>
      <c r="I356" s="1376"/>
      <c r="J356" s="1376"/>
      <c r="K356" s="1376"/>
      <c r="L356" s="1376"/>
      <c r="M356" s="1376"/>
      <c r="N356" s="1376"/>
      <c r="O356" s="1376"/>
      <c r="P356" s="1376"/>
      <c r="Q356" s="1376"/>
      <c r="R356" s="1376"/>
      <c r="S356" s="1376"/>
      <c r="T356" s="1376"/>
      <c r="U356" s="1376"/>
      <c r="V356" s="1376"/>
      <c r="W356" s="1376"/>
      <c r="X356" s="1376"/>
      <c r="Y356" s="1376"/>
      <c r="Z356" s="1376"/>
      <c r="AA356" s="1376"/>
      <c r="AB356" s="1376"/>
      <c r="AC356" s="1376"/>
      <c r="AD356" s="1376"/>
      <c r="AE356" s="1376"/>
      <c r="AF356" s="1376"/>
      <c r="AG356" s="1376"/>
      <c r="AH356" s="1376"/>
      <c r="AI356" s="1376"/>
      <c r="AJ356" s="1376"/>
      <c r="AK356" s="27"/>
      <c r="AL356" s="27"/>
      <c r="AM356" s="27"/>
      <c r="AN356" s="279"/>
    </row>
    <row r="357" spans="1:46" s="4" customFormat="1" ht="12.75" customHeight="1">
      <c r="A357" s="27"/>
      <c r="B357" s="26"/>
      <c r="C357" s="1438" t="s">
        <v>1938</v>
      </c>
      <c r="D357" s="1376"/>
      <c r="E357" s="1376"/>
      <c r="F357" s="1376"/>
      <c r="G357" s="1376"/>
      <c r="H357" s="1376"/>
      <c r="I357" s="1376"/>
      <c r="J357" s="1376"/>
      <c r="K357" s="1376"/>
      <c r="L357" s="1376"/>
      <c r="M357" s="1376"/>
      <c r="N357" s="1376"/>
      <c r="O357" s="1376"/>
      <c r="P357" s="1376"/>
      <c r="Q357" s="1376"/>
      <c r="R357" s="1376"/>
      <c r="S357" s="1376"/>
      <c r="T357" s="1376"/>
      <c r="U357" s="1376"/>
      <c r="V357" s="1376"/>
      <c r="W357" s="1376"/>
      <c r="X357" s="1376"/>
      <c r="Y357" s="1376"/>
      <c r="Z357" s="1376"/>
      <c r="AA357" s="1376"/>
      <c r="AB357" s="1376"/>
      <c r="AC357" s="1376"/>
      <c r="AD357" s="1376"/>
      <c r="AE357" s="1376"/>
      <c r="AF357" s="1376"/>
      <c r="AG357" s="1376"/>
      <c r="AH357" s="1376"/>
      <c r="AI357" s="1376"/>
      <c r="AJ357" s="1376"/>
      <c r="AK357" s="27"/>
      <c r="AL357" s="27"/>
      <c r="AM357" s="27"/>
      <c r="AN357" s="279"/>
    </row>
    <row r="358" spans="1:46" s="4" customFormat="1" ht="12.75" customHeight="1">
      <c r="A358" s="27"/>
      <c r="B358" s="26"/>
      <c r="C358" s="1376"/>
      <c r="D358" s="1376"/>
      <c r="E358" s="1376"/>
      <c r="F358" s="1376"/>
      <c r="G358" s="1376"/>
      <c r="H358" s="1376"/>
      <c r="I358" s="1376"/>
      <c r="J358" s="1376"/>
      <c r="K358" s="1376"/>
      <c r="L358" s="1376"/>
      <c r="M358" s="1376"/>
      <c r="N358" s="1376"/>
      <c r="O358" s="1376"/>
      <c r="P358" s="1376"/>
      <c r="Q358" s="1376"/>
      <c r="R358" s="1376"/>
      <c r="S358" s="1376"/>
      <c r="T358" s="1376"/>
      <c r="U358" s="1376"/>
      <c r="V358" s="1376"/>
      <c r="W358" s="1376"/>
      <c r="X358" s="1376"/>
      <c r="Y358" s="1376"/>
      <c r="Z358" s="1376"/>
      <c r="AA358" s="1376"/>
      <c r="AB358" s="1376"/>
      <c r="AC358" s="1376"/>
      <c r="AD358" s="1376"/>
      <c r="AE358" s="1376"/>
      <c r="AF358" s="1376"/>
      <c r="AG358" s="1376"/>
      <c r="AH358" s="1376"/>
      <c r="AI358" s="1376"/>
      <c r="AJ358" s="1376"/>
      <c r="AK358" s="27"/>
      <c r="AL358" s="27"/>
      <c r="AM358" s="27"/>
      <c r="AN358" s="279"/>
    </row>
    <row r="359" spans="1:46" s="4" customFormat="1" ht="12.75" customHeight="1">
      <c r="A359" s="27"/>
      <c r="B359" s="26"/>
      <c r="C359" s="1376"/>
      <c r="D359" s="1376"/>
      <c r="E359" s="1376"/>
      <c r="F359" s="1376"/>
      <c r="G359" s="1376"/>
      <c r="H359" s="1376"/>
      <c r="I359" s="1376"/>
      <c r="J359" s="1376"/>
      <c r="K359" s="1376"/>
      <c r="L359" s="1376"/>
      <c r="M359" s="1376"/>
      <c r="N359" s="1376"/>
      <c r="O359" s="1376"/>
      <c r="P359" s="1376"/>
      <c r="Q359" s="1376"/>
      <c r="R359" s="1376"/>
      <c r="S359" s="1376"/>
      <c r="T359" s="1376"/>
      <c r="U359" s="1376"/>
      <c r="V359" s="1376"/>
      <c r="W359" s="1376"/>
      <c r="X359" s="1376"/>
      <c r="Y359" s="1376"/>
      <c r="Z359" s="1376"/>
      <c r="AA359" s="1376"/>
      <c r="AB359" s="1376"/>
      <c r="AC359" s="1376"/>
      <c r="AD359" s="1376"/>
      <c r="AE359" s="1376"/>
      <c r="AF359" s="1376"/>
      <c r="AG359" s="1376"/>
      <c r="AH359" s="1376"/>
      <c r="AI359" s="1376"/>
      <c r="AJ359" s="1376"/>
      <c r="AK359" s="27"/>
      <c r="AL359" s="27"/>
      <c r="AM359" s="27"/>
      <c r="AN359" s="279"/>
    </row>
    <row r="360" spans="1:46" s="4" customFormat="1" ht="12.75" customHeight="1">
      <c r="A360" s="27"/>
      <c r="B360" s="26"/>
      <c r="C360" s="1438" t="s">
        <v>1939</v>
      </c>
      <c r="D360" s="1376"/>
      <c r="E360" s="1376"/>
      <c r="F360" s="1376"/>
      <c r="G360" s="1376"/>
      <c r="H360" s="1376"/>
      <c r="I360" s="1376"/>
      <c r="J360" s="1376"/>
      <c r="K360" s="1376"/>
      <c r="L360" s="1376"/>
      <c r="M360" s="1376"/>
      <c r="N360" s="1376"/>
      <c r="O360" s="1376"/>
      <c r="P360" s="1376"/>
      <c r="Q360" s="1376"/>
      <c r="R360" s="1376"/>
      <c r="S360" s="1376"/>
      <c r="T360" s="1376"/>
      <c r="U360" s="1376"/>
      <c r="V360" s="1376"/>
      <c r="W360" s="1376"/>
      <c r="X360" s="1376"/>
      <c r="Y360" s="1376"/>
      <c r="Z360" s="1376"/>
      <c r="AA360" s="1376"/>
      <c r="AB360" s="1376"/>
      <c r="AC360" s="1376"/>
      <c r="AD360" s="1376"/>
      <c r="AE360" s="1376"/>
      <c r="AF360" s="1376"/>
      <c r="AG360" s="1376"/>
      <c r="AH360" s="1376"/>
      <c r="AI360" s="1376"/>
      <c r="AJ360" s="1376"/>
      <c r="AK360" s="27"/>
      <c r="AL360" s="27"/>
      <c r="AM360" s="27"/>
      <c r="AN360" s="279"/>
    </row>
    <row r="361" spans="1:46" s="4" customFormat="1" ht="12.75" customHeight="1">
      <c r="A361" s="27"/>
      <c r="B361" s="26"/>
      <c r="C361" s="1376"/>
      <c r="D361" s="1376"/>
      <c r="E361" s="1376"/>
      <c r="F361" s="1376"/>
      <c r="G361" s="1376"/>
      <c r="H361" s="1376"/>
      <c r="I361" s="1376"/>
      <c r="J361" s="1376"/>
      <c r="K361" s="1376"/>
      <c r="L361" s="1376"/>
      <c r="M361" s="1376"/>
      <c r="N361" s="1376"/>
      <c r="O361" s="1376"/>
      <c r="P361" s="1376"/>
      <c r="Q361" s="1376"/>
      <c r="R361" s="1376"/>
      <c r="S361" s="1376"/>
      <c r="T361" s="1376"/>
      <c r="U361" s="1376"/>
      <c r="V361" s="1376"/>
      <c r="W361" s="1376"/>
      <c r="X361" s="1376"/>
      <c r="Y361" s="1376"/>
      <c r="Z361" s="1376"/>
      <c r="AA361" s="1376"/>
      <c r="AB361" s="1376"/>
      <c r="AC361" s="1376"/>
      <c r="AD361" s="1376"/>
      <c r="AE361" s="1376"/>
      <c r="AF361" s="1376"/>
      <c r="AG361" s="1376"/>
      <c r="AH361" s="1376"/>
      <c r="AI361" s="1376"/>
      <c r="AJ361" s="1376"/>
      <c r="AK361" s="27"/>
      <c r="AL361" s="27"/>
      <c r="AM361" s="27"/>
      <c r="AN361" s="279"/>
    </row>
    <row r="362" spans="1:46" s="4" customFormat="1" ht="13.15" customHeight="1">
      <c r="A362" s="27"/>
      <c r="B362" s="26"/>
      <c r="C362" s="1376"/>
      <c r="D362" s="1376"/>
      <c r="E362" s="1376"/>
      <c r="F362" s="1376"/>
      <c r="G362" s="1376"/>
      <c r="H362" s="1376"/>
      <c r="I362" s="1376"/>
      <c r="J362" s="1376"/>
      <c r="K362" s="1376"/>
      <c r="L362" s="1376"/>
      <c r="M362" s="1376"/>
      <c r="N362" s="1376"/>
      <c r="O362" s="1376"/>
      <c r="P362" s="1376"/>
      <c r="Q362" s="1376"/>
      <c r="R362" s="1376"/>
      <c r="S362" s="1376"/>
      <c r="T362" s="1376"/>
      <c r="U362" s="1376"/>
      <c r="V362" s="1376"/>
      <c r="W362" s="1376"/>
      <c r="X362" s="1376"/>
      <c r="Y362" s="1376"/>
      <c r="Z362" s="1376"/>
      <c r="AA362" s="1376"/>
      <c r="AB362" s="1376"/>
      <c r="AC362" s="1376"/>
      <c r="AD362" s="1376"/>
      <c r="AE362" s="1376"/>
      <c r="AF362" s="1376"/>
      <c r="AG362" s="1376"/>
      <c r="AH362" s="1376"/>
      <c r="AI362" s="1376"/>
      <c r="AJ362" s="1376"/>
      <c r="AK362" s="27"/>
      <c r="AL362" s="27"/>
      <c r="AM362" s="27"/>
      <c r="AN362" s="279"/>
    </row>
    <row r="363" spans="1:46" s="4" customFormat="1" ht="12.75" customHeight="1">
      <c r="A363" s="27"/>
      <c r="B363" s="26"/>
      <c r="C363" s="1376"/>
      <c r="D363" s="1376"/>
      <c r="E363" s="1376"/>
      <c r="F363" s="1376"/>
      <c r="G363" s="1376"/>
      <c r="H363" s="1376"/>
      <c r="I363" s="1376"/>
      <c r="J363" s="1376"/>
      <c r="K363" s="1376"/>
      <c r="L363" s="1376"/>
      <c r="M363" s="1376"/>
      <c r="N363" s="1376"/>
      <c r="O363" s="1376"/>
      <c r="P363" s="1376"/>
      <c r="Q363" s="1376"/>
      <c r="R363" s="1376"/>
      <c r="S363" s="1376"/>
      <c r="T363" s="1376"/>
      <c r="U363" s="1376"/>
      <c r="V363" s="1376"/>
      <c r="W363" s="1376"/>
      <c r="X363" s="1376"/>
      <c r="Y363" s="1376"/>
      <c r="Z363" s="1376"/>
      <c r="AA363" s="1376"/>
      <c r="AB363" s="1376"/>
      <c r="AC363" s="1376"/>
      <c r="AD363" s="1376"/>
      <c r="AE363" s="1376"/>
      <c r="AF363" s="1376"/>
      <c r="AG363" s="1376"/>
      <c r="AH363" s="1376"/>
      <c r="AI363" s="1376"/>
      <c r="AJ363" s="1376"/>
      <c r="AK363" s="27"/>
      <c r="AL363" s="27"/>
      <c r="AM363" s="27"/>
      <c r="AN363" s="279"/>
      <c r="AO363" s="168"/>
      <c r="AP363" s="168"/>
    </row>
    <row r="364" spans="1:46" s="4" customFormat="1" ht="11.85" customHeight="1">
      <c r="A364" s="27"/>
      <c r="B364" s="26"/>
      <c r="C364" s="1376"/>
      <c r="D364" s="1376"/>
      <c r="E364" s="1376"/>
      <c r="F364" s="1376"/>
      <c r="G364" s="1376"/>
      <c r="H364" s="1376"/>
      <c r="I364" s="1376"/>
      <c r="J364" s="1376"/>
      <c r="K364" s="1376"/>
      <c r="L364" s="1376"/>
      <c r="M364" s="1376"/>
      <c r="N364" s="1376"/>
      <c r="O364" s="1376"/>
      <c r="P364" s="1376"/>
      <c r="Q364" s="1376"/>
      <c r="R364" s="1376"/>
      <c r="S364" s="1376"/>
      <c r="T364" s="1376"/>
      <c r="U364" s="1376"/>
      <c r="V364" s="1376"/>
      <c r="W364" s="1376"/>
      <c r="X364" s="1376"/>
      <c r="Y364" s="1376"/>
      <c r="Z364" s="1376"/>
      <c r="AA364" s="1376"/>
      <c r="AB364" s="1376"/>
      <c r="AC364" s="1376"/>
      <c r="AD364" s="1376"/>
      <c r="AE364" s="1376"/>
      <c r="AF364" s="1376"/>
      <c r="AG364" s="1376"/>
      <c r="AH364" s="1376"/>
      <c r="AI364" s="1376"/>
      <c r="AJ364" s="1376"/>
      <c r="AK364" s="27"/>
      <c r="AL364" s="27"/>
      <c r="AM364" s="27"/>
      <c r="AN364" s="279"/>
      <c r="AO364" s="682" t="s">
        <v>626</v>
      </c>
      <c r="AP364" s="71">
        <f>IF(C389="Yes",5,0)</f>
        <v>0</v>
      </c>
      <c r="AS364" s="3" t="s">
        <v>1940</v>
      </c>
    </row>
    <row r="365" spans="1:46" s="4" customFormat="1" ht="12.75" customHeight="1">
      <c r="A365" s="27"/>
      <c r="B365" s="26"/>
      <c r="C365" s="1376"/>
      <c r="D365" s="1376"/>
      <c r="E365" s="1376"/>
      <c r="F365" s="1376"/>
      <c r="G365" s="1376"/>
      <c r="H365" s="1376"/>
      <c r="I365" s="1376"/>
      <c r="J365" s="1376"/>
      <c r="K365" s="1376"/>
      <c r="L365" s="1376"/>
      <c r="M365" s="1376"/>
      <c r="N365" s="1376"/>
      <c r="O365" s="1376"/>
      <c r="P365" s="1376"/>
      <c r="Q365" s="1376"/>
      <c r="R365" s="1376"/>
      <c r="S365" s="1376"/>
      <c r="T365" s="1376"/>
      <c r="U365" s="1376"/>
      <c r="V365" s="1376"/>
      <c r="W365" s="1376"/>
      <c r="X365" s="1376"/>
      <c r="Y365" s="1376"/>
      <c r="Z365" s="1376"/>
      <c r="AA365" s="1376"/>
      <c r="AB365" s="1376"/>
      <c r="AC365" s="1376"/>
      <c r="AD365" s="1376"/>
      <c r="AE365" s="1376"/>
      <c r="AF365" s="1376"/>
      <c r="AG365" s="1376"/>
      <c r="AH365" s="1376"/>
      <c r="AI365" s="1376"/>
      <c r="AJ365" s="1376"/>
      <c r="AK365" s="27"/>
      <c r="AL365" s="27"/>
      <c r="AM365" s="27"/>
      <c r="AN365" s="279"/>
      <c r="AO365" s="682"/>
      <c r="AP365" s="71"/>
      <c r="AS365" s="1460">
        <f>IF(AQ378=0,AQ391,AQ378)</f>
        <v>10</v>
      </c>
      <c r="AT365" s="974"/>
    </row>
    <row r="366" spans="1:46" s="4" customFormat="1" ht="12.75" customHeight="1">
      <c r="A366" s="27"/>
      <c r="B366" s="26"/>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27"/>
      <c r="AL366" s="27"/>
      <c r="AM366" s="27"/>
      <c r="AN366" s="279"/>
      <c r="AO366" s="682" t="s">
        <v>627</v>
      </c>
      <c r="AP366" s="71">
        <f>IF(C399="Yes",5,0)</f>
        <v>0</v>
      </c>
      <c r="AS366" s="3" t="s">
        <v>1941</v>
      </c>
    </row>
    <row r="367" spans="1:46" s="4" customFormat="1" ht="12.75" customHeight="1">
      <c r="A367" s="27"/>
      <c r="B367" s="26"/>
      <c r="C367" s="1376"/>
      <c r="D367" s="1376"/>
      <c r="E367" s="1376"/>
      <c r="F367" s="1376"/>
      <c r="G367" s="1376"/>
      <c r="H367" s="1376"/>
      <c r="I367" s="1376"/>
      <c r="J367" s="1376"/>
      <c r="K367" s="1376"/>
      <c r="L367" s="1376"/>
      <c r="M367" s="1376"/>
      <c r="N367" s="1376"/>
      <c r="O367" s="1376"/>
      <c r="P367" s="1376"/>
      <c r="Q367" s="1376"/>
      <c r="R367" s="1376"/>
      <c r="S367" s="1376"/>
      <c r="T367" s="1376"/>
      <c r="U367" s="1376"/>
      <c r="V367" s="1376"/>
      <c r="W367" s="1376"/>
      <c r="X367" s="1376"/>
      <c r="Y367" s="1376"/>
      <c r="Z367" s="1376"/>
      <c r="AA367" s="1376"/>
      <c r="AB367" s="1376"/>
      <c r="AC367" s="1376"/>
      <c r="AD367" s="1376"/>
      <c r="AE367" s="1376"/>
      <c r="AF367" s="1376"/>
      <c r="AG367" s="1376"/>
      <c r="AH367" s="1376"/>
      <c r="AI367" s="1376"/>
      <c r="AJ367" s="1376"/>
      <c r="AK367" s="27"/>
      <c r="AL367" s="27"/>
      <c r="AM367" s="27"/>
      <c r="AN367" s="279"/>
      <c r="AO367" s="682"/>
      <c r="AP367" s="71"/>
      <c r="AS367" s="1460">
        <f>IF(AND(AQ378&gt;0,AQ391&gt;0),(AQ378+AQ391)/2,0)</f>
        <v>0</v>
      </c>
      <c r="AT367" s="974"/>
    </row>
    <row r="368" spans="1:46" s="4" customFormat="1" ht="12.75" customHeight="1">
      <c r="A368" s="27"/>
      <c r="B368" s="26"/>
      <c r="C368" s="1376"/>
      <c r="D368" s="1376"/>
      <c r="E368" s="1376"/>
      <c r="F368" s="1376"/>
      <c r="G368" s="1376"/>
      <c r="H368" s="1376"/>
      <c r="I368" s="1376"/>
      <c r="J368" s="1376"/>
      <c r="K368" s="1376"/>
      <c r="L368" s="1376"/>
      <c r="M368" s="1376"/>
      <c r="N368" s="1376"/>
      <c r="O368" s="1376"/>
      <c r="P368" s="1376"/>
      <c r="Q368" s="1376"/>
      <c r="R368" s="1376"/>
      <c r="S368" s="1376"/>
      <c r="T368" s="1376"/>
      <c r="U368" s="1376"/>
      <c r="V368" s="1376"/>
      <c r="W368" s="1376"/>
      <c r="X368" s="1376"/>
      <c r="Y368" s="1376"/>
      <c r="Z368" s="1376"/>
      <c r="AA368" s="1376"/>
      <c r="AB368" s="1376"/>
      <c r="AC368" s="1376"/>
      <c r="AD368" s="1376"/>
      <c r="AE368" s="1376"/>
      <c r="AF368" s="1376"/>
      <c r="AG368" s="1376"/>
      <c r="AH368" s="1376"/>
      <c r="AI368" s="1376"/>
      <c r="AJ368" s="1376"/>
      <c r="AK368" s="27"/>
      <c r="AL368" s="27"/>
      <c r="AM368" s="27"/>
      <c r="AN368" s="279"/>
      <c r="AO368" s="682" t="s">
        <v>628</v>
      </c>
      <c r="AP368" s="71">
        <f>IF(C409="Yes",7,0)</f>
        <v>7</v>
      </c>
    </row>
    <row r="369" spans="1:75" s="4" customFormat="1" ht="12.75" customHeight="1">
      <c r="A369" s="27"/>
      <c r="B369" s="26"/>
      <c r="C369" s="1438" t="s">
        <v>1942</v>
      </c>
      <c r="D369" s="1376"/>
      <c r="E369" s="1376"/>
      <c r="F369" s="1376"/>
      <c r="G369" s="1376"/>
      <c r="H369" s="1376"/>
      <c r="I369" s="1376"/>
      <c r="J369" s="1376"/>
      <c r="K369" s="1376"/>
      <c r="L369" s="1376"/>
      <c r="M369" s="1376"/>
      <c r="N369" s="1376"/>
      <c r="O369" s="1376"/>
      <c r="P369" s="1376"/>
      <c r="Q369" s="1376"/>
      <c r="R369" s="1376"/>
      <c r="S369" s="1376"/>
      <c r="T369" s="1376"/>
      <c r="U369" s="1376"/>
      <c r="V369" s="1376"/>
      <c r="W369" s="1376"/>
      <c r="X369" s="1376"/>
      <c r="Y369" s="1376"/>
      <c r="Z369" s="1376"/>
      <c r="AA369" s="1376"/>
      <c r="AB369" s="1376"/>
      <c r="AC369" s="1376"/>
      <c r="AD369" s="1376"/>
      <c r="AE369" s="1376"/>
      <c r="AF369" s="1376"/>
      <c r="AG369" s="1376"/>
      <c r="AH369" s="1376"/>
      <c r="AI369" s="1376"/>
      <c r="AJ369" s="1376"/>
      <c r="AK369" s="27"/>
      <c r="AL369" s="27"/>
      <c r="AM369" s="27"/>
      <c r="AN369" s="279"/>
      <c r="AO369" s="279"/>
      <c r="AP369" s="71">
        <f>IF(C411="Yes",5,0)</f>
        <v>0</v>
      </c>
    </row>
    <row r="370" spans="1:75" s="4" customFormat="1" ht="12.75" customHeight="1">
      <c r="A370" s="27"/>
      <c r="B370" s="26"/>
      <c r="C370" s="1376"/>
      <c r="D370" s="1376"/>
      <c r="E370" s="1376"/>
      <c r="F370" s="1376"/>
      <c r="G370" s="1376"/>
      <c r="H370" s="1376"/>
      <c r="I370" s="1376"/>
      <c r="J370" s="1376"/>
      <c r="K370" s="1376"/>
      <c r="L370" s="1376"/>
      <c r="M370" s="1376"/>
      <c r="N370" s="1376"/>
      <c r="O370" s="1376"/>
      <c r="P370" s="1376"/>
      <c r="Q370" s="1376"/>
      <c r="R370" s="1376"/>
      <c r="S370" s="1376"/>
      <c r="T370" s="1376"/>
      <c r="U370" s="1376"/>
      <c r="V370" s="1376"/>
      <c r="W370" s="1376"/>
      <c r="X370" s="1376"/>
      <c r="Y370" s="1376"/>
      <c r="Z370" s="1376"/>
      <c r="AA370" s="1376"/>
      <c r="AB370" s="1376"/>
      <c r="AC370" s="1376"/>
      <c r="AD370" s="1376"/>
      <c r="AE370" s="1376"/>
      <c r="AF370" s="1376"/>
      <c r="AG370" s="1376"/>
      <c r="AH370" s="1376"/>
      <c r="AI370" s="1376"/>
      <c r="AJ370" s="1376"/>
      <c r="AK370" s="27"/>
      <c r="AL370" s="27"/>
      <c r="AM370" s="27"/>
      <c r="AN370" s="279"/>
      <c r="AO370" s="279"/>
      <c r="AP370" s="71"/>
    </row>
    <row r="371" spans="1:75" s="4" customFormat="1" ht="12.75" customHeight="1">
      <c r="A371" s="27"/>
      <c r="B371" s="26"/>
      <c r="C371" s="1376"/>
      <c r="D371" s="1376"/>
      <c r="E371" s="1376"/>
      <c r="F371" s="1376"/>
      <c r="G371" s="1376"/>
      <c r="H371" s="1376"/>
      <c r="I371" s="1376"/>
      <c r="J371" s="1376"/>
      <c r="K371" s="1376"/>
      <c r="L371" s="1376"/>
      <c r="M371" s="1376"/>
      <c r="N371" s="1376"/>
      <c r="O371" s="1376"/>
      <c r="P371" s="1376"/>
      <c r="Q371" s="1376"/>
      <c r="R371" s="1376"/>
      <c r="S371" s="1376"/>
      <c r="T371" s="1376"/>
      <c r="U371" s="1376"/>
      <c r="V371" s="1376"/>
      <c r="W371" s="1376"/>
      <c r="X371" s="1376"/>
      <c r="Y371" s="1376"/>
      <c r="Z371" s="1376"/>
      <c r="AA371" s="1376"/>
      <c r="AB371" s="1376"/>
      <c r="AC371" s="1376"/>
      <c r="AD371" s="1376"/>
      <c r="AE371" s="1376"/>
      <c r="AF371" s="1376"/>
      <c r="AG371" s="1376"/>
      <c r="AH371" s="1376"/>
      <c r="AI371" s="1376"/>
      <c r="AJ371" s="1376"/>
      <c r="AK371" s="27"/>
      <c r="AL371" s="27"/>
      <c r="AM371" s="27"/>
      <c r="AN371" s="279"/>
      <c r="AO371" s="682" t="s">
        <v>629</v>
      </c>
      <c r="AP371" s="71">
        <f>IF(C419="Yes",5,0)</f>
        <v>0</v>
      </c>
    </row>
    <row r="372" spans="1:75" s="4" customFormat="1" ht="11.85" customHeight="1">
      <c r="A372" s="27"/>
      <c r="B372" s="26"/>
      <c r="C372" s="1376"/>
      <c r="D372" s="1376"/>
      <c r="E372" s="1376"/>
      <c r="F372" s="1376"/>
      <c r="G372" s="1376"/>
      <c r="H372" s="1376"/>
      <c r="I372" s="1376"/>
      <c r="J372" s="1376"/>
      <c r="K372" s="1376"/>
      <c r="L372" s="1376"/>
      <c r="M372" s="1376"/>
      <c r="N372" s="1376"/>
      <c r="O372" s="1376"/>
      <c r="P372" s="1376"/>
      <c r="Q372" s="1376"/>
      <c r="R372" s="1376"/>
      <c r="S372" s="1376"/>
      <c r="T372" s="1376"/>
      <c r="U372" s="1376"/>
      <c r="V372" s="1376"/>
      <c r="W372" s="1376"/>
      <c r="X372" s="1376"/>
      <c r="Y372" s="1376"/>
      <c r="Z372" s="1376"/>
      <c r="AA372" s="1376"/>
      <c r="AB372" s="1376"/>
      <c r="AC372" s="1376"/>
      <c r="AD372" s="1376"/>
      <c r="AE372" s="1376"/>
      <c r="AF372" s="1376"/>
      <c r="AG372" s="1376"/>
      <c r="AH372" s="1376"/>
      <c r="AI372" s="1376"/>
      <c r="AJ372" s="1376"/>
      <c r="AK372" s="27"/>
      <c r="AL372" s="27"/>
      <c r="AM372" s="27"/>
      <c r="AN372" s="279"/>
      <c r="AO372" s="279"/>
      <c r="AP372" s="71">
        <f>IF(C421="Yes",3,0)</f>
        <v>3</v>
      </c>
    </row>
    <row r="373" spans="1:75" s="4" customFormat="1" ht="12.4" customHeight="1">
      <c r="A373" s="27"/>
      <c r="B373" s="26"/>
      <c r="C373" s="1376"/>
      <c r="D373" s="1376"/>
      <c r="E373" s="1376"/>
      <c r="F373" s="1376"/>
      <c r="G373" s="1376"/>
      <c r="H373" s="1376"/>
      <c r="I373" s="1376"/>
      <c r="J373" s="1376"/>
      <c r="K373" s="1376"/>
      <c r="L373" s="1376"/>
      <c r="M373" s="1376"/>
      <c r="N373" s="1376"/>
      <c r="O373" s="1376"/>
      <c r="P373" s="1376"/>
      <c r="Q373" s="1376"/>
      <c r="R373" s="1376"/>
      <c r="S373" s="1376"/>
      <c r="T373" s="1376"/>
      <c r="U373" s="1376"/>
      <c r="V373" s="1376"/>
      <c r="W373" s="1376"/>
      <c r="X373" s="1376"/>
      <c r="Y373" s="1376"/>
      <c r="Z373" s="1376"/>
      <c r="AA373" s="1376"/>
      <c r="AB373" s="1376"/>
      <c r="AC373" s="1376"/>
      <c r="AD373" s="1376"/>
      <c r="AE373" s="1376"/>
      <c r="AF373" s="1376"/>
      <c r="AG373" s="1376"/>
      <c r="AH373" s="1376"/>
      <c r="AI373" s="1376"/>
      <c r="AJ373" s="1376"/>
      <c r="AK373" s="27"/>
      <c r="AL373" s="27"/>
      <c r="AM373" s="27"/>
      <c r="AN373" s="279"/>
      <c r="AO373" s="279"/>
      <c r="AP373" s="71"/>
    </row>
    <row r="374" spans="1:75" s="4" customFormat="1" ht="12.75" customHeight="1">
      <c r="A374" s="27"/>
      <c r="B374" s="26"/>
      <c r="C374" s="1376"/>
      <c r="D374" s="1376"/>
      <c r="E374" s="1376"/>
      <c r="F374" s="1376"/>
      <c r="G374" s="1376"/>
      <c r="H374" s="1376"/>
      <c r="I374" s="1376"/>
      <c r="J374" s="1376"/>
      <c r="K374" s="1376"/>
      <c r="L374" s="1376"/>
      <c r="M374" s="1376"/>
      <c r="N374" s="1376"/>
      <c r="O374" s="1376"/>
      <c r="P374" s="1376"/>
      <c r="Q374" s="1376"/>
      <c r="R374" s="1376"/>
      <c r="S374" s="1376"/>
      <c r="T374" s="1376"/>
      <c r="U374" s="1376"/>
      <c r="V374" s="1376"/>
      <c r="W374" s="1376"/>
      <c r="X374" s="1376"/>
      <c r="Y374" s="1376"/>
      <c r="Z374" s="1376"/>
      <c r="AA374" s="1376"/>
      <c r="AB374" s="1376"/>
      <c r="AC374" s="1376"/>
      <c r="AD374" s="1376"/>
      <c r="AE374" s="1376"/>
      <c r="AF374" s="1376"/>
      <c r="AG374" s="1376"/>
      <c r="AH374" s="1376"/>
      <c r="AI374" s="1376"/>
      <c r="AJ374" s="1376"/>
      <c r="AK374" s="27"/>
      <c r="AL374" s="27"/>
      <c r="AM374" s="27"/>
      <c r="AN374" s="279"/>
      <c r="AO374" s="682" t="s">
        <v>630</v>
      </c>
      <c r="AP374" s="71">
        <f>IF(C424="Yes",5,0)</f>
        <v>0</v>
      </c>
    </row>
    <row r="375" spans="1:75" s="4" customFormat="1" ht="12.75" customHeight="1">
      <c r="A375" s="27"/>
      <c r="B375" s="26"/>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27"/>
      <c r="AL375" s="27"/>
      <c r="AM375" s="27"/>
      <c r="AN375" s="279"/>
      <c r="AO375" s="682" t="s">
        <v>631</v>
      </c>
      <c r="AP375" s="71">
        <f>IF(C433="Yes",5,0)</f>
        <v>0</v>
      </c>
    </row>
    <row r="376" spans="1:75" s="4" customFormat="1" ht="12.75" customHeight="1">
      <c r="A376" s="27"/>
      <c r="B376" s="26"/>
      <c r="C376" s="1438" t="s">
        <v>1943</v>
      </c>
      <c r="D376" s="1376"/>
      <c r="E376" s="1376"/>
      <c r="F376" s="1376"/>
      <c r="G376" s="1376"/>
      <c r="H376" s="1376"/>
      <c r="I376" s="1376"/>
      <c r="J376" s="1376"/>
      <c r="K376" s="1376"/>
      <c r="L376" s="1376"/>
      <c r="M376" s="1376"/>
      <c r="N376" s="1376"/>
      <c r="O376" s="1376"/>
      <c r="P376" s="1376"/>
      <c r="Q376" s="1376"/>
      <c r="R376" s="1376"/>
      <c r="S376" s="1376"/>
      <c r="T376" s="1376"/>
      <c r="U376" s="1376"/>
      <c r="V376" s="1376"/>
      <c r="W376" s="1376"/>
      <c r="X376" s="1376"/>
      <c r="Y376" s="1376"/>
      <c r="Z376" s="1376"/>
      <c r="AA376" s="1376"/>
      <c r="AB376" s="1376"/>
      <c r="AC376" s="1376"/>
      <c r="AD376" s="1376"/>
      <c r="AE376" s="1376"/>
      <c r="AF376" s="1376"/>
      <c r="AG376" s="1376"/>
      <c r="AH376" s="1376"/>
      <c r="AI376" s="1376"/>
      <c r="AJ376" s="1376"/>
      <c r="AK376" s="27"/>
      <c r="AL376" s="27"/>
      <c r="AM376" s="27"/>
      <c r="AN376" s="279"/>
      <c r="AO376" s="279"/>
      <c r="AP376" s="71">
        <f>IF(C435="Yes",3,0)</f>
        <v>0</v>
      </c>
    </row>
    <row r="377" spans="1:75" s="4" customFormat="1" ht="12.75" customHeight="1">
      <c r="A377" s="27"/>
      <c r="B377" s="26"/>
      <c r="C377" s="1376"/>
      <c r="D377" s="1376"/>
      <c r="E377" s="1376"/>
      <c r="F377" s="1376"/>
      <c r="G377" s="1376"/>
      <c r="H377" s="1376"/>
      <c r="I377" s="1376"/>
      <c r="J377" s="1376"/>
      <c r="K377" s="1376"/>
      <c r="L377" s="1376"/>
      <c r="M377" s="1376"/>
      <c r="N377" s="1376"/>
      <c r="O377" s="1376"/>
      <c r="P377" s="1376"/>
      <c r="Q377" s="1376"/>
      <c r="R377" s="1376"/>
      <c r="S377" s="1376"/>
      <c r="T377" s="1376"/>
      <c r="U377" s="1376"/>
      <c r="V377" s="1376"/>
      <c r="W377" s="1376"/>
      <c r="X377" s="1376"/>
      <c r="Y377" s="1376"/>
      <c r="Z377" s="1376"/>
      <c r="AA377" s="1376"/>
      <c r="AB377" s="1376"/>
      <c r="AC377" s="1376"/>
      <c r="AD377" s="1376"/>
      <c r="AE377" s="1376"/>
      <c r="AF377" s="1376"/>
      <c r="AG377" s="1376"/>
      <c r="AH377" s="1376"/>
      <c r="AI377" s="1376"/>
      <c r="AJ377" s="1376"/>
      <c r="AK377" s="27"/>
      <c r="AL377" s="27"/>
      <c r="AM377" s="27"/>
      <c r="AN377" s="279"/>
      <c r="AO377" s="683"/>
      <c r="AP377" s="55"/>
    </row>
    <row r="378" spans="1:75" s="4" customFormat="1" ht="68.099999999999994" customHeight="1">
      <c r="A378" s="27"/>
      <c r="B378" s="26"/>
      <c r="C378" s="1376"/>
      <c r="D378" s="1376"/>
      <c r="E378" s="1376"/>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6"/>
      <c r="AF378" s="1376"/>
      <c r="AG378" s="1376"/>
      <c r="AH378" s="1376"/>
      <c r="AI378" s="1376"/>
      <c r="AJ378" s="1376"/>
      <c r="AK378" s="27"/>
      <c r="AL378" s="27"/>
      <c r="AM378" s="27"/>
      <c r="AN378" s="279"/>
      <c r="AO378" s="684" t="s">
        <v>1944</v>
      </c>
      <c r="AP378" s="166">
        <f>SUM(AP364:AP377)</f>
        <v>10</v>
      </c>
      <c r="AQ378" s="1198">
        <f>IF(AP378&gt;0,AP378,0)</f>
        <v>10</v>
      </c>
      <c r="AR378" s="974"/>
    </row>
    <row r="379" spans="1:75" s="4" customFormat="1" ht="12.4" customHeight="1">
      <c r="A379" s="27"/>
      <c r="B379" s="26"/>
      <c r="C379" s="4" t="s">
        <v>1945</v>
      </c>
      <c r="AF379" s="27"/>
      <c r="AG379" s="27"/>
      <c r="AH379" s="27"/>
      <c r="AI379" s="27"/>
      <c r="AJ379" s="27"/>
      <c r="AK379" s="27"/>
      <c r="AL379" s="27"/>
      <c r="AM379" s="27"/>
      <c r="AN379" s="279"/>
      <c r="AO379" s="682" t="s">
        <v>632</v>
      </c>
      <c r="AP379" s="71">
        <f>IF(C442="Yes",5,0)</f>
        <v>0</v>
      </c>
    </row>
    <row r="380" spans="1:75" s="4" customFormat="1" ht="12.75" customHeight="1">
      <c r="A380" s="27"/>
      <c r="B380" s="26"/>
      <c r="C380" s="685" t="s">
        <v>1946</v>
      </c>
      <c r="D380" s="686"/>
      <c r="E380" s="686"/>
      <c r="F380" s="686"/>
      <c r="G380" s="686"/>
      <c r="H380" s="686"/>
      <c r="I380" s="686"/>
      <c r="J380" s="686"/>
      <c r="K380" s="686"/>
      <c r="L380" s="686"/>
      <c r="M380" s="216"/>
      <c r="N380" s="216"/>
      <c r="O380" s="687"/>
      <c r="P380" s="686"/>
      <c r="Q380" s="686"/>
      <c r="R380" s="216"/>
      <c r="S380" s="216"/>
      <c r="T380" s="686"/>
      <c r="U380" s="1506">
        <f>Application!CQ657-U381</f>
        <v>38</v>
      </c>
      <c r="V380" s="1073"/>
      <c r="W380" s="1073"/>
      <c r="X380" s="686"/>
      <c r="Y380" s="686"/>
      <c r="Z380" s="686"/>
      <c r="AA380" s="688"/>
      <c r="AB380" s="276"/>
      <c r="AC380" s="276"/>
      <c r="AD380" s="276"/>
      <c r="AE380" s="27"/>
      <c r="AF380" s="27"/>
      <c r="AG380" s="27"/>
      <c r="AH380" s="27"/>
      <c r="AI380" s="27"/>
      <c r="AJ380" s="27"/>
      <c r="AK380" s="27"/>
      <c r="AL380" s="27"/>
      <c r="AM380" s="27"/>
      <c r="AN380" s="279"/>
      <c r="AO380" s="279"/>
      <c r="AP380" s="71"/>
    </row>
    <row r="381" spans="1:75" s="4" customFormat="1" ht="12.75" customHeight="1">
      <c r="A381" s="27"/>
      <c r="B381" s="26"/>
      <c r="C381" s="689" t="s">
        <v>1947</v>
      </c>
      <c r="D381" s="168"/>
      <c r="E381" s="168"/>
      <c r="F381" s="168"/>
      <c r="G381" s="168"/>
      <c r="H381" s="168"/>
      <c r="I381" s="168"/>
      <c r="J381" s="168"/>
      <c r="K381" s="168"/>
      <c r="L381" s="168"/>
      <c r="M381" s="168"/>
      <c r="N381" s="168"/>
      <c r="O381" s="168"/>
      <c r="P381" s="168"/>
      <c r="Q381" s="168"/>
      <c r="R381" s="168"/>
      <c r="S381" s="168"/>
      <c r="T381" s="168"/>
      <c r="U381" s="1482">
        <f>IF(Application!D214="SRO",Application!CQ636,Application!AG741)</f>
        <v>0</v>
      </c>
      <c r="V381" s="1093"/>
      <c r="W381" s="1093"/>
      <c r="X381" s="168"/>
      <c r="Y381" s="168"/>
      <c r="Z381" s="168"/>
      <c r="AA381" s="170"/>
      <c r="AC381" s="275"/>
      <c r="AD381" s="275"/>
      <c r="AE381" s="27"/>
      <c r="AF381" s="27"/>
      <c r="AG381" s="27"/>
      <c r="AH381" s="27"/>
      <c r="AI381" s="27"/>
      <c r="AJ381" s="27"/>
      <c r="AK381" s="27"/>
      <c r="AL381" s="27"/>
      <c r="AM381" s="27"/>
      <c r="AN381" s="279"/>
      <c r="AO381" s="682" t="s">
        <v>633</v>
      </c>
      <c r="AP381" s="71">
        <f>IF(C454="Yes",5,0)</f>
        <v>0</v>
      </c>
    </row>
    <row r="382" spans="1:75" s="4" customFormat="1" ht="12.75" customHeight="1">
      <c r="A382" s="27"/>
      <c r="B382" s="26"/>
      <c r="C382" s="4" t="s">
        <v>1948</v>
      </c>
      <c r="AC382" s="27"/>
      <c r="AD382" s="27"/>
      <c r="AE382" s="27"/>
      <c r="AF382" s="27"/>
      <c r="AG382" s="27"/>
      <c r="AH382" s="27"/>
      <c r="AI382" s="27"/>
      <c r="AJ382" s="27"/>
      <c r="AK382" s="27"/>
      <c r="AL382" s="27"/>
      <c r="AM382" s="27"/>
      <c r="AN382" s="279"/>
      <c r="AO382" s="279"/>
      <c r="AP382" s="71"/>
    </row>
    <row r="383" spans="1:75" s="4" customFormat="1" ht="12.75" customHeight="1">
      <c r="A383" s="27"/>
      <c r="B383" s="26"/>
      <c r="AC383" s="27"/>
      <c r="AD383" s="27"/>
      <c r="AE383" s="27"/>
      <c r="AF383" s="27"/>
      <c r="AG383" s="27"/>
      <c r="AH383" s="27"/>
      <c r="AI383" s="27"/>
      <c r="AJ383" s="27"/>
      <c r="AK383" s="27"/>
      <c r="AL383" s="27"/>
      <c r="AM383" s="27"/>
      <c r="AN383" s="279"/>
      <c r="AO383" s="682" t="s">
        <v>634</v>
      </c>
      <c r="AP383" s="71">
        <f>IF(C461="Yes",5,0)</f>
        <v>0</v>
      </c>
      <c r="BS383" s="38"/>
      <c r="BT383" s="38"/>
      <c r="BU383" s="21"/>
      <c r="BV383" s="21"/>
      <c r="BW383" s="21"/>
    </row>
    <row r="384" spans="1:75" s="4" customFormat="1" ht="12.75" customHeight="1">
      <c r="A384" s="27"/>
      <c r="B384" s="21"/>
      <c r="C384" s="180" t="s">
        <v>1949</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row>
    <row r="385" spans="1:87" s="4" customFormat="1" ht="12.75" customHeight="1">
      <c r="A385" s="5"/>
      <c r="B385" s="21"/>
      <c r="C385" s="690"/>
      <c r="D385" s="691"/>
      <c r="E385" s="692" t="s">
        <v>1950</v>
      </c>
      <c r="F385" s="1407" t="s">
        <v>1951</v>
      </c>
      <c r="G385" s="1408"/>
      <c r="H385" s="1408"/>
      <c r="I385" s="1408"/>
      <c r="J385" s="1408"/>
      <c r="K385" s="1408"/>
      <c r="L385" s="1408"/>
      <c r="M385" s="1408"/>
      <c r="N385" s="1408"/>
      <c r="O385" s="1408"/>
      <c r="P385" s="1408"/>
      <c r="Q385" s="1408"/>
      <c r="R385" s="1408"/>
      <c r="S385" s="1408"/>
      <c r="T385" s="1408"/>
      <c r="U385" s="1408"/>
      <c r="V385" s="1408"/>
      <c r="W385" s="1408"/>
      <c r="X385" s="1408"/>
      <c r="Y385" s="1408"/>
      <c r="Z385" s="1408"/>
      <c r="AA385" s="1408"/>
      <c r="AB385" s="1408"/>
      <c r="AC385" s="1408"/>
      <c r="AD385" s="1408"/>
      <c r="AE385" s="1408"/>
      <c r="AF385" s="1408"/>
      <c r="AG385" s="737"/>
      <c r="AH385" s="737"/>
      <c r="AI385" s="737"/>
      <c r="AJ385" s="737"/>
      <c r="AK385" s="737"/>
      <c r="AL385" s="779"/>
      <c r="AN385" s="279"/>
      <c r="AO385" s="279"/>
      <c r="AP385" s="71"/>
      <c r="BS385" s="38"/>
      <c r="BT385" s="38"/>
      <c r="BU385" s="21"/>
      <c r="BV385" s="21"/>
      <c r="BW385" s="21"/>
      <c r="BX385" s="21"/>
      <c r="BY385" s="21"/>
      <c r="BZ385" s="21"/>
      <c r="CA385" s="21"/>
      <c r="CB385" s="21"/>
      <c r="CC385" s="21"/>
      <c r="CD385" s="21"/>
      <c r="CE385" s="21"/>
      <c r="CF385" s="21"/>
      <c r="CG385" s="21"/>
      <c r="CH385" s="21"/>
    </row>
    <row r="386" spans="1:87" s="4" customFormat="1" ht="12.75" customHeight="1">
      <c r="A386" s="5"/>
      <c r="B386" s="21"/>
      <c r="C386" s="693"/>
      <c r="D386" s="5"/>
      <c r="E386" s="223"/>
      <c r="F386" s="1376"/>
      <c r="G386" s="1376"/>
      <c r="H386" s="1376"/>
      <c r="I386" s="1376"/>
      <c r="J386" s="1376"/>
      <c r="K386" s="1376"/>
      <c r="L386" s="1376"/>
      <c r="M386" s="1376"/>
      <c r="N386" s="1376"/>
      <c r="O386" s="1376"/>
      <c r="P386" s="1376"/>
      <c r="Q386" s="1376"/>
      <c r="R386" s="1376"/>
      <c r="S386" s="1376"/>
      <c r="T386" s="1376"/>
      <c r="U386" s="1376"/>
      <c r="V386" s="1376"/>
      <c r="W386" s="1376"/>
      <c r="X386" s="1376"/>
      <c r="Y386" s="1376"/>
      <c r="Z386" s="1376"/>
      <c r="AA386" s="1376"/>
      <c r="AB386" s="1376"/>
      <c r="AC386" s="1376"/>
      <c r="AD386" s="1376"/>
      <c r="AE386" s="1376"/>
      <c r="AF386" s="1376"/>
      <c r="AG386" s="3"/>
      <c r="AH386" s="3"/>
      <c r="AI386" s="3"/>
      <c r="AJ386" s="3"/>
      <c r="AK386" s="3"/>
      <c r="AL386" s="775"/>
      <c r="AN386" s="279"/>
      <c r="AO386" s="682" t="s">
        <v>635</v>
      </c>
      <c r="AP386" s="71">
        <f>IF(C465="Yes",5,0)</f>
        <v>0</v>
      </c>
      <c r="BS386" s="38"/>
      <c r="BT386" s="38"/>
      <c r="BU386" s="21"/>
      <c r="BV386" s="21"/>
      <c r="BW386" s="21"/>
      <c r="BX386" s="21"/>
      <c r="BY386" s="21"/>
      <c r="BZ386" s="21"/>
      <c r="CA386" s="21"/>
      <c r="CB386" s="21"/>
      <c r="CC386" s="21"/>
      <c r="CD386" s="21"/>
      <c r="CE386" s="21"/>
      <c r="CF386" s="21"/>
      <c r="CG386" s="21"/>
      <c r="CH386" s="21"/>
    </row>
    <row r="387" spans="1:87" s="4" customFormat="1" ht="12.75" customHeight="1">
      <c r="A387" s="5"/>
      <c r="B387" s="21"/>
      <c r="C387" s="693"/>
      <c r="D387" s="5"/>
      <c r="E387" s="223"/>
      <c r="F387" s="1376"/>
      <c r="G387" s="1376"/>
      <c r="H387" s="1376"/>
      <c r="I387" s="1376"/>
      <c r="J387" s="1376"/>
      <c r="K387" s="1376"/>
      <c r="L387" s="1376"/>
      <c r="M387" s="1376"/>
      <c r="N387" s="1376"/>
      <c r="O387" s="1376"/>
      <c r="P387" s="1376"/>
      <c r="Q387" s="1376"/>
      <c r="R387" s="1376"/>
      <c r="S387" s="1376"/>
      <c r="T387" s="1376"/>
      <c r="U387" s="1376"/>
      <c r="V387" s="1376"/>
      <c r="W387" s="1376"/>
      <c r="X387" s="1376"/>
      <c r="Y387" s="1376"/>
      <c r="Z387" s="1376"/>
      <c r="AA387" s="1376"/>
      <c r="AB387" s="1376"/>
      <c r="AC387" s="1376"/>
      <c r="AD387" s="1376"/>
      <c r="AE387" s="1376"/>
      <c r="AF387" s="1376"/>
      <c r="AG387" s="3"/>
      <c r="AH387" s="3"/>
      <c r="AI387" s="3"/>
      <c r="AJ387" s="3"/>
      <c r="AK387" s="3"/>
      <c r="AL387" s="775"/>
      <c r="AN387" s="279"/>
      <c r="AO387" s="682" t="s">
        <v>636</v>
      </c>
      <c r="AP387" s="71">
        <f>IF(C469="Yes",5,0)</f>
        <v>0</v>
      </c>
      <c r="BS387" s="38"/>
      <c r="BT387" s="38"/>
      <c r="BU387" s="21"/>
      <c r="BV387" s="21"/>
      <c r="BW387" s="21"/>
      <c r="BX387" s="21"/>
      <c r="BY387" s="21"/>
      <c r="BZ387" s="21"/>
      <c r="CA387" s="21"/>
      <c r="CB387" s="21"/>
      <c r="CC387" s="21"/>
      <c r="CD387" s="21"/>
      <c r="CE387" s="21"/>
      <c r="CF387" s="21"/>
      <c r="CG387" s="21"/>
      <c r="CH387" s="21"/>
    </row>
    <row r="388" spans="1:87" s="4" customFormat="1" ht="12.75" customHeight="1">
      <c r="A388" s="5"/>
      <c r="B388" s="21"/>
      <c r="C388" s="693"/>
      <c r="D388" s="5"/>
      <c r="E388" s="223"/>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1376"/>
      <c r="AF388" s="1376"/>
      <c r="AG388" s="3"/>
      <c r="AH388" s="3"/>
      <c r="AI388" s="3"/>
      <c r="AJ388" s="3"/>
      <c r="AK388" s="3"/>
      <c r="AL388" s="775"/>
      <c r="AN388" s="279"/>
      <c r="AO388" s="682" t="s">
        <v>637</v>
      </c>
      <c r="AP388" s="71">
        <f>IF(C478="Yes",5,0)</f>
        <v>0</v>
      </c>
      <c r="BS388" s="38"/>
      <c r="BT388" s="38"/>
      <c r="BU388" s="21"/>
      <c r="BV388" s="21"/>
      <c r="BW388" s="21"/>
      <c r="BX388" s="21"/>
      <c r="BY388" s="21"/>
      <c r="BZ388" s="21"/>
      <c r="CA388" s="21"/>
      <c r="CB388" s="21"/>
      <c r="CC388" s="21"/>
      <c r="CD388" s="21"/>
      <c r="CE388" s="21"/>
      <c r="CF388" s="21"/>
      <c r="CG388" s="21"/>
      <c r="CH388" s="21"/>
      <c r="CI388" s="40"/>
    </row>
    <row r="389" spans="1:87" s="4" customFormat="1" ht="12.75" customHeight="1">
      <c r="A389" s="5"/>
      <c r="B389" s="21"/>
      <c r="C389" s="1377" t="s">
        <v>155</v>
      </c>
      <c r="D389" s="1060"/>
      <c r="E389" s="223"/>
      <c r="F389" s="344" t="s">
        <v>1952</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47" t="s">
        <v>1953</v>
      </c>
      <c r="AG389" s="1376"/>
      <c r="AH389" s="1376"/>
      <c r="AI389" s="1376"/>
      <c r="AJ389" s="1376"/>
      <c r="AK389" s="1376"/>
      <c r="AL389" s="1417"/>
      <c r="AM389" s="823"/>
      <c r="AO389" s="279"/>
      <c r="AP389" s="71"/>
      <c r="BS389" s="38"/>
      <c r="BT389" s="38"/>
      <c r="BU389" s="21"/>
      <c r="BV389" s="21"/>
      <c r="BW389" s="21"/>
      <c r="BX389" s="21"/>
      <c r="BY389" s="21"/>
      <c r="BZ389" s="21"/>
      <c r="CA389" s="21"/>
      <c r="CB389" s="21"/>
      <c r="CC389" s="21"/>
      <c r="CD389" s="21"/>
      <c r="CE389" s="21"/>
      <c r="CF389" s="21"/>
      <c r="CG389" s="21"/>
      <c r="CH389" s="21"/>
      <c r="CI389" s="40"/>
    </row>
    <row r="390" spans="1:87" s="4" customFormat="1" ht="12.75" customHeight="1">
      <c r="A390" s="5"/>
      <c r="B390" s="21"/>
      <c r="C390" s="741"/>
      <c r="D390" s="706"/>
      <c r="E390" s="696"/>
      <c r="F390" s="806"/>
      <c r="G390" s="806"/>
      <c r="H390" s="806"/>
      <c r="I390" s="806"/>
      <c r="J390" s="806"/>
      <c r="K390" s="806"/>
      <c r="L390" s="806"/>
      <c r="M390" s="806"/>
      <c r="N390" s="806"/>
      <c r="O390" s="806"/>
      <c r="P390" s="806"/>
      <c r="Q390" s="806"/>
      <c r="R390" s="806"/>
      <c r="S390" s="806"/>
      <c r="T390" s="806"/>
      <c r="U390" s="806"/>
      <c r="V390" s="806"/>
      <c r="W390" s="806"/>
      <c r="X390" s="806"/>
      <c r="Y390" s="806"/>
      <c r="Z390" s="806"/>
      <c r="AA390" s="806"/>
      <c r="AB390" s="806"/>
      <c r="AC390" s="806"/>
      <c r="AD390" s="806"/>
      <c r="AE390" s="776"/>
      <c r="AF390" s="776"/>
      <c r="AG390" s="776"/>
      <c r="AH390" s="776"/>
      <c r="AI390" s="776"/>
      <c r="AJ390" s="776"/>
      <c r="AK390" s="776"/>
      <c r="AL390" s="777"/>
      <c r="AN390" s="279"/>
      <c r="AO390" s="683"/>
      <c r="AP390" s="55"/>
      <c r="BS390" s="38"/>
      <c r="BT390" s="38"/>
      <c r="BU390" s="21"/>
      <c r="BV390" s="21"/>
      <c r="BW390" s="21"/>
      <c r="BX390" s="21"/>
      <c r="BY390" s="21"/>
      <c r="BZ390" s="21"/>
      <c r="CA390" s="21"/>
      <c r="CB390" s="21"/>
      <c r="CC390" s="21"/>
      <c r="CD390" s="21"/>
      <c r="CE390" s="21"/>
      <c r="CF390" s="21"/>
      <c r="CG390" s="21"/>
      <c r="CH390" s="21"/>
      <c r="CI390" s="40"/>
    </row>
    <row r="391" spans="1:87" s="4" customFormat="1" ht="12.75" customHeight="1">
      <c r="A391" s="5"/>
      <c r="B391" s="2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N391" s="279"/>
      <c r="AO391" s="165" t="s">
        <v>1944</v>
      </c>
      <c r="AP391" s="3">
        <f>SUM(AP379:AP390)</f>
        <v>0</v>
      </c>
      <c r="AQ391" s="1198">
        <f>IF(AP391&gt;0,AP391,0)</f>
        <v>0</v>
      </c>
      <c r="AR391" s="974"/>
      <c r="BS391" s="38"/>
      <c r="BT391" s="38"/>
      <c r="BU391" s="21"/>
      <c r="BV391" s="21"/>
      <c r="BW391" s="21"/>
      <c r="BX391" s="21"/>
      <c r="BY391" s="21"/>
      <c r="BZ391" s="21"/>
      <c r="CA391" s="21"/>
      <c r="CB391" s="21"/>
      <c r="CC391" s="21"/>
      <c r="CD391" s="21"/>
      <c r="CE391" s="21"/>
      <c r="CF391" s="21"/>
      <c r="CG391" s="21"/>
      <c r="CH391" s="21"/>
      <c r="CI391" s="40"/>
    </row>
    <row r="392" spans="1:87"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N392" s="279"/>
      <c r="CC392" s="21"/>
      <c r="CD392" s="21"/>
      <c r="CE392" s="21"/>
      <c r="CF392" s="21"/>
      <c r="CG392" s="21"/>
      <c r="CH392" s="21"/>
      <c r="CI392" s="40"/>
    </row>
    <row r="393" spans="1:87"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N393" s="279"/>
      <c r="BS393" s="38"/>
      <c r="BT393" s="38"/>
      <c r="BU393" s="21"/>
      <c r="BV393" s="21"/>
      <c r="BW393" s="21"/>
      <c r="BX393" s="21"/>
      <c r="BY393" s="21"/>
      <c r="BZ393" s="21"/>
      <c r="CA393" s="21"/>
      <c r="CB393" s="21"/>
      <c r="CC393" s="21"/>
      <c r="CD393" s="21"/>
      <c r="CE393" s="21"/>
      <c r="CF393" s="21"/>
      <c r="CG393" s="21"/>
      <c r="CH393" s="21"/>
    </row>
    <row r="394" spans="1:87" s="4" customFormat="1" ht="12.75" customHeight="1">
      <c r="A394" s="5"/>
      <c r="B394" s="21"/>
      <c r="C394" s="690"/>
      <c r="D394" s="691"/>
      <c r="E394" s="692" t="s">
        <v>1954</v>
      </c>
      <c r="F394" s="1407" t="s">
        <v>1955</v>
      </c>
      <c r="G394" s="1408"/>
      <c r="H394" s="1408"/>
      <c r="I394" s="1408"/>
      <c r="J394" s="1408"/>
      <c r="K394" s="1408"/>
      <c r="L394" s="1408"/>
      <c r="M394" s="1408"/>
      <c r="N394" s="1408"/>
      <c r="O394" s="1408"/>
      <c r="P394" s="1408"/>
      <c r="Q394" s="1408"/>
      <c r="R394" s="1408"/>
      <c r="S394" s="1408"/>
      <c r="T394" s="1408"/>
      <c r="U394" s="1408"/>
      <c r="V394" s="1408"/>
      <c r="W394" s="1408"/>
      <c r="X394" s="1408"/>
      <c r="Y394" s="1408"/>
      <c r="Z394" s="1408"/>
      <c r="AA394" s="1408"/>
      <c r="AB394" s="1408"/>
      <c r="AC394" s="1408"/>
      <c r="AD394" s="1408"/>
      <c r="AE394" s="1408"/>
      <c r="AF394" s="1408"/>
      <c r="AG394" s="737"/>
      <c r="AH394" s="737"/>
      <c r="AI394" s="737"/>
      <c r="AJ394" s="737"/>
      <c r="AK394" s="737"/>
      <c r="AL394" s="779"/>
      <c r="AN394" s="279"/>
      <c r="BS394" s="38"/>
      <c r="BT394" s="38"/>
      <c r="BU394" s="21"/>
      <c r="BV394" s="21"/>
      <c r="BW394" s="21"/>
      <c r="BX394" s="21"/>
      <c r="BY394" s="21"/>
      <c r="BZ394" s="21"/>
      <c r="CA394" s="21"/>
      <c r="CB394" s="21"/>
      <c r="CC394" s="21"/>
      <c r="CD394" s="21"/>
      <c r="CE394" s="21"/>
      <c r="CF394" s="21"/>
      <c r="CG394" s="21"/>
      <c r="CH394" s="21"/>
    </row>
    <row r="395" spans="1:87" s="4" customFormat="1" ht="12.75" customHeight="1">
      <c r="A395" s="5"/>
      <c r="B395" s="21"/>
      <c r="C395" s="698"/>
      <c r="D395" s="21"/>
      <c r="E395" s="192"/>
      <c r="F395" s="1376"/>
      <c r="G395" s="1376"/>
      <c r="H395" s="1376"/>
      <c r="I395" s="1376"/>
      <c r="J395" s="1376"/>
      <c r="K395" s="1376"/>
      <c r="L395" s="1376"/>
      <c r="M395" s="1376"/>
      <c r="N395" s="1376"/>
      <c r="O395" s="1376"/>
      <c r="P395" s="1376"/>
      <c r="Q395" s="1376"/>
      <c r="R395" s="1376"/>
      <c r="S395" s="1376"/>
      <c r="T395" s="1376"/>
      <c r="U395" s="1376"/>
      <c r="V395" s="1376"/>
      <c r="W395" s="1376"/>
      <c r="X395" s="1376"/>
      <c r="Y395" s="1376"/>
      <c r="Z395" s="1376"/>
      <c r="AA395" s="1376"/>
      <c r="AB395" s="1376"/>
      <c r="AC395" s="1376"/>
      <c r="AD395" s="1376"/>
      <c r="AE395" s="1376"/>
      <c r="AF395" s="1376"/>
      <c r="AG395" s="3"/>
      <c r="AH395" s="3"/>
      <c r="AI395" s="3"/>
      <c r="AJ395" s="3"/>
      <c r="AK395" s="3"/>
      <c r="AL395" s="775"/>
      <c r="AN395" s="279"/>
      <c r="BS395" s="38"/>
      <c r="BT395" s="38"/>
      <c r="BU395" s="21"/>
      <c r="BV395" s="21"/>
      <c r="BW395" s="21"/>
      <c r="BX395" s="21"/>
      <c r="BY395" s="21"/>
      <c r="BZ395" s="21"/>
      <c r="CA395" s="21"/>
      <c r="CB395" s="21"/>
      <c r="CC395" s="21"/>
      <c r="CD395" s="21"/>
      <c r="CE395" s="21"/>
      <c r="CF395" s="21"/>
      <c r="CG395" s="21"/>
      <c r="CH395" s="21"/>
    </row>
    <row r="396" spans="1:87" s="4" customFormat="1" ht="12.75" customHeight="1">
      <c r="A396" s="5"/>
      <c r="B396" s="21"/>
      <c r="C396" s="698"/>
      <c r="D396" s="21"/>
      <c r="E396" s="192"/>
      <c r="F396" s="1376"/>
      <c r="G396" s="1376"/>
      <c r="H396" s="1376"/>
      <c r="I396" s="1376"/>
      <c r="J396" s="1376"/>
      <c r="K396" s="1376"/>
      <c r="L396" s="1376"/>
      <c r="M396" s="1376"/>
      <c r="N396" s="1376"/>
      <c r="O396" s="1376"/>
      <c r="P396" s="1376"/>
      <c r="Q396" s="1376"/>
      <c r="R396" s="1376"/>
      <c r="S396" s="1376"/>
      <c r="T396" s="1376"/>
      <c r="U396" s="1376"/>
      <c r="V396" s="1376"/>
      <c r="W396" s="1376"/>
      <c r="X396" s="1376"/>
      <c r="Y396" s="1376"/>
      <c r="Z396" s="1376"/>
      <c r="AA396" s="1376"/>
      <c r="AB396" s="1376"/>
      <c r="AC396" s="1376"/>
      <c r="AD396" s="1376"/>
      <c r="AE396" s="1376"/>
      <c r="AF396" s="1376"/>
      <c r="AG396" s="3"/>
      <c r="AH396" s="3"/>
      <c r="AI396" s="3"/>
      <c r="AJ396" s="3"/>
      <c r="AK396" s="3"/>
      <c r="AL396" s="775"/>
      <c r="AN396" s="279"/>
      <c r="BS396" s="38"/>
      <c r="BT396" s="38"/>
      <c r="BU396" s="21"/>
      <c r="BV396" s="21"/>
      <c r="BW396" s="21"/>
      <c r="BX396" s="21"/>
      <c r="BY396" s="21"/>
      <c r="BZ396" s="21"/>
      <c r="CA396" s="21"/>
      <c r="CB396" s="21"/>
      <c r="CC396" s="21"/>
      <c r="CD396" s="21"/>
      <c r="CE396" s="21"/>
      <c r="CF396" s="21"/>
      <c r="CG396" s="21"/>
      <c r="CH396" s="21"/>
    </row>
    <row r="397" spans="1:87" s="4" customFormat="1" ht="12.75" customHeight="1">
      <c r="A397" s="5"/>
      <c r="B397" s="21"/>
      <c r="C397" s="698"/>
      <c r="D397" s="21"/>
      <c r="E397" s="192"/>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376"/>
      <c r="AF397" s="1376"/>
      <c r="AG397" s="3"/>
      <c r="AH397" s="3"/>
      <c r="AI397" s="3"/>
      <c r="AJ397" s="3"/>
      <c r="AK397" s="3"/>
      <c r="AL397" s="775"/>
      <c r="AN397" s="279"/>
      <c r="BS397" s="38"/>
      <c r="BT397" s="38"/>
      <c r="BU397" s="21"/>
      <c r="BV397" s="21"/>
      <c r="BW397" s="21"/>
      <c r="BX397" s="21"/>
      <c r="BY397" s="21"/>
      <c r="BZ397" s="21"/>
      <c r="CA397" s="21"/>
      <c r="CB397" s="21"/>
      <c r="CC397" s="21"/>
      <c r="CD397" s="21"/>
      <c r="CE397" s="21"/>
      <c r="CF397" s="21"/>
      <c r="CG397" s="21"/>
      <c r="CH397" s="21"/>
    </row>
    <row r="398" spans="1:87" s="4" customFormat="1" ht="12.75" customHeight="1">
      <c r="A398" s="5"/>
      <c r="B398" s="21"/>
      <c r="C398" s="698"/>
      <c r="D398" s="21"/>
      <c r="E398" s="192"/>
      <c r="F398" s="1376"/>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376"/>
      <c r="AF398" s="1376"/>
      <c r="AL398" s="699"/>
      <c r="AN398" s="279"/>
      <c r="BS398" s="38"/>
      <c r="BT398" s="38"/>
      <c r="BU398" s="21"/>
      <c r="BV398" s="21"/>
      <c r="BW398" s="21"/>
      <c r="BX398" s="21"/>
      <c r="BY398" s="21"/>
      <c r="BZ398" s="21"/>
      <c r="CA398" s="21"/>
      <c r="CB398" s="21"/>
      <c r="CC398" s="21"/>
      <c r="CD398" s="21"/>
      <c r="CE398" s="21"/>
      <c r="CF398" s="21"/>
      <c r="CG398" s="21"/>
      <c r="CH398" s="21"/>
    </row>
    <row r="399" spans="1:87" s="4" customFormat="1" ht="12.75" customHeight="1">
      <c r="A399" s="5"/>
      <c r="B399" s="21"/>
      <c r="C399" s="1377" t="s">
        <v>155</v>
      </c>
      <c r="D399" s="1060"/>
      <c r="E399" s="192"/>
      <c r="F399" s="344" t="s">
        <v>1956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47" t="s">
        <v>1953</v>
      </c>
      <c r="AG399" s="1376"/>
      <c r="AH399" s="1376"/>
      <c r="AI399" s="1376"/>
      <c r="AJ399" s="1376"/>
      <c r="AK399" s="1376"/>
      <c r="AL399" s="1417"/>
      <c r="AN399" s="279"/>
      <c r="BS399" s="38"/>
      <c r="BT399" s="38"/>
      <c r="BU399" s="21"/>
      <c r="BV399" s="21"/>
      <c r="BW399" s="21"/>
      <c r="BX399" s="21"/>
      <c r="BY399" s="21"/>
      <c r="BZ399" s="21"/>
      <c r="CA399" s="21"/>
      <c r="CB399" s="21"/>
      <c r="CC399" s="21"/>
      <c r="CD399" s="21"/>
      <c r="CE399" s="21"/>
      <c r="CF399" s="21"/>
      <c r="CG399" s="21"/>
      <c r="CH399" s="21"/>
    </row>
    <row r="400" spans="1:87" s="4" customFormat="1" ht="12.75" customHeight="1">
      <c r="A400" s="5"/>
      <c r="B400" s="21"/>
      <c r="C400" s="741"/>
      <c r="D400" s="706"/>
      <c r="E400" s="696"/>
      <c r="F400" s="806"/>
      <c r="G400" s="806"/>
      <c r="H400" s="806"/>
      <c r="I400" s="806"/>
      <c r="J400" s="806"/>
      <c r="K400" s="806"/>
      <c r="L400" s="806"/>
      <c r="M400" s="806"/>
      <c r="N400" s="806"/>
      <c r="O400" s="806"/>
      <c r="P400" s="806"/>
      <c r="Q400" s="806"/>
      <c r="R400" s="806"/>
      <c r="S400" s="806"/>
      <c r="T400" s="806"/>
      <c r="U400" s="806"/>
      <c r="V400" s="806"/>
      <c r="W400" s="806"/>
      <c r="X400" s="806"/>
      <c r="Y400" s="806"/>
      <c r="Z400" s="806"/>
      <c r="AA400" s="806"/>
      <c r="AB400" s="806"/>
      <c r="AC400" s="806"/>
      <c r="AD400" s="806"/>
      <c r="AE400" s="776"/>
      <c r="AF400" s="776"/>
      <c r="AG400" s="776"/>
      <c r="AH400" s="776"/>
      <c r="AI400" s="776"/>
      <c r="AJ400" s="776"/>
      <c r="AK400" s="776"/>
      <c r="AL400" s="777"/>
      <c r="AN400" s="279"/>
      <c r="BS400" s="38"/>
      <c r="BT400" s="38"/>
      <c r="BU400" s="21"/>
      <c r="BV400" s="21"/>
      <c r="BW400" s="21"/>
      <c r="BX400" s="21"/>
      <c r="BY400" s="21"/>
      <c r="BZ400" s="21"/>
      <c r="CA400" s="21"/>
      <c r="CB400" s="21"/>
      <c r="CC400" s="21"/>
      <c r="CD400" s="21"/>
      <c r="CE400" s="21"/>
      <c r="CF400" s="21"/>
      <c r="CG400" s="21"/>
      <c r="CH400" s="21"/>
    </row>
    <row r="401" spans="1:86" s="20" customFormat="1" ht="12.75" customHeight="1">
      <c r="A401" s="5"/>
      <c r="B401" s="21"/>
      <c r="C401" s="1322"/>
      <c r="D401" s="1038"/>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85"/>
      <c r="AG401" s="1375"/>
      <c r="AH401" s="1375"/>
      <c r="AI401" s="1375"/>
      <c r="AJ401" s="1375"/>
      <c r="AK401" s="1375"/>
      <c r="AL401" s="1375"/>
      <c r="AN401" s="296"/>
      <c r="BS401" s="38"/>
      <c r="BT401" s="38"/>
      <c r="BU401" s="21"/>
      <c r="BV401" s="21"/>
      <c r="BW401" s="21"/>
      <c r="BX401" s="21"/>
      <c r="BY401" s="21"/>
      <c r="BZ401" s="21"/>
      <c r="CA401" s="21"/>
      <c r="CB401" s="21"/>
      <c r="CC401" s="21"/>
      <c r="CD401" s="21"/>
      <c r="CE401" s="21"/>
      <c r="CF401" s="21"/>
      <c r="CG401" s="21"/>
      <c r="CH401" s="21"/>
    </row>
    <row r="402" spans="1:86"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N402" s="279"/>
      <c r="BS402" s="38"/>
      <c r="BT402" s="38"/>
      <c r="BU402" s="21"/>
      <c r="BV402" s="21"/>
      <c r="BW402" s="21"/>
      <c r="BX402" s="21"/>
      <c r="BY402" s="21"/>
      <c r="BZ402" s="21"/>
      <c r="CA402" s="21"/>
      <c r="CB402" s="21"/>
      <c r="CC402" s="21"/>
      <c r="CD402" s="21"/>
      <c r="CE402" s="21"/>
      <c r="CF402" s="21"/>
      <c r="CG402" s="21"/>
      <c r="CH402" s="21"/>
    </row>
    <row r="403" spans="1:86"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N403" s="279"/>
      <c r="BS403" s="38"/>
      <c r="BT403" s="38"/>
      <c r="BU403" s="21"/>
      <c r="BV403" s="21"/>
      <c r="BW403" s="21"/>
      <c r="BX403" s="21"/>
      <c r="BY403" s="21"/>
      <c r="BZ403" s="21"/>
      <c r="CA403" s="21"/>
      <c r="CB403" s="21"/>
      <c r="CC403" s="21"/>
      <c r="CD403" s="21"/>
      <c r="CE403" s="21"/>
      <c r="CF403" s="21"/>
      <c r="CG403" s="21"/>
      <c r="CH403" s="21"/>
    </row>
    <row r="404" spans="1:86" s="4" customFormat="1" ht="12.75" customHeight="1">
      <c r="A404" s="5"/>
      <c r="B404" s="21"/>
      <c r="C404" s="690"/>
      <c r="D404" s="691"/>
      <c r="E404" s="692" t="s">
        <v>1957</v>
      </c>
      <c r="F404" s="1444" t="s">
        <v>1958</v>
      </c>
      <c r="G404" s="1408"/>
      <c r="H404" s="1408"/>
      <c r="I404" s="1408"/>
      <c r="J404" s="1408"/>
      <c r="K404" s="1408"/>
      <c r="L404" s="1408"/>
      <c r="M404" s="1408"/>
      <c r="N404" s="1408"/>
      <c r="O404" s="1408"/>
      <c r="P404" s="1408"/>
      <c r="Q404" s="1408"/>
      <c r="R404" s="1408"/>
      <c r="S404" s="1408"/>
      <c r="T404" s="1408"/>
      <c r="U404" s="1408"/>
      <c r="V404" s="1408"/>
      <c r="W404" s="1408"/>
      <c r="X404" s="1408"/>
      <c r="Y404" s="1408"/>
      <c r="Z404" s="1408"/>
      <c r="AA404" s="1408"/>
      <c r="AB404" s="1408"/>
      <c r="AC404" s="1408"/>
      <c r="AD404" s="1408"/>
      <c r="AE404" s="1408"/>
      <c r="AF404" s="1408"/>
      <c r="AG404" s="737"/>
      <c r="AH404" s="737"/>
      <c r="AI404" s="737"/>
      <c r="AJ404" s="737"/>
      <c r="AK404" s="737"/>
      <c r="AL404" s="779"/>
      <c r="AN404" s="279"/>
    </row>
    <row r="405" spans="1:86" s="4" customFormat="1" ht="12.75" customHeight="1">
      <c r="A405" s="5"/>
      <c r="B405" s="21"/>
      <c r="C405" s="698"/>
      <c r="D405" s="21"/>
      <c r="E405" s="192"/>
      <c r="F405" s="1376"/>
      <c r="G405" s="1376"/>
      <c r="H405" s="1376"/>
      <c r="I405" s="1376"/>
      <c r="J405" s="1376"/>
      <c r="K405" s="1376"/>
      <c r="L405" s="1376"/>
      <c r="M405" s="1376"/>
      <c r="N405" s="1376"/>
      <c r="O405" s="1376"/>
      <c r="P405" s="1376"/>
      <c r="Q405" s="1376"/>
      <c r="R405" s="1376"/>
      <c r="S405" s="1376"/>
      <c r="T405" s="1376"/>
      <c r="U405" s="1376"/>
      <c r="V405" s="1376"/>
      <c r="W405" s="1376"/>
      <c r="X405" s="1376"/>
      <c r="Y405" s="1376"/>
      <c r="Z405" s="1376"/>
      <c r="AA405" s="1376"/>
      <c r="AB405" s="1376"/>
      <c r="AC405" s="1376"/>
      <c r="AD405" s="1376"/>
      <c r="AE405" s="1376"/>
      <c r="AF405" s="1376"/>
      <c r="AG405" s="3"/>
      <c r="AH405" s="3"/>
      <c r="AI405" s="3"/>
      <c r="AJ405" s="3"/>
      <c r="AK405" s="3"/>
      <c r="AL405" s="775"/>
      <c r="AN405" s="279"/>
    </row>
    <row r="406" spans="1:86" s="4" customFormat="1" ht="12.75" customHeight="1">
      <c r="A406" s="5"/>
      <c r="B406" s="21"/>
      <c r="C406" s="698"/>
      <c r="D406" s="21"/>
      <c r="E406" s="192"/>
      <c r="F406" s="1376"/>
      <c r="G406" s="1376"/>
      <c r="H406" s="1376"/>
      <c r="I406" s="1376"/>
      <c r="J406" s="1376"/>
      <c r="K406" s="1376"/>
      <c r="L406" s="1376"/>
      <c r="M406" s="1376"/>
      <c r="N406" s="1376"/>
      <c r="O406" s="1376"/>
      <c r="P406" s="1376"/>
      <c r="Q406" s="1376"/>
      <c r="R406" s="1376"/>
      <c r="S406" s="1376"/>
      <c r="T406" s="1376"/>
      <c r="U406" s="1376"/>
      <c r="V406" s="1376"/>
      <c r="W406" s="1376"/>
      <c r="X406" s="1376"/>
      <c r="Y406" s="1376"/>
      <c r="Z406" s="1376"/>
      <c r="AA406" s="1376"/>
      <c r="AB406" s="1376"/>
      <c r="AC406" s="1376"/>
      <c r="AD406" s="1376"/>
      <c r="AE406" s="1376"/>
      <c r="AF406" s="1376"/>
      <c r="AG406" s="3"/>
      <c r="AH406" s="3"/>
      <c r="AI406" s="3"/>
      <c r="AJ406" s="3"/>
      <c r="AK406" s="3"/>
      <c r="AL406" s="775"/>
      <c r="AN406" s="279"/>
    </row>
    <row r="407" spans="1:86" s="4" customFormat="1" ht="12.75" customHeight="1">
      <c r="A407" s="5"/>
      <c r="B407" s="21"/>
      <c r="C407" s="698"/>
      <c r="D407" s="21"/>
      <c r="E407" s="192"/>
      <c r="F407" s="1376"/>
      <c r="G407" s="1376"/>
      <c r="H407" s="1376"/>
      <c r="I407" s="1376"/>
      <c r="J407" s="1376"/>
      <c r="K407" s="1376"/>
      <c r="L407" s="1376"/>
      <c r="M407" s="1376"/>
      <c r="N407" s="1376"/>
      <c r="O407" s="1376"/>
      <c r="P407" s="1376"/>
      <c r="Q407" s="1376"/>
      <c r="R407" s="1376"/>
      <c r="S407" s="1376"/>
      <c r="T407" s="1376"/>
      <c r="U407" s="1376"/>
      <c r="V407" s="1376"/>
      <c r="W407" s="1376"/>
      <c r="X407" s="1376"/>
      <c r="Y407" s="1376"/>
      <c r="Z407" s="1376"/>
      <c r="AA407" s="1376"/>
      <c r="AB407" s="1376"/>
      <c r="AC407" s="1376"/>
      <c r="AD407" s="1376"/>
      <c r="AE407" s="1376"/>
      <c r="AF407" s="1376"/>
      <c r="AG407" s="3"/>
      <c r="AH407" s="3"/>
      <c r="AI407" s="3"/>
      <c r="AJ407" s="3"/>
      <c r="AK407" s="3"/>
      <c r="AL407" s="775"/>
      <c r="AN407" s="279"/>
    </row>
    <row r="408" spans="1:86" s="4" customFormat="1" ht="12.75" customHeight="1">
      <c r="A408" s="5"/>
      <c r="B408" s="21"/>
      <c r="C408" s="698"/>
      <c r="D408" s="21"/>
      <c r="E408" s="192"/>
      <c r="F408" s="1376"/>
      <c r="G408" s="1376"/>
      <c r="H408" s="1376"/>
      <c r="I408" s="1376"/>
      <c r="J408" s="1376"/>
      <c r="K408" s="1376"/>
      <c r="L408" s="1376"/>
      <c r="M408" s="1376"/>
      <c r="N408" s="1376"/>
      <c r="O408" s="1376"/>
      <c r="P408" s="1376"/>
      <c r="Q408" s="1376"/>
      <c r="R408" s="1376"/>
      <c r="S408" s="1376"/>
      <c r="T408" s="1376"/>
      <c r="U408" s="1376"/>
      <c r="V408" s="1376"/>
      <c r="W408" s="1376"/>
      <c r="X408" s="1376"/>
      <c r="Y408" s="1376"/>
      <c r="Z408" s="1376"/>
      <c r="AA408" s="1376"/>
      <c r="AB408" s="1376"/>
      <c r="AC408" s="1376"/>
      <c r="AD408" s="1376"/>
      <c r="AE408" s="1376"/>
      <c r="AF408" s="1376"/>
      <c r="AG408" s="3"/>
      <c r="AH408" s="3"/>
      <c r="AI408" s="3"/>
      <c r="AJ408" s="3"/>
      <c r="AK408" s="3"/>
      <c r="AL408" s="775"/>
      <c r="AN408" s="279"/>
    </row>
    <row r="409" spans="1:86" s="4" customFormat="1" ht="12.75" customHeight="1">
      <c r="A409" s="5"/>
      <c r="B409" s="21"/>
      <c r="C409" s="1377" t="s">
        <v>71</v>
      </c>
      <c r="D409" s="1060"/>
      <c r="E409" s="192"/>
      <c r="F409" s="344" t="s">
        <v>1959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47" t="s">
        <v>1960</v>
      </c>
      <c r="AG409" s="1376"/>
      <c r="AH409" s="1376"/>
      <c r="AI409" s="1376"/>
      <c r="AJ409" s="1376"/>
      <c r="AK409" s="1376"/>
      <c r="AL409" s="1417"/>
      <c r="AM409" s="823"/>
    </row>
    <row r="410" spans="1:86" s="4" customFormat="1" ht="12.75" customHeight="1">
      <c r="A410" s="5"/>
      <c r="B410" s="21"/>
      <c r="C410" s="698"/>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699"/>
      <c r="AN410" s="279"/>
    </row>
    <row r="411" spans="1:86" s="4" customFormat="1" ht="12.75" customHeight="1">
      <c r="A411" s="5"/>
      <c r="B411" s="21"/>
      <c r="C411" s="1377" t="s">
        <v>155</v>
      </c>
      <c r="D411" s="1060"/>
      <c r="E411" s="192"/>
      <c r="F411" s="345" t="s">
        <v>1961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47" t="s">
        <v>1953</v>
      </c>
      <c r="AG411" s="1376"/>
      <c r="AH411" s="1376"/>
      <c r="AI411" s="1376"/>
      <c r="AJ411" s="1376"/>
      <c r="AK411" s="1376"/>
      <c r="AL411" s="1417"/>
      <c r="AN411" s="279"/>
    </row>
    <row r="412" spans="1:86" s="4" customFormat="1" ht="12.75" customHeight="1">
      <c r="A412" s="5"/>
      <c r="B412" s="21"/>
      <c r="C412" s="698"/>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699"/>
      <c r="AN412" s="279"/>
    </row>
    <row r="413" spans="1:86" s="4" customFormat="1" ht="12.75" customHeight="1">
      <c r="A413" s="5"/>
      <c r="B413" s="21"/>
      <c r="C413" s="702"/>
      <c r="D413" s="703"/>
      <c r="E413" s="704"/>
      <c r="F413" s="705" t="s">
        <v>1962</v>
      </c>
      <c r="G413" s="700"/>
      <c r="H413" s="700"/>
      <c r="I413" s="700"/>
      <c r="J413" s="700"/>
      <c r="K413" s="700"/>
      <c r="L413" s="700"/>
      <c r="M413" s="700"/>
      <c r="N413" s="700"/>
      <c r="O413" s="700"/>
      <c r="P413" s="700"/>
      <c r="Q413" s="700"/>
      <c r="R413" s="700"/>
      <c r="S413" s="700"/>
      <c r="T413" s="700"/>
      <c r="U413" s="700"/>
      <c r="V413" s="700"/>
      <c r="W413" s="700"/>
      <c r="X413" s="700"/>
      <c r="Y413" s="700"/>
      <c r="Z413" s="700"/>
      <c r="AA413" s="700"/>
      <c r="AB413" s="700"/>
      <c r="AC413" s="700"/>
      <c r="AD413" s="700"/>
      <c r="AE413" s="706"/>
      <c r="AF413" s="707"/>
      <c r="AG413" s="706"/>
      <c r="AH413" s="708"/>
      <c r="AI413" s="708"/>
      <c r="AJ413" s="708"/>
      <c r="AK413" s="708"/>
      <c r="AL413" s="709"/>
      <c r="AN413" s="279"/>
    </row>
    <row r="414" spans="1:86"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N414" s="279"/>
    </row>
    <row r="415" spans="1:86" s="4" customFormat="1" ht="12.75" customHeight="1">
      <c r="A415" s="5"/>
      <c r="B415" s="21"/>
      <c r="C415" s="690"/>
      <c r="D415" s="691"/>
      <c r="E415" s="692" t="s">
        <v>1963</v>
      </c>
      <c r="F415" s="1407" t="s">
        <v>1964</v>
      </c>
      <c r="G415" s="1408"/>
      <c r="H415" s="1408"/>
      <c r="I415" s="1408"/>
      <c r="J415" s="1408"/>
      <c r="K415" s="1408"/>
      <c r="L415" s="1408"/>
      <c r="M415" s="1408"/>
      <c r="N415" s="1408"/>
      <c r="O415" s="1408"/>
      <c r="P415" s="1408"/>
      <c r="Q415" s="1408"/>
      <c r="R415" s="1408"/>
      <c r="S415" s="1408"/>
      <c r="T415" s="1408"/>
      <c r="U415" s="1408"/>
      <c r="V415" s="1408"/>
      <c r="W415" s="1408"/>
      <c r="X415" s="1408"/>
      <c r="Y415" s="1408"/>
      <c r="Z415" s="1408"/>
      <c r="AA415" s="1408"/>
      <c r="AB415" s="1408"/>
      <c r="AC415" s="1408"/>
      <c r="AD415" s="1408"/>
      <c r="AE415" s="1408"/>
      <c r="AF415" s="1408"/>
      <c r="AG415" s="737"/>
      <c r="AH415" s="737"/>
      <c r="AI415" s="737"/>
      <c r="AJ415" s="737"/>
      <c r="AK415" s="737"/>
      <c r="AL415" s="779"/>
      <c r="AN415" s="279"/>
    </row>
    <row r="416" spans="1:86" s="4" customFormat="1" ht="12.75" customHeight="1">
      <c r="A416" s="5"/>
      <c r="B416" s="21"/>
      <c r="C416" s="698"/>
      <c r="D416" s="21"/>
      <c r="E416" s="192"/>
      <c r="F416" s="1376"/>
      <c r="G416" s="1376"/>
      <c r="H416" s="1376"/>
      <c r="I416" s="1376"/>
      <c r="J416" s="1376"/>
      <c r="K416" s="1376"/>
      <c r="L416" s="1376"/>
      <c r="M416" s="1376"/>
      <c r="N416" s="1376"/>
      <c r="O416" s="1376"/>
      <c r="P416" s="1376"/>
      <c r="Q416" s="1376"/>
      <c r="R416" s="1376"/>
      <c r="S416" s="1376"/>
      <c r="T416" s="1376"/>
      <c r="U416" s="1376"/>
      <c r="V416" s="1376"/>
      <c r="W416" s="1376"/>
      <c r="X416" s="1376"/>
      <c r="Y416" s="1376"/>
      <c r="Z416" s="1376"/>
      <c r="AA416" s="1376"/>
      <c r="AB416" s="1376"/>
      <c r="AC416" s="1376"/>
      <c r="AD416" s="1376"/>
      <c r="AE416" s="1376"/>
      <c r="AF416" s="1376"/>
      <c r="AG416" s="3"/>
      <c r="AH416" s="3"/>
      <c r="AI416" s="3"/>
      <c r="AJ416" s="3"/>
      <c r="AK416" s="3"/>
      <c r="AL416" s="775"/>
      <c r="AN416" s="279"/>
    </row>
    <row r="417" spans="1:40">
      <c r="A417" s="5"/>
      <c r="C417" s="698"/>
      <c r="E417" s="192"/>
      <c r="F417" s="1184"/>
      <c r="G417" s="1184"/>
      <c r="H417" s="1184"/>
      <c r="I417" s="1184"/>
      <c r="J417" s="1184"/>
      <c r="K417" s="1184"/>
      <c r="L417" s="1184"/>
      <c r="M417" s="1184"/>
      <c r="N417" s="1184"/>
      <c r="O417" s="1184"/>
      <c r="P417" s="1184"/>
      <c r="Q417" s="1184"/>
      <c r="R417" s="1184"/>
      <c r="S417" s="1184"/>
      <c r="T417" s="1184"/>
      <c r="U417" s="1184"/>
      <c r="V417" s="1184"/>
      <c r="W417" s="1184"/>
      <c r="X417" s="1184"/>
      <c r="Y417" s="1184"/>
      <c r="Z417" s="1184"/>
      <c r="AA417" s="1184"/>
      <c r="AB417" s="1184"/>
      <c r="AC417" s="1184"/>
      <c r="AD417" s="1184"/>
      <c r="AE417" s="1184"/>
      <c r="AF417" s="1184"/>
      <c r="AG417" s="3"/>
      <c r="AH417" s="3"/>
      <c r="AI417" s="3"/>
      <c r="AJ417" s="3"/>
      <c r="AK417" s="3"/>
      <c r="AL417" s="775"/>
    </row>
    <row r="418" spans="1:40" s="4" customFormat="1" ht="12.75" customHeight="1">
      <c r="A418" s="5"/>
      <c r="B418" s="21"/>
      <c r="C418" s="698"/>
      <c r="D418" s="21"/>
      <c r="E418" s="192"/>
      <c r="F418" s="1376"/>
      <c r="G418" s="1376"/>
      <c r="H418" s="1376"/>
      <c r="I418" s="1376"/>
      <c r="J418" s="1376"/>
      <c r="K418" s="1376"/>
      <c r="L418" s="1376"/>
      <c r="M418" s="1376"/>
      <c r="N418" s="1376"/>
      <c r="O418" s="1376"/>
      <c r="P418" s="1376"/>
      <c r="Q418" s="1376"/>
      <c r="R418" s="1376"/>
      <c r="S418" s="1376"/>
      <c r="T418" s="1376"/>
      <c r="U418" s="1376"/>
      <c r="V418" s="1376"/>
      <c r="W418" s="1376"/>
      <c r="X418" s="1376"/>
      <c r="Y418" s="1376"/>
      <c r="Z418" s="1376"/>
      <c r="AA418" s="1376"/>
      <c r="AB418" s="1376"/>
      <c r="AC418" s="1376"/>
      <c r="AD418" s="1376"/>
      <c r="AE418" s="1376"/>
      <c r="AF418" s="1376"/>
      <c r="AG418" s="3"/>
      <c r="AH418" s="3"/>
      <c r="AI418" s="3"/>
      <c r="AJ418" s="3"/>
      <c r="AK418" s="3"/>
      <c r="AL418" s="775"/>
      <c r="AN418" s="279"/>
    </row>
    <row r="419" spans="1:40" s="4" customFormat="1" ht="12.75" customHeight="1">
      <c r="A419" s="5"/>
      <c r="B419" s="21"/>
      <c r="C419" s="1377" t="s">
        <v>155</v>
      </c>
      <c r="D419" s="1060"/>
      <c r="E419" s="192"/>
      <c r="F419" s="344" t="s">
        <v>1965</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47" t="s">
        <v>1953</v>
      </c>
      <c r="AG419" s="1376"/>
      <c r="AH419" s="1376"/>
      <c r="AI419" s="1376"/>
      <c r="AJ419" s="1376"/>
      <c r="AK419" s="1376"/>
      <c r="AL419" s="1417"/>
      <c r="AN419" s="279"/>
    </row>
    <row r="420" spans="1:40" s="4" customFormat="1" ht="12.75" customHeight="1">
      <c r="A420" s="5"/>
      <c r="B420" s="21"/>
      <c r="C420" s="698"/>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699"/>
      <c r="AN420" s="279"/>
    </row>
    <row r="421" spans="1:40" s="4" customFormat="1" ht="12.75" customHeight="1">
      <c r="A421" s="5"/>
      <c r="B421" s="21"/>
      <c r="C421" s="1377" t="s">
        <v>71</v>
      </c>
      <c r="D421" s="1060"/>
      <c r="E421" s="223"/>
      <c r="F421" s="344" t="s">
        <v>1966</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47" t="s">
        <v>1967</v>
      </c>
      <c r="AG421" s="1376"/>
      <c r="AH421" s="1376"/>
      <c r="AI421" s="1376"/>
      <c r="AJ421" s="1376"/>
      <c r="AK421" s="1376"/>
      <c r="AL421" s="1417"/>
      <c r="AN421" s="279"/>
    </row>
    <row r="422" spans="1:40" s="4" customFormat="1" ht="12.75" customHeight="1">
      <c r="A422" s="5"/>
      <c r="B422" s="21"/>
      <c r="C422" s="710"/>
      <c r="D422" s="708"/>
      <c r="E422" s="696"/>
      <c r="F422" s="708"/>
      <c r="G422" s="697"/>
      <c r="H422" s="697"/>
      <c r="I422" s="697"/>
      <c r="J422" s="697"/>
      <c r="K422" s="697"/>
      <c r="L422" s="697"/>
      <c r="M422" s="697"/>
      <c r="N422" s="697"/>
      <c r="O422" s="697"/>
      <c r="P422" s="697"/>
      <c r="Q422" s="697"/>
      <c r="R422" s="697"/>
      <c r="S422" s="697"/>
      <c r="T422" s="697"/>
      <c r="U422" s="697"/>
      <c r="V422" s="697"/>
      <c r="W422" s="697"/>
      <c r="X422" s="697"/>
      <c r="Y422" s="697"/>
      <c r="Z422" s="697"/>
      <c r="AA422" s="697"/>
      <c r="AB422" s="697"/>
      <c r="AC422" s="697"/>
      <c r="AD422" s="697"/>
      <c r="AE422" s="708"/>
      <c r="AF422" s="708"/>
      <c r="AG422" s="708"/>
      <c r="AH422" s="708"/>
      <c r="AI422" s="708"/>
      <c r="AJ422" s="708"/>
      <c r="AK422" s="708"/>
      <c r="AL422" s="709"/>
      <c r="AN422" s="279"/>
    </row>
    <row r="423" spans="1:40"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N423" s="279"/>
    </row>
    <row r="424" spans="1:40" s="4" customFormat="1" ht="12.75" customHeight="1">
      <c r="A424" s="5"/>
      <c r="B424" s="21"/>
      <c r="C424" s="1377" t="s">
        <v>155</v>
      </c>
      <c r="D424" s="1060"/>
      <c r="E424" s="692" t="s">
        <v>1968</v>
      </c>
      <c r="F424" s="1466" t="s">
        <v>1969</v>
      </c>
      <c r="G424" s="1408"/>
      <c r="H424" s="1408"/>
      <c r="I424" s="1408"/>
      <c r="J424" s="1408"/>
      <c r="K424" s="1408"/>
      <c r="L424" s="1408"/>
      <c r="M424" s="1408"/>
      <c r="N424" s="1408"/>
      <c r="O424" s="1408"/>
      <c r="P424" s="1408"/>
      <c r="Q424" s="1408"/>
      <c r="R424" s="1408"/>
      <c r="S424" s="1408"/>
      <c r="T424" s="1408"/>
      <c r="U424" s="1408"/>
      <c r="V424" s="1408"/>
      <c r="W424" s="1408"/>
      <c r="X424" s="1408"/>
      <c r="Y424" s="1408"/>
      <c r="Z424" s="1408"/>
      <c r="AA424" s="1408"/>
      <c r="AB424" s="1408"/>
      <c r="AC424" s="1408"/>
      <c r="AD424" s="1408"/>
      <c r="AE424" s="1408"/>
      <c r="AF424" s="737"/>
      <c r="AG424" s="781"/>
      <c r="AH424" s="691"/>
      <c r="AI424" s="691"/>
      <c r="AJ424" s="691"/>
      <c r="AK424" s="691"/>
      <c r="AL424" s="715"/>
      <c r="AN424" s="279"/>
    </row>
    <row r="425" spans="1:40" s="4" customFormat="1" ht="12.75" customHeight="1">
      <c r="A425" s="5"/>
      <c r="B425" s="21"/>
      <c r="C425" s="701"/>
      <c r="F425" s="1376"/>
      <c r="G425" s="1376"/>
      <c r="H425" s="1376"/>
      <c r="I425" s="1376"/>
      <c r="J425" s="1376"/>
      <c r="K425" s="1376"/>
      <c r="L425" s="1376"/>
      <c r="M425" s="1376"/>
      <c r="N425" s="1376"/>
      <c r="O425" s="1376"/>
      <c r="P425" s="1376"/>
      <c r="Q425" s="1376"/>
      <c r="R425" s="1376"/>
      <c r="S425" s="1376"/>
      <c r="T425" s="1376"/>
      <c r="U425" s="1376"/>
      <c r="V425" s="1376"/>
      <c r="W425" s="1376"/>
      <c r="X425" s="1376"/>
      <c r="Y425" s="1376"/>
      <c r="Z425" s="1376"/>
      <c r="AA425" s="1376"/>
      <c r="AB425" s="1376"/>
      <c r="AC425" s="1376"/>
      <c r="AD425" s="1376"/>
      <c r="AE425" s="1376"/>
      <c r="AF425" s="1416" t="s">
        <v>1953</v>
      </c>
      <c r="AG425" s="1376"/>
      <c r="AH425" s="1376"/>
      <c r="AI425" s="1376"/>
      <c r="AJ425" s="1376"/>
      <c r="AK425" s="1376"/>
      <c r="AL425" s="1417"/>
      <c r="AN425" s="279"/>
    </row>
    <row r="426" spans="1:40" s="4" customFormat="1" ht="12.75" customHeight="1">
      <c r="A426" s="5"/>
      <c r="B426" s="21"/>
      <c r="C426" s="698"/>
      <c r="D426" s="21"/>
      <c r="E426" s="192"/>
      <c r="F426" s="1376"/>
      <c r="G426" s="1376"/>
      <c r="H426" s="1376"/>
      <c r="I426" s="1376"/>
      <c r="J426" s="1376"/>
      <c r="K426" s="1376"/>
      <c r="L426" s="1376"/>
      <c r="M426" s="1376"/>
      <c r="N426" s="1376"/>
      <c r="O426" s="1376"/>
      <c r="P426" s="1376"/>
      <c r="Q426" s="1376"/>
      <c r="R426" s="1376"/>
      <c r="S426" s="1376"/>
      <c r="T426" s="1376"/>
      <c r="U426" s="1376"/>
      <c r="V426" s="1376"/>
      <c r="W426" s="1376"/>
      <c r="X426" s="1376"/>
      <c r="Y426" s="1376"/>
      <c r="Z426" s="1376"/>
      <c r="AA426" s="1376"/>
      <c r="AB426" s="1376"/>
      <c r="AC426" s="1376"/>
      <c r="AD426" s="1376"/>
      <c r="AE426" s="1376"/>
      <c r="AL426" s="699"/>
      <c r="AN426" s="279"/>
    </row>
    <row r="427" spans="1:40" s="4" customFormat="1" ht="12.75" customHeight="1">
      <c r="A427" s="5"/>
      <c r="B427" s="21"/>
      <c r="C427" s="702"/>
      <c r="D427" s="703"/>
      <c r="E427" s="704"/>
      <c r="F427" s="1454"/>
      <c r="G427" s="1454"/>
      <c r="H427" s="1454"/>
      <c r="I427" s="1454"/>
      <c r="J427" s="1454"/>
      <c r="K427" s="1454"/>
      <c r="L427" s="1454"/>
      <c r="M427" s="1454"/>
      <c r="N427" s="1454"/>
      <c r="O427" s="1454"/>
      <c r="P427" s="1454"/>
      <c r="Q427" s="1454"/>
      <c r="R427" s="1454"/>
      <c r="S427" s="1454"/>
      <c r="T427" s="1454"/>
      <c r="U427" s="1454"/>
      <c r="V427" s="1454"/>
      <c r="W427" s="1454"/>
      <c r="X427" s="1454"/>
      <c r="Y427" s="1454"/>
      <c r="Z427" s="1454"/>
      <c r="AA427" s="1454"/>
      <c r="AB427" s="1454"/>
      <c r="AC427" s="1454"/>
      <c r="AD427" s="1454"/>
      <c r="AE427" s="1454"/>
      <c r="AF427" s="707"/>
      <c r="AG427" s="706"/>
      <c r="AH427" s="708"/>
      <c r="AI427" s="708"/>
      <c r="AJ427" s="708"/>
      <c r="AK427" s="708"/>
      <c r="AL427" s="709"/>
      <c r="AN427" s="279"/>
    </row>
    <row r="428" spans="1:40">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row>
    <row r="429" spans="1:40" ht="12.75" customHeight="1">
      <c r="A429" s="5"/>
      <c r="C429" s="711"/>
      <c r="D429" s="712"/>
      <c r="E429" s="692" t="s">
        <v>1970</v>
      </c>
      <c r="F429" s="1407" t="s">
        <v>1971</v>
      </c>
      <c r="G429" s="1408"/>
      <c r="H429" s="1408"/>
      <c r="I429" s="1408"/>
      <c r="J429" s="1408"/>
      <c r="K429" s="1408"/>
      <c r="L429" s="1408"/>
      <c r="M429" s="1408"/>
      <c r="N429" s="1408"/>
      <c r="O429" s="1408"/>
      <c r="P429" s="1408"/>
      <c r="Q429" s="1408"/>
      <c r="R429" s="1408"/>
      <c r="S429" s="1408"/>
      <c r="T429" s="1408"/>
      <c r="U429" s="1408"/>
      <c r="V429" s="1408"/>
      <c r="W429" s="1408"/>
      <c r="X429" s="1408"/>
      <c r="Y429" s="1408"/>
      <c r="Z429" s="1408"/>
      <c r="AA429" s="1408"/>
      <c r="AB429" s="1408"/>
      <c r="AC429" s="1408"/>
      <c r="AD429" s="1408"/>
      <c r="AE429" s="1408"/>
      <c r="AF429" s="712"/>
      <c r="AG429" s="712"/>
      <c r="AH429" s="712"/>
      <c r="AI429" s="712"/>
      <c r="AJ429" s="712"/>
      <c r="AK429" s="712"/>
      <c r="AL429" s="713"/>
    </row>
    <row r="430" spans="1:40">
      <c r="A430" s="5"/>
      <c r="C430" s="698"/>
      <c r="E430" s="192"/>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3"/>
      <c r="AG430" s="5"/>
      <c r="AH430" s="4"/>
      <c r="AI430" s="4"/>
      <c r="AJ430" s="4"/>
      <c r="AK430" s="4"/>
      <c r="AL430" s="699"/>
    </row>
    <row r="431" spans="1:40" s="4" customFormat="1" ht="12.75" customHeight="1">
      <c r="A431" s="5"/>
      <c r="B431" s="21"/>
      <c r="C431" s="698"/>
      <c r="D431" s="21"/>
      <c r="E431" s="192"/>
      <c r="F431" s="1376"/>
      <c r="G431" s="1376"/>
      <c r="H431" s="1376"/>
      <c r="I431" s="1376"/>
      <c r="J431" s="1376"/>
      <c r="K431" s="1376"/>
      <c r="L431" s="1376"/>
      <c r="M431" s="1376"/>
      <c r="N431" s="1376"/>
      <c r="O431" s="1376"/>
      <c r="P431" s="1376"/>
      <c r="Q431" s="1376"/>
      <c r="R431" s="1376"/>
      <c r="S431" s="1376"/>
      <c r="T431" s="1376"/>
      <c r="U431" s="1376"/>
      <c r="V431" s="1376"/>
      <c r="W431" s="1376"/>
      <c r="X431" s="1376"/>
      <c r="Y431" s="1376"/>
      <c r="Z431" s="1376"/>
      <c r="AA431" s="1376"/>
      <c r="AB431" s="1376"/>
      <c r="AC431" s="1376"/>
      <c r="AD431" s="1376"/>
      <c r="AE431" s="1376"/>
      <c r="AL431" s="699"/>
      <c r="AN431" s="279"/>
    </row>
    <row r="432" spans="1:40" s="4" customFormat="1" ht="12.75" customHeight="1">
      <c r="A432" s="5"/>
      <c r="B432" s="21"/>
      <c r="C432" s="701"/>
      <c r="F432" s="1376"/>
      <c r="G432" s="1376"/>
      <c r="H432" s="1376"/>
      <c r="I432" s="1376"/>
      <c r="J432" s="1376"/>
      <c r="K432" s="1376"/>
      <c r="L432" s="1376"/>
      <c r="M432" s="1376"/>
      <c r="N432" s="1376"/>
      <c r="O432" s="1376"/>
      <c r="P432" s="1376"/>
      <c r="Q432" s="1376"/>
      <c r="R432" s="1376"/>
      <c r="S432" s="1376"/>
      <c r="T432" s="1376"/>
      <c r="U432" s="1376"/>
      <c r="V432" s="1376"/>
      <c r="W432" s="1376"/>
      <c r="X432" s="1376"/>
      <c r="Y432" s="1376"/>
      <c r="Z432" s="1376"/>
      <c r="AA432" s="1376"/>
      <c r="AB432" s="1376"/>
      <c r="AC432" s="1376"/>
      <c r="AD432" s="1376"/>
      <c r="AE432" s="1376"/>
      <c r="AL432" s="699"/>
      <c r="AN432" s="279"/>
    </row>
    <row r="433" spans="1:60" s="4" customFormat="1" ht="12.75" customHeight="1">
      <c r="A433" s="5"/>
      <c r="B433" s="21"/>
      <c r="C433" s="1377" t="s">
        <v>155</v>
      </c>
      <c r="D433" s="1060"/>
      <c r="E433" s="192"/>
      <c r="F433" s="344" t="s">
        <v>1972</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416" t="s">
        <v>1953</v>
      </c>
      <c r="AG433" s="1376"/>
      <c r="AH433" s="1376"/>
      <c r="AI433" s="1376"/>
      <c r="AJ433" s="1376"/>
      <c r="AK433" s="1376"/>
      <c r="AL433" s="1417"/>
      <c r="AN433" s="279"/>
    </row>
    <row r="434" spans="1:60" s="4" customFormat="1" ht="12.75" customHeight="1">
      <c r="A434" s="5"/>
      <c r="B434" s="21"/>
      <c r="C434" s="701"/>
      <c r="AL434" s="699"/>
      <c r="AN434" s="279"/>
    </row>
    <row r="435" spans="1:60" s="4" customFormat="1" ht="12.75" customHeight="1">
      <c r="A435" s="5"/>
      <c r="B435" s="21"/>
      <c r="C435" s="1377" t="s">
        <v>155</v>
      </c>
      <c r="D435" s="1060"/>
      <c r="E435" s="223"/>
      <c r="F435" s="344" t="s">
        <v>1973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416" t="s">
        <v>1967</v>
      </c>
      <c r="AG435" s="1376"/>
      <c r="AH435" s="1376"/>
      <c r="AI435" s="1376"/>
      <c r="AJ435" s="1376"/>
      <c r="AK435" s="1376"/>
      <c r="AL435" s="1417"/>
      <c r="AN435" s="279"/>
      <c r="AO435" s="20"/>
      <c r="AP435" s="20"/>
      <c r="BC435" s="21"/>
    </row>
    <row r="436" spans="1:60" s="4" customFormat="1" ht="12.75" customHeight="1">
      <c r="A436" s="5"/>
      <c r="B436" s="21"/>
      <c r="C436" s="702"/>
      <c r="D436" s="703"/>
      <c r="E436" s="704"/>
      <c r="F436" s="714"/>
      <c r="G436" s="697"/>
      <c r="H436" s="697"/>
      <c r="I436" s="697"/>
      <c r="J436" s="697"/>
      <c r="K436" s="697"/>
      <c r="L436" s="697"/>
      <c r="M436" s="697"/>
      <c r="N436" s="697"/>
      <c r="O436" s="697"/>
      <c r="P436" s="697"/>
      <c r="Q436" s="697"/>
      <c r="R436" s="697"/>
      <c r="S436" s="697"/>
      <c r="T436" s="697"/>
      <c r="U436" s="697"/>
      <c r="V436" s="697"/>
      <c r="W436" s="697"/>
      <c r="X436" s="697"/>
      <c r="Y436" s="697"/>
      <c r="Z436" s="697"/>
      <c r="AA436" s="697"/>
      <c r="AB436" s="697"/>
      <c r="AC436" s="697"/>
      <c r="AD436" s="697"/>
      <c r="AE436" s="706"/>
      <c r="AF436" s="707"/>
      <c r="AG436" s="706"/>
      <c r="AH436" s="708"/>
      <c r="AI436" s="708"/>
      <c r="AJ436" s="708"/>
      <c r="AK436" s="708"/>
      <c r="AL436" s="709"/>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N437" s="279"/>
    </row>
    <row r="438" spans="1:60" s="4" customFormat="1" ht="12.75" customHeight="1">
      <c r="A438" s="5"/>
      <c r="B438" s="21"/>
      <c r="C438" s="180" t="s">
        <v>1974</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N438" s="279"/>
    </row>
    <row r="439" spans="1:60" s="4" customFormat="1" ht="12.75" customHeight="1">
      <c r="A439" s="5"/>
      <c r="B439" s="73"/>
      <c r="C439" s="690"/>
      <c r="D439" s="691"/>
      <c r="E439" s="692" t="s">
        <v>1975</v>
      </c>
      <c r="F439" s="1407" t="s">
        <v>1976</v>
      </c>
      <c r="G439" s="1408"/>
      <c r="H439" s="1408"/>
      <c r="I439" s="1408"/>
      <c r="J439" s="1408"/>
      <c r="K439" s="1408"/>
      <c r="L439" s="1408"/>
      <c r="M439" s="1408"/>
      <c r="N439" s="1408"/>
      <c r="O439" s="1408"/>
      <c r="P439" s="1408"/>
      <c r="Q439" s="1408"/>
      <c r="R439" s="1408"/>
      <c r="S439" s="1408"/>
      <c r="T439" s="1408"/>
      <c r="U439" s="1408"/>
      <c r="V439" s="1408"/>
      <c r="W439" s="1408"/>
      <c r="X439" s="1408"/>
      <c r="Y439" s="1408"/>
      <c r="Z439" s="1408"/>
      <c r="AA439" s="1408"/>
      <c r="AB439" s="1408"/>
      <c r="AC439" s="1408"/>
      <c r="AD439" s="1408"/>
      <c r="AE439" s="1408"/>
      <c r="AF439" s="691"/>
      <c r="AG439" s="691"/>
      <c r="AH439" s="691"/>
      <c r="AI439" s="691"/>
      <c r="AJ439" s="691"/>
      <c r="AK439" s="691"/>
      <c r="AL439" s="715"/>
      <c r="AN439" s="279"/>
    </row>
    <row r="440" spans="1:60" s="4" customFormat="1" ht="12.75" customHeight="1">
      <c r="A440" s="5"/>
      <c r="B440" s="73"/>
      <c r="C440" s="716"/>
      <c r="D440" s="73"/>
      <c r="E440" s="192"/>
      <c r="F440" s="1376"/>
      <c r="G440" s="1376"/>
      <c r="H440" s="1376"/>
      <c r="I440" s="1376"/>
      <c r="J440" s="1376"/>
      <c r="K440" s="1376"/>
      <c r="L440" s="1376"/>
      <c r="M440" s="1376"/>
      <c r="N440" s="1376"/>
      <c r="O440" s="1376"/>
      <c r="P440" s="1376"/>
      <c r="Q440" s="1376"/>
      <c r="R440" s="1376"/>
      <c r="S440" s="1376"/>
      <c r="T440" s="1376"/>
      <c r="U440" s="1376"/>
      <c r="V440" s="1376"/>
      <c r="W440" s="1376"/>
      <c r="X440" s="1376"/>
      <c r="Y440" s="1376"/>
      <c r="Z440" s="1376"/>
      <c r="AA440" s="1376"/>
      <c r="AB440" s="1376"/>
      <c r="AC440" s="1376"/>
      <c r="AD440" s="1376"/>
      <c r="AE440" s="1376"/>
      <c r="AF440" s="3"/>
      <c r="AG440" s="5"/>
      <c r="AL440" s="699"/>
      <c r="AN440" s="279"/>
    </row>
    <row r="441" spans="1:60" s="4" customFormat="1" ht="12.4" customHeight="1">
      <c r="A441" s="5"/>
      <c r="B441" s="73"/>
      <c r="C441" s="716"/>
      <c r="D441" s="73"/>
      <c r="E441" s="192"/>
      <c r="F441" s="1376"/>
      <c r="G441" s="1376"/>
      <c r="H441" s="1376"/>
      <c r="I441" s="1376"/>
      <c r="J441" s="1376"/>
      <c r="K441" s="1376"/>
      <c r="L441" s="1376"/>
      <c r="M441" s="1376"/>
      <c r="N441" s="1376"/>
      <c r="O441" s="1376"/>
      <c r="P441" s="1376"/>
      <c r="Q441" s="1376"/>
      <c r="R441" s="1376"/>
      <c r="S441" s="1376"/>
      <c r="T441" s="1376"/>
      <c r="U441" s="1376"/>
      <c r="V441" s="1376"/>
      <c r="W441" s="1376"/>
      <c r="X441" s="1376"/>
      <c r="Y441" s="1376"/>
      <c r="Z441" s="1376"/>
      <c r="AA441" s="1376"/>
      <c r="AB441" s="1376"/>
      <c r="AC441" s="1376"/>
      <c r="AD441" s="1376"/>
      <c r="AE441" s="1376"/>
      <c r="AL441" s="699"/>
      <c r="AN441" s="279"/>
    </row>
    <row r="442" spans="1:60" s="4" customFormat="1" ht="12.75" customHeight="1">
      <c r="A442" s="5"/>
      <c r="B442" s="73"/>
      <c r="C442" s="1377" t="s">
        <v>155</v>
      </c>
      <c r="D442" s="1060"/>
      <c r="E442" s="192"/>
      <c r="F442" s="344" t="s">
        <v>1977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416" t="s">
        <v>1953</v>
      </c>
      <c r="AG442" s="1376"/>
      <c r="AH442" s="1376"/>
      <c r="AI442" s="1376"/>
      <c r="AJ442" s="1376"/>
      <c r="AK442" s="1376"/>
      <c r="AL442" s="1417"/>
      <c r="AN442" s="279"/>
    </row>
    <row r="443" spans="1:60" s="4" customFormat="1" ht="12.75" customHeight="1">
      <c r="A443" s="5"/>
      <c r="B443" s="73"/>
      <c r="C443" s="825"/>
      <c r="D443" s="723"/>
      <c r="E443" s="696"/>
      <c r="F443" s="714"/>
      <c r="G443" s="697"/>
      <c r="H443" s="697"/>
      <c r="I443" s="697"/>
      <c r="J443" s="697"/>
      <c r="K443" s="697"/>
      <c r="L443" s="697"/>
      <c r="M443" s="697"/>
      <c r="N443" s="697"/>
      <c r="O443" s="697"/>
      <c r="P443" s="697"/>
      <c r="Q443" s="697"/>
      <c r="R443" s="697"/>
      <c r="S443" s="697"/>
      <c r="T443" s="697"/>
      <c r="U443" s="697"/>
      <c r="V443" s="697"/>
      <c r="W443" s="697"/>
      <c r="X443" s="697"/>
      <c r="Y443" s="697"/>
      <c r="Z443" s="697"/>
      <c r="AA443" s="697"/>
      <c r="AB443" s="697"/>
      <c r="AC443" s="697"/>
      <c r="AD443" s="697"/>
      <c r="AE443" s="708"/>
      <c r="AF443" s="725"/>
      <c r="AG443" s="725"/>
      <c r="AH443" s="725"/>
      <c r="AI443" s="725"/>
      <c r="AJ443" s="725"/>
      <c r="AK443" s="725"/>
      <c r="AL443" s="824"/>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N444" s="279"/>
    </row>
    <row r="445" spans="1:60" ht="13.15" customHeight="1">
      <c r="A445" s="5"/>
      <c r="B445" s="73"/>
      <c r="C445" s="711"/>
      <c r="D445" s="712"/>
      <c r="E445" s="692" t="s">
        <v>1978</v>
      </c>
      <c r="F445" s="1407" t="s">
        <v>1979</v>
      </c>
      <c r="G445" s="1408"/>
      <c r="H445" s="1408"/>
      <c r="I445" s="1408"/>
      <c r="J445" s="1408"/>
      <c r="K445" s="1408"/>
      <c r="L445" s="1408"/>
      <c r="M445" s="1408"/>
      <c r="N445" s="1408"/>
      <c r="O445" s="1408"/>
      <c r="P445" s="1408"/>
      <c r="Q445" s="1408"/>
      <c r="R445" s="1408"/>
      <c r="S445" s="1408"/>
      <c r="T445" s="1408"/>
      <c r="U445" s="1408"/>
      <c r="V445" s="1408"/>
      <c r="W445" s="1408"/>
      <c r="X445" s="1408"/>
      <c r="Y445" s="1408"/>
      <c r="Z445" s="1408"/>
      <c r="AA445" s="1408"/>
      <c r="AB445" s="1408"/>
      <c r="AC445" s="1408"/>
      <c r="AD445" s="1408"/>
      <c r="AE445" s="1408"/>
      <c r="AF445" s="712"/>
      <c r="AG445" s="712"/>
      <c r="AH445" s="712"/>
      <c r="AI445" s="712"/>
      <c r="AJ445" s="712"/>
      <c r="AK445" s="712"/>
      <c r="AL445" s="713"/>
      <c r="AO445" s="4"/>
      <c r="AP445" s="4"/>
      <c r="BD445" s="21"/>
      <c r="BE445" s="21"/>
      <c r="BF445" s="21"/>
      <c r="BG445" s="21"/>
      <c r="BH445" s="21"/>
    </row>
    <row r="446" spans="1:60">
      <c r="A446" s="5"/>
      <c r="B446" s="73"/>
      <c r="C446" s="716"/>
      <c r="D446" s="73"/>
      <c r="E446" s="192"/>
      <c r="F446" s="1184"/>
      <c r="G446" s="1184"/>
      <c r="H446" s="1184"/>
      <c r="I446" s="1184"/>
      <c r="J446" s="1184"/>
      <c r="K446" s="1184"/>
      <c r="L446" s="1184"/>
      <c r="M446" s="1184"/>
      <c r="N446" s="1184"/>
      <c r="O446" s="1184"/>
      <c r="P446" s="1184"/>
      <c r="Q446" s="1184"/>
      <c r="R446" s="1184"/>
      <c r="S446" s="1184"/>
      <c r="T446" s="1184"/>
      <c r="U446" s="1184"/>
      <c r="V446" s="1184"/>
      <c r="W446" s="1184"/>
      <c r="X446" s="1184"/>
      <c r="Y446" s="1184"/>
      <c r="Z446" s="1184"/>
      <c r="AA446" s="1184"/>
      <c r="AB446" s="1184"/>
      <c r="AC446" s="1184"/>
      <c r="AD446" s="1184"/>
      <c r="AE446" s="1184"/>
      <c r="AF446" s="106"/>
      <c r="AG446" s="106"/>
      <c r="AH446" s="106"/>
      <c r="AI446" s="106"/>
      <c r="AJ446" s="106"/>
      <c r="AK446" s="106"/>
      <c r="AL446" s="778"/>
      <c r="AO446" s="4"/>
      <c r="AP446" s="4"/>
    </row>
    <row r="447" spans="1:60" s="4" customFormat="1" ht="12.75" customHeight="1">
      <c r="A447" s="5"/>
      <c r="B447" s="73"/>
      <c r="C447" s="716"/>
      <c r="D447" s="73"/>
      <c r="E447" s="192"/>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06"/>
      <c r="AG447" s="106"/>
      <c r="AH447" s="106"/>
      <c r="AI447" s="106"/>
      <c r="AJ447" s="106"/>
      <c r="AK447" s="106"/>
      <c r="AL447" s="778"/>
      <c r="AN447" s="279"/>
    </row>
    <row r="448" spans="1:60" s="4" customFormat="1" ht="12.75" customHeight="1">
      <c r="A448" s="5"/>
      <c r="B448" s="73"/>
      <c r="C448" s="717"/>
      <c r="D448" s="1"/>
      <c r="E448" s="223"/>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06"/>
      <c r="AG448" s="106"/>
      <c r="AH448" s="106"/>
      <c r="AI448" s="106"/>
      <c r="AJ448" s="106"/>
      <c r="AK448" s="106"/>
      <c r="AL448" s="778"/>
      <c r="AN448" s="279"/>
      <c r="AO448" s="38"/>
      <c r="AP448" s="21"/>
    </row>
    <row r="449" spans="1:49" s="4" customFormat="1" ht="12.75" customHeight="1">
      <c r="A449" s="5"/>
      <c r="B449" s="73"/>
      <c r="C449" s="717"/>
      <c r="D449" s="1"/>
      <c r="E449" s="223"/>
      <c r="F449" s="1376"/>
      <c r="G449" s="1376"/>
      <c r="H449" s="1376"/>
      <c r="I449" s="1376"/>
      <c r="J449" s="1376"/>
      <c r="K449" s="1376"/>
      <c r="L449" s="1376"/>
      <c r="M449" s="1376"/>
      <c r="N449" s="1376"/>
      <c r="O449" s="1376"/>
      <c r="P449" s="1376"/>
      <c r="Q449" s="1376"/>
      <c r="R449" s="1376"/>
      <c r="S449" s="1376"/>
      <c r="T449" s="1376"/>
      <c r="U449" s="1376"/>
      <c r="V449" s="1376"/>
      <c r="W449" s="1376"/>
      <c r="X449" s="1376"/>
      <c r="Y449" s="1376"/>
      <c r="Z449" s="1376"/>
      <c r="AA449" s="1376"/>
      <c r="AB449" s="1376"/>
      <c r="AC449" s="1376"/>
      <c r="AD449" s="1376"/>
      <c r="AE449" s="1376"/>
      <c r="AF449" s="106"/>
      <c r="AG449" s="106"/>
      <c r="AH449" s="106"/>
      <c r="AI449" s="106"/>
      <c r="AJ449" s="106"/>
      <c r="AK449" s="106"/>
      <c r="AL449" s="778"/>
      <c r="AN449" s="279"/>
    </row>
    <row r="450" spans="1:49" s="4" customFormat="1" ht="12.75" customHeight="1">
      <c r="A450" s="5"/>
      <c r="B450" s="73"/>
      <c r="C450" s="717"/>
      <c r="D450" s="1"/>
      <c r="E450" s="223"/>
      <c r="F450" s="1376"/>
      <c r="G450" s="1376"/>
      <c r="H450" s="1376"/>
      <c r="I450" s="1376"/>
      <c r="J450" s="1376"/>
      <c r="K450" s="1376"/>
      <c r="L450" s="1376"/>
      <c r="M450" s="1376"/>
      <c r="N450" s="1376"/>
      <c r="O450" s="1376"/>
      <c r="P450" s="1376"/>
      <c r="Q450" s="1376"/>
      <c r="R450" s="1376"/>
      <c r="S450" s="1376"/>
      <c r="T450" s="1376"/>
      <c r="U450" s="1376"/>
      <c r="V450" s="1376"/>
      <c r="W450" s="1376"/>
      <c r="X450" s="1376"/>
      <c r="Y450" s="1376"/>
      <c r="Z450" s="1376"/>
      <c r="AA450" s="1376"/>
      <c r="AB450" s="1376"/>
      <c r="AC450" s="1376"/>
      <c r="AD450" s="1376"/>
      <c r="AE450" s="1376"/>
      <c r="AF450" s="106"/>
      <c r="AG450" s="106"/>
      <c r="AH450" s="106"/>
      <c r="AI450" s="106"/>
      <c r="AJ450" s="106"/>
      <c r="AK450" s="106"/>
      <c r="AL450" s="778"/>
      <c r="AN450" s="279"/>
    </row>
    <row r="451" spans="1:49" s="4" customFormat="1" ht="12.75" customHeight="1">
      <c r="A451" s="5"/>
      <c r="B451" s="73"/>
      <c r="C451" s="717"/>
      <c r="D451" s="1"/>
      <c r="E451" s="223"/>
      <c r="F451" s="1376"/>
      <c r="G451" s="1376"/>
      <c r="H451" s="1376"/>
      <c r="I451" s="1376"/>
      <c r="J451" s="1376"/>
      <c r="K451" s="1376"/>
      <c r="L451" s="1376"/>
      <c r="M451" s="1376"/>
      <c r="N451" s="1376"/>
      <c r="O451" s="1376"/>
      <c r="P451" s="1376"/>
      <c r="Q451" s="1376"/>
      <c r="R451" s="1376"/>
      <c r="S451" s="1376"/>
      <c r="T451" s="1376"/>
      <c r="U451" s="1376"/>
      <c r="V451" s="1376"/>
      <c r="W451" s="1376"/>
      <c r="X451" s="1376"/>
      <c r="Y451" s="1376"/>
      <c r="Z451" s="1376"/>
      <c r="AA451" s="1376"/>
      <c r="AB451" s="1376"/>
      <c r="AC451" s="1376"/>
      <c r="AD451" s="1376"/>
      <c r="AE451" s="1376"/>
      <c r="AF451" s="106"/>
      <c r="AG451" s="106"/>
      <c r="AH451" s="106"/>
      <c r="AI451" s="106"/>
      <c r="AJ451" s="106"/>
      <c r="AK451" s="106"/>
      <c r="AL451" s="778"/>
      <c r="AN451" s="279"/>
    </row>
    <row r="452" spans="1:49" s="4" customFormat="1" ht="12.75" customHeight="1">
      <c r="A452" s="5"/>
      <c r="B452" s="73"/>
      <c r="C452" s="717"/>
      <c r="D452" s="1"/>
      <c r="E452" s="223"/>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06"/>
      <c r="AG452" s="106"/>
      <c r="AH452" s="106"/>
      <c r="AI452" s="106"/>
      <c r="AJ452" s="106"/>
      <c r="AK452" s="106"/>
      <c r="AL452" s="778"/>
      <c r="AN452" s="279"/>
    </row>
    <row r="453" spans="1:49" s="4" customFormat="1" ht="17.25" customHeight="1">
      <c r="A453" s="5"/>
      <c r="B453" s="73"/>
      <c r="C453" s="717"/>
      <c r="D453" s="1"/>
      <c r="E453" s="223"/>
      <c r="F453" s="1376"/>
      <c r="G453" s="1376"/>
      <c r="H453" s="1376"/>
      <c r="I453" s="1376"/>
      <c r="J453" s="1376"/>
      <c r="K453" s="1376"/>
      <c r="L453" s="1376"/>
      <c r="M453" s="1376"/>
      <c r="N453" s="1376"/>
      <c r="O453" s="1376"/>
      <c r="P453" s="1376"/>
      <c r="Q453" s="1376"/>
      <c r="R453" s="1376"/>
      <c r="S453" s="1376"/>
      <c r="T453" s="1376"/>
      <c r="U453" s="1376"/>
      <c r="V453" s="1376"/>
      <c r="W453" s="1376"/>
      <c r="X453" s="1376"/>
      <c r="Y453" s="1376"/>
      <c r="Z453" s="1376"/>
      <c r="AA453" s="1376"/>
      <c r="AB453" s="1376"/>
      <c r="AC453" s="1376"/>
      <c r="AD453" s="1376"/>
      <c r="AE453" s="1376"/>
      <c r="AL453" s="699"/>
      <c r="AN453" s="279"/>
    </row>
    <row r="454" spans="1:49" s="4" customFormat="1" ht="12.75" customHeight="1">
      <c r="A454" s="5"/>
      <c r="B454" s="21"/>
      <c r="C454" s="1377" t="s">
        <v>155</v>
      </c>
      <c r="D454" s="1060"/>
      <c r="E454" s="223"/>
      <c r="F454" s="20" t="s">
        <v>1980</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416" t="s">
        <v>1953</v>
      </c>
      <c r="AG454" s="1376"/>
      <c r="AH454" s="1376"/>
      <c r="AI454" s="1376"/>
      <c r="AJ454" s="1376"/>
      <c r="AK454" s="1376"/>
      <c r="AL454" s="1417"/>
      <c r="AN454" s="279"/>
    </row>
    <row r="455" spans="1:49" s="4" customFormat="1" ht="12.75" customHeight="1">
      <c r="A455" s="5"/>
      <c r="B455" s="73"/>
      <c r="C455" s="710"/>
      <c r="D455" s="708"/>
      <c r="E455" s="696"/>
      <c r="F455" s="705"/>
      <c r="G455" s="697"/>
      <c r="H455" s="697"/>
      <c r="I455" s="697"/>
      <c r="J455" s="697"/>
      <c r="K455" s="697"/>
      <c r="L455" s="697"/>
      <c r="M455" s="697"/>
      <c r="N455" s="697"/>
      <c r="O455" s="697"/>
      <c r="P455" s="697"/>
      <c r="Q455" s="697"/>
      <c r="R455" s="697"/>
      <c r="S455" s="697"/>
      <c r="T455" s="697"/>
      <c r="U455" s="697"/>
      <c r="V455" s="697"/>
      <c r="W455" s="697"/>
      <c r="X455" s="697"/>
      <c r="Y455" s="697"/>
      <c r="Z455" s="697"/>
      <c r="AA455" s="697"/>
      <c r="AB455" s="697"/>
      <c r="AC455" s="697"/>
      <c r="AD455" s="697"/>
      <c r="AE455" s="708"/>
      <c r="AF455" s="708"/>
      <c r="AG455" s="708"/>
      <c r="AH455" s="708"/>
      <c r="AI455" s="708"/>
      <c r="AJ455" s="708"/>
      <c r="AK455" s="708"/>
      <c r="AL455" s="709"/>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N456" s="279"/>
    </row>
    <row r="457" spans="1:49" s="4" customFormat="1" ht="12.75" customHeight="1">
      <c r="A457" s="5"/>
      <c r="B457" s="73"/>
      <c r="C457" s="690"/>
      <c r="D457" s="691"/>
      <c r="E457" s="692" t="s">
        <v>1981</v>
      </c>
      <c r="F457" s="1407" t="s">
        <v>1982</v>
      </c>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691"/>
      <c r="AG457" s="691"/>
      <c r="AH457" s="691"/>
      <c r="AI457" s="691"/>
      <c r="AJ457" s="691"/>
      <c r="AK457" s="691"/>
      <c r="AL457" s="715"/>
      <c r="AN457" s="279"/>
    </row>
    <row r="458" spans="1:49" s="4" customFormat="1" ht="12.75" customHeight="1">
      <c r="A458" s="5"/>
      <c r="B458" s="73"/>
      <c r="C458" s="717"/>
      <c r="D458" s="1"/>
      <c r="E458" s="223"/>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376"/>
      <c r="AF458" s="18"/>
      <c r="AG458" s="18"/>
      <c r="AH458" s="18"/>
      <c r="AI458" s="18"/>
      <c r="AJ458" s="18"/>
      <c r="AK458" s="18"/>
      <c r="AL458" s="775"/>
      <c r="AN458" s="279"/>
    </row>
    <row r="459" spans="1:49" s="4" customFormat="1" ht="12.75" customHeight="1">
      <c r="A459" s="5"/>
      <c r="B459" s="73"/>
      <c r="C459" s="717"/>
      <c r="D459" s="1"/>
      <c r="E459" s="223"/>
      <c r="F459" s="1376"/>
      <c r="G459" s="1376"/>
      <c r="H459" s="1376"/>
      <c r="I459" s="1376"/>
      <c r="J459" s="1376"/>
      <c r="K459" s="1376"/>
      <c r="L459" s="1376"/>
      <c r="M459" s="1376"/>
      <c r="N459" s="1376"/>
      <c r="O459" s="1376"/>
      <c r="P459" s="1376"/>
      <c r="Q459" s="1376"/>
      <c r="R459" s="1376"/>
      <c r="S459" s="1376"/>
      <c r="T459" s="1376"/>
      <c r="U459" s="1376"/>
      <c r="V459" s="1376"/>
      <c r="W459" s="1376"/>
      <c r="X459" s="1376"/>
      <c r="Y459" s="1376"/>
      <c r="Z459" s="1376"/>
      <c r="AA459" s="1376"/>
      <c r="AB459" s="1376"/>
      <c r="AC459" s="1376"/>
      <c r="AD459" s="1376"/>
      <c r="AE459" s="1376"/>
      <c r="AF459" s="18"/>
      <c r="AG459" s="18"/>
      <c r="AH459" s="18"/>
      <c r="AI459" s="18"/>
      <c r="AJ459" s="18"/>
      <c r="AK459" s="18"/>
      <c r="AL459" s="775"/>
      <c r="AN459" s="279"/>
    </row>
    <row r="460" spans="1:49" s="4" customFormat="1" ht="12.75" customHeight="1">
      <c r="A460" s="5"/>
      <c r="B460" s="73"/>
      <c r="C460" s="717"/>
      <c r="D460" s="1"/>
      <c r="E460" s="223"/>
      <c r="F460" s="1376"/>
      <c r="G460" s="1376"/>
      <c r="H460" s="1376"/>
      <c r="I460" s="1376"/>
      <c r="J460" s="1376"/>
      <c r="K460" s="1376"/>
      <c r="L460" s="1376"/>
      <c r="M460" s="1376"/>
      <c r="N460" s="1376"/>
      <c r="O460" s="1376"/>
      <c r="P460" s="1376"/>
      <c r="Q460" s="1376"/>
      <c r="R460" s="1376"/>
      <c r="S460" s="1376"/>
      <c r="T460" s="1376"/>
      <c r="U460" s="1376"/>
      <c r="V460" s="1376"/>
      <c r="W460" s="1376"/>
      <c r="X460" s="1376"/>
      <c r="Y460" s="1376"/>
      <c r="Z460" s="1376"/>
      <c r="AA460" s="1376"/>
      <c r="AB460" s="1376"/>
      <c r="AC460" s="1376"/>
      <c r="AD460" s="1376"/>
      <c r="AE460" s="1376"/>
      <c r="AL460" s="699"/>
      <c r="AN460" s="279"/>
    </row>
    <row r="461" spans="1:49" s="4" customFormat="1" ht="12.75" customHeight="1">
      <c r="A461" s="5"/>
      <c r="B461" s="73"/>
      <c r="C461" s="1377" t="s">
        <v>155</v>
      </c>
      <c r="D461" s="1060"/>
      <c r="E461" s="223"/>
      <c r="F461" s="344" t="s">
        <v>1983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416" t="s">
        <v>1953</v>
      </c>
      <c r="AG461" s="1376"/>
      <c r="AH461" s="1376"/>
      <c r="AI461" s="1376"/>
      <c r="AJ461" s="1376"/>
      <c r="AK461" s="1376"/>
      <c r="AL461" s="1417"/>
      <c r="AN461" s="668"/>
      <c r="AP461" s="21"/>
      <c r="AQ461" s="164"/>
      <c r="AR461" s="164"/>
      <c r="AS461" s="164"/>
      <c r="AT461" s="164"/>
      <c r="AU461" s="164"/>
      <c r="AV461" s="164"/>
      <c r="AW461" s="164"/>
    </row>
    <row r="462" spans="1:49" s="4" customFormat="1" ht="12.75" customHeight="1">
      <c r="A462" s="5"/>
      <c r="B462" s="73"/>
      <c r="C462" s="701"/>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699"/>
      <c r="AN462" s="668"/>
      <c r="AQ462" s="164"/>
      <c r="AR462" s="164"/>
      <c r="AS462" s="164"/>
      <c r="AT462" s="164"/>
      <c r="AU462" s="164"/>
      <c r="AV462" s="164"/>
      <c r="AW462" s="164"/>
    </row>
    <row r="463" spans="1:49" s="4" customFormat="1" ht="12.75" customHeight="1">
      <c r="A463" s="5"/>
      <c r="B463" s="73"/>
      <c r="C463" s="718"/>
      <c r="D463" s="719"/>
      <c r="E463" s="704"/>
      <c r="F463" s="708" t="s">
        <v>1962</v>
      </c>
      <c r="G463" s="700"/>
      <c r="H463" s="700"/>
      <c r="I463" s="700"/>
      <c r="J463" s="700"/>
      <c r="K463" s="700"/>
      <c r="L463" s="700"/>
      <c r="M463" s="700"/>
      <c r="N463" s="700"/>
      <c r="O463" s="700"/>
      <c r="P463" s="700"/>
      <c r="Q463" s="700"/>
      <c r="R463" s="700"/>
      <c r="S463" s="700"/>
      <c r="T463" s="700"/>
      <c r="U463" s="700"/>
      <c r="V463" s="700"/>
      <c r="W463" s="700"/>
      <c r="X463" s="700"/>
      <c r="Y463" s="700"/>
      <c r="Z463" s="700"/>
      <c r="AA463" s="700"/>
      <c r="AB463" s="700"/>
      <c r="AC463" s="700"/>
      <c r="AD463" s="700"/>
      <c r="AE463" s="706"/>
      <c r="AF463" s="707"/>
      <c r="AG463" s="706"/>
      <c r="AH463" s="708"/>
      <c r="AI463" s="708"/>
      <c r="AJ463" s="708"/>
      <c r="AK463" s="708"/>
      <c r="AL463" s="709"/>
      <c r="AN463" s="668"/>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N464" s="668"/>
      <c r="AQ464" s="164"/>
      <c r="AR464" s="164"/>
      <c r="AS464" s="164"/>
      <c r="AT464" s="164"/>
      <c r="AU464" s="164"/>
      <c r="AV464" s="164"/>
      <c r="AW464" s="164"/>
    </row>
    <row r="465" spans="1:54" s="4" customFormat="1" ht="12.75" customHeight="1">
      <c r="A465" s="5"/>
      <c r="B465" s="73"/>
      <c r="C465" s="1471" t="s">
        <v>155</v>
      </c>
      <c r="D465" s="1472"/>
      <c r="E465" s="692" t="s">
        <v>1984</v>
      </c>
      <c r="F465" s="1466" t="s">
        <v>1985</v>
      </c>
      <c r="G465" s="1408"/>
      <c r="H465" s="1408"/>
      <c r="I465" s="1408"/>
      <c r="J465" s="1408"/>
      <c r="K465" s="1408"/>
      <c r="L465" s="1408"/>
      <c r="M465" s="1408"/>
      <c r="N465" s="1408"/>
      <c r="O465" s="1408"/>
      <c r="P465" s="1408"/>
      <c r="Q465" s="1408"/>
      <c r="R465" s="1408"/>
      <c r="S465" s="1408"/>
      <c r="T465" s="1408"/>
      <c r="U465" s="1408"/>
      <c r="V465" s="1408"/>
      <c r="W465" s="1408"/>
      <c r="X465" s="1408"/>
      <c r="Y465" s="1408"/>
      <c r="Z465" s="1408"/>
      <c r="AA465" s="1408"/>
      <c r="AB465" s="1408"/>
      <c r="AC465" s="1408"/>
      <c r="AD465" s="1408"/>
      <c r="AE465" s="1408"/>
      <c r="AF465" s="1436" t="s">
        <v>1953</v>
      </c>
      <c r="AG465" s="1408"/>
      <c r="AH465" s="1408"/>
      <c r="AI465" s="1408"/>
      <c r="AJ465" s="1408"/>
      <c r="AK465" s="1408"/>
      <c r="AL465" s="1437"/>
      <c r="AN465" s="668"/>
      <c r="AQ465" s="164"/>
    </row>
    <row r="466" spans="1:54" s="4" customFormat="1" ht="12.75" customHeight="1">
      <c r="A466" s="5"/>
      <c r="B466" s="73"/>
      <c r="C466" s="717"/>
      <c r="D466" s="1"/>
      <c r="E466" s="223"/>
      <c r="F466" s="1376"/>
      <c r="G466" s="1376"/>
      <c r="H466" s="1376"/>
      <c r="I466" s="1376"/>
      <c r="J466" s="1376"/>
      <c r="K466" s="1376"/>
      <c r="L466" s="1376"/>
      <c r="M466" s="1376"/>
      <c r="N466" s="1376"/>
      <c r="O466" s="1376"/>
      <c r="P466" s="1376"/>
      <c r="Q466" s="1376"/>
      <c r="R466" s="1376"/>
      <c r="S466" s="1376"/>
      <c r="T466" s="1376"/>
      <c r="U466" s="1376"/>
      <c r="V466" s="1376"/>
      <c r="W466" s="1376"/>
      <c r="X466" s="1376"/>
      <c r="Y466" s="1376"/>
      <c r="Z466" s="1376"/>
      <c r="AA466" s="1376"/>
      <c r="AB466" s="1376"/>
      <c r="AC466" s="1376"/>
      <c r="AD466" s="1376"/>
      <c r="AE466" s="1376"/>
      <c r="AF466" s="18"/>
      <c r="AG466" s="18"/>
      <c r="AH466" s="18"/>
      <c r="AI466" s="18"/>
      <c r="AJ466" s="18"/>
      <c r="AK466" s="18"/>
      <c r="AL466" s="775"/>
      <c r="AN466" s="669"/>
      <c r="AO466" s="4" t="s">
        <v>155</v>
      </c>
      <c r="AP466" s="4">
        <v>0</v>
      </c>
      <c r="AQ466" s="164"/>
    </row>
    <row r="467" spans="1:54" s="4" customFormat="1" ht="21.75" customHeight="1">
      <c r="A467" s="5"/>
      <c r="B467" s="73"/>
      <c r="C467" s="694"/>
      <c r="D467" s="695"/>
      <c r="E467" s="696"/>
      <c r="F467" s="1454"/>
      <c r="G467" s="1454"/>
      <c r="H467" s="1454"/>
      <c r="I467" s="1454"/>
      <c r="J467" s="1454"/>
      <c r="K467" s="1454"/>
      <c r="L467" s="1454"/>
      <c r="M467" s="1454"/>
      <c r="N467" s="1454"/>
      <c r="O467" s="1454"/>
      <c r="P467" s="1454"/>
      <c r="Q467" s="1454"/>
      <c r="R467" s="1454"/>
      <c r="S467" s="1454"/>
      <c r="T467" s="1454"/>
      <c r="U467" s="1454"/>
      <c r="V467" s="1454"/>
      <c r="W467" s="1454"/>
      <c r="X467" s="1454"/>
      <c r="Y467" s="1454"/>
      <c r="Z467" s="1454"/>
      <c r="AA467" s="1454"/>
      <c r="AB467" s="1454"/>
      <c r="AC467" s="1454"/>
      <c r="AD467" s="1454"/>
      <c r="AE467" s="1454"/>
      <c r="AF467" s="776"/>
      <c r="AG467" s="776"/>
      <c r="AH467" s="776"/>
      <c r="AI467" s="776"/>
      <c r="AJ467" s="776"/>
      <c r="AK467" s="776"/>
      <c r="AL467" s="777"/>
      <c r="AN467" s="664"/>
      <c r="AO467" s="4" t="s">
        <v>1986</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N468" s="664"/>
      <c r="AO468" s="4" t="s">
        <v>1987</v>
      </c>
      <c r="AP468" s="4">
        <v>5</v>
      </c>
      <c r="AQ468" s="164"/>
    </row>
    <row r="469" spans="1:54" s="4" customFormat="1" ht="12.75" customHeight="1">
      <c r="A469" s="5"/>
      <c r="B469" s="21"/>
      <c r="C469" s="1471" t="s">
        <v>155</v>
      </c>
      <c r="D469" s="1472"/>
      <c r="E469" s="692" t="s">
        <v>1988</v>
      </c>
      <c r="F469" s="1466" t="s">
        <v>1969</v>
      </c>
      <c r="G469" s="1408"/>
      <c r="H469" s="1408"/>
      <c r="I469" s="1408"/>
      <c r="J469" s="1408"/>
      <c r="K469" s="1408"/>
      <c r="L469" s="1408"/>
      <c r="M469" s="1408"/>
      <c r="N469" s="1408"/>
      <c r="O469" s="1408"/>
      <c r="P469" s="1408"/>
      <c r="Q469" s="1408"/>
      <c r="R469" s="1408"/>
      <c r="S469" s="1408"/>
      <c r="T469" s="1408"/>
      <c r="U469" s="1408"/>
      <c r="V469" s="1408"/>
      <c r="W469" s="1408"/>
      <c r="X469" s="1408"/>
      <c r="Y469" s="1408"/>
      <c r="Z469" s="1408"/>
      <c r="AA469" s="1408"/>
      <c r="AB469" s="1408"/>
      <c r="AC469" s="1408"/>
      <c r="AD469" s="1408"/>
      <c r="AE469" s="1408"/>
      <c r="AF469" s="1436" t="s">
        <v>1953</v>
      </c>
      <c r="AG469" s="1408"/>
      <c r="AH469" s="1408"/>
      <c r="AI469" s="1408"/>
      <c r="AJ469" s="1408"/>
      <c r="AK469" s="1408"/>
      <c r="AL469" s="1437"/>
      <c r="AN469" s="664"/>
      <c r="AO469" s="4" t="s">
        <v>1989</v>
      </c>
      <c r="AP469" s="4">
        <v>5</v>
      </c>
      <c r="AQ469" s="5"/>
    </row>
    <row r="470" spans="1:54" s="4" customFormat="1" ht="12.75" customHeight="1">
      <c r="A470" s="5"/>
      <c r="B470" s="21"/>
      <c r="C470" s="698"/>
      <c r="D470" s="21"/>
      <c r="E470" s="192"/>
      <c r="F470" s="1376"/>
      <c r="G470" s="1376"/>
      <c r="H470" s="1376"/>
      <c r="I470" s="1376"/>
      <c r="J470" s="1376"/>
      <c r="K470" s="1376"/>
      <c r="L470" s="1376"/>
      <c r="M470" s="1376"/>
      <c r="N470" s="1376"/>
      <c r="O470" s="1376"/>
      <c r="P470" s="1376"/>
      <c r="Q470" s="1376"/>
      <c r="R470" s="1376"/>
      <c r="S470" s="1376"/>
      <c r="T470" s="1376"/>
      <c r="U470" s="1376"/>
      <c r="V470" s="1376"/>
      <c r="W470" s="1376"/>
      <c r="X470" s="1376"/>
      <c r="Y470" s="1376"/>
      <c r="Z470" s="1376"/>
      <c r="AA470" s="1376"/>
      <c r="AB470" s="1376"/>
      <c r="AC470" s="1376"/>
      <c r="AD470" s="1376"/>
      <c r="AE470" s="1376"/>
      <c r="AF470" s="3"/>
      <c r="AG470" s="5"/>
      <c r="AL470" s="699"/>
      <c r="AN470" s="664"/>
      <c r="AO470" s="4" t="s">
        <v>1990</v>
      </c>
      <c r="AP470" s="4">
        <v>5</v>
      </c>
    </row>
    <row r="471" spans="1:54" s="4" customFormat="1" ht="12.75" customHeight="1">
      <c r="A471" s="5"/>
      <c r="B471" s="21"/>
      <c r="C471" s="698"/>
      <c r="D471" s="21"/>
      <c r="E471" s="192"/>
      <c r="F471" s="1376"/>
      <c r="G471" s="1376"/>
      <c r="H471" s="1376"/>
      <c r="I471" s="1376"/>
      <c r="J471" s="1376"/>
      <c r="K471" s="1376"/>
      <c r="L471" s="1376"/>
      <c r="M471" s="1376"/>
      <c r="N471" s="1376"/>
      <c r="O471" s="1376"/>
      <c r="P471" s="1376"/>
      <c r="Q471" s="1376"/>
      <c r="R471" s="1376"/>
      <c r="S471" s="1376"/>
      <c r="T471" s="1376"/>
      <c r="U471" s="1376"/>
      <c r="V471" s="1376"/>
      <c r="W471" s="1376"/>
      <c r="X471" s="1376"/>
      <c r="Y471" s="1376"/>
      <c r="Z471" s="1376"/>
      <c r="AA471" s="1376"/>
      <c r="AB471" s="1376"/>
      <c r="AC471" s="1376"/>
      <c r="AD471" s="1376"/>
      <c r="AE471" s="1376"/>
      <c r="AF471" s="3"/>
      <c r="AG471" s="5"/>
      <c r="AL471" s="699"/>
      <c r="AN471" s="664"/>
      <c r="AO471" s="4" t="s">
        <v>1991</v>
      </c>
      <c r="AP471" s="4">
        <v>5</v>
      </c>
    </row>
    <row r="472" spans="1:54" s="4" customFormat="1" ht="4.5" customHeight="1">
      <c r="A472" s="5"/>
      <c r="B472" s="73"/>
      <c r="C472" s="694"/>
      <c r="D472" s="695"/>
      <c r="E472" s="696"/>
      <c r="F472" s="1454"/>
      <c r="G472" s="1454"/>
      <c r="H472" s="1454"/>
      <c r="I472" s="1454"/>
      <c r="J472" s="1454"/>
      <c r="K472" s="1454"/>
      <c r="L472" s="1454"/>
      <c r="M472" s="1454"/>
      <c r="N472" s="1454"/>
      <c r="O472" s="1454"/>
      <c r="P472" s="1454"/>
      <c r="Q472" s="1454"/>
      <c r="R472" s="1454"/>
      <c r="S472" s="1454"/>
      <c r="T472" s="1454"/>
      <c r="U472" s="1454"/>
      <c r="V472" s="1454"/>
      <c r="W472" s="1454"/>
      <c r="X472" s="1454"/>
      <c r="Y472" s="1454"/>
      <c r="Z472" s="1454"/>
      <c r="AA472" s="1454"/>
      <c r="AB472" s="1454"/>
      <c r="AC472" s="1454"/>
      <c r="AD472" s="1454"/>
      <c r="AE472" s="1454"/>
      <c r="AF472" s="776"/>
      <c r="AG472" s="776"/>
      <c r="AH472" s="776"/>
      <c r="AI472" s="776"/>
      <c r="AJ472" s="776"/>
      <c r="AK472" s="776"/>
      <c r="AL472" s="777"/>
      <c r="AN472" s="279"/>
      <c r="AO472" s="4" t="s">
        <v>1992</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N473" s="279"/>
      <c r="AO473" s="4" t="s">
        <v>1993</v>
      </c>
      <c r="AP473" s="4">
        <v>5</v>
      </c>
    </row>
    <row r="474" spans="1:54" s="4" customFormat="1" ht="12.75" customHeight="1">
      <c r="A474" s="5"/>
      <c r="B474" s="21"/>
      <c r="C474" s="690"/>
      <c r="D474" s="691"/>
      <c r="E474" s="692" t="s">
        <v>1994</v>
      </c>
      <c r="F474" s="1407" t="s">
        <v>1971</v>
      </c>
      <c r="G474" s="1408"/>
      <c r="H474" s="1408"/>
      <c r="I474" s="1408"/>
      <c r="J474" s="1408"/>
      <c r="K474" s="1408"/>
      <c r="L474" s="1408"/>
      <c r="M474" s="1408"/>
      <c r="N474" s="1408"/>
      <c r="O474" s="1408"/>
      <c r="P474" s="1408"/>
      <c r="Q474" s="1408"/>
      <c r="R474" s="1408"/>
      <c r="S474" s="1408"/>
      <c r="T474" s="1408"/>
      <c r="U474" s="1408"/>
      <c r="V474" s="1408"/>
      <c r="W474" s="1408"/>
      <c r="X474" s="1408"/>
      <c r="Y474" s="1408"/>
      <c r="Z474" s="1408"/>
      <c r="AA474" s="1408"/>
      <c r="AB474" s="1408"/>
      <c r="AC474" s="1408"/>
      <c r="AD474" s="1408"/>
      <c r="AE474" s="1408"/>
      <c r="AF474" s="1408"/>
      <c r="AG474" s="781"/>
      <c r="AH474" s="691"/>
      <c r="AI474" s="691"/>
      <c r="AJ474" s="691"/>
      <c r="AK474" s="691"/>
      <c r="AL474" s="715"/>
      <c r="AN474" s="279"/>
      <c r="AO474" s="4" t="s">
        <v>1995</v>
      </c>
      <c r="AP474" s="4">
        <v>1</v>
      </c>
    </row>
    <row r="475" spans="1:54" s="4" customFormat="1" ht="12.75" customHeight="1">
      <c r="A475" s="5"/>
      <c r="B475" s="21"/>
      <c r="C475" s="698"/>
      <c r="D475" s="21"/>
      <c r="E475" s="192"/>
      <c r="F475" s="1376"/>
      <c r="G475" s="1376"/>
      <c r="H475" s="1376"/>
      <c r="I475" s="1376"/>
      <c r="J475" s="1376"/>
      <c r="K475" s="1376"/>
      <c r="L475" s="1376"/>
      <c r="M475" s="1376"/>
      <c r="N475" s="1376"/>
      <c r="O475" s="1376"/>
      <c r="P475" s="1376"/>
      <c r="Q475" s="1376"/>
      <c r="R475" s="1376"/>
      <c r="S475" s="1376"/>
      <c r="T475" s="1376"/>
      <c r="U475" s="1376"/>
      <c r="V475" s="1376"/>
      <c r="W475" s="1376"/>
      <c r="X475" s="1376"/>
      <c r="Y475" s="1376"/>
      <c r="Z475" s="1376"/>
      <c r="AA475" s="1376"/>
      <c r="AB475" s="1376"/>
      <c r="AC475" s="1376"/>
      <c r="AD475" s="1376"/>
      <c r="AE475" s="1376"/>
      <c r="AF475" s="1376"/>
      <c r="AL475" s="699"/>
      <c r="AN475" s="279"/>
      <c r="AS475" s="343"/>
      <c r="AW475" s="343" t="s">
        <v>1996</v>
      </c>
      <c r="BA475" s="343" t="s">
        <v>1997</v>
      </c>
    </row>
    <row r="476" spans="1:54" s="4" customFormat="1" ht="12.75" customHeight="1">
      <c r="A476" s="5"/>
      <c r="B476" s="21"/>
      <c r="C476" s="701"/>
      <c r="F476" s="1376"/>
      <c r="G476" s="1376"/>
      <c r="H476" s="1376"/>
      <c r="I476" s="1376"/>
      <c r="J476" s="1376"/>
      <c r="K476" s="1376"/>
      <c r="L476" s="1376"/>
      <c r="M476" s="1376"/>
      <c r="N476" s="1376"/>
      <c r="O476" s="1376"/>
      <c r="P476" s="1376"/>
      <c r="Q476" s="1376"/>
      <c r="R476" s="1376"/>
      <c r="S476" s="1376"/>
      <c r="T476" s="1376"/>
      <c r="U476" s="1376"/>
      <c r="V476" s="1376"/>
      <c r="W476" s="1376"/>
      <c r="X476" s="1376"/>
      <c r="Y476" s="1376"/>
      <c r="Z476" s="1376"/>
      <c r="AA476" s="1376"/>
      <c r="AB476" s="1376"/>
      <c r="AC476" s="1376"/>
      <c r="AD476" s="1376"/>
      <c r="AE476" s="1376"/>
      <c r="AF476" s="1376"/>
      <c r="AL476" s="699"/>
      <c r="AN476" s="279"/>
      <c r="AO476" s="4" t="s">
        <v>155</v>
      </c>
      <c r="AP476" s="35">
        <v>0</v>
      </c>
      <c r="AR476" s="4" t="s">
        <v>155</v>
      </c>
      <c r="AS476" s="35">
        <v>0</v>
      </c>
      <c r="AT476" s="29"/>
      <c r="AW476" s="4" t="s">
        <v>155</v>
      </c>
      <c r="AX476" s="29">
        <v>0</v>
      </c>
      <c r="BA476" s="4" t="s">
        <v>155</v>
      </c>
      <c r="BB476" s="29">
        <v>0</v>
      </c>
    </row>
    <row r="477" spans="1:54" s="4" customFormat="1" ht="6" customHeight="1">
      <c r="A477" s="5"/>
      <c r="B477" s="21"/>
      <c r="C477" s="701"/>
      <c r="F477" s="1376"/>
      <c r="G477" s="1376"/>
      <c r="H477" s="1376"/>
      <c r="I477" s="1376"/>
      <c r="J477" s="1376"/>
      <c r="K477" s="1376"/>
      <c r="L477" s="1376"/>
      <c r="M477" s="1376"/>
      <c r="N477" s="1376"/>
      <c r="O477" s="1376"/>
      <c r="P477" s="1376"/>
      <c r="Q477" s="1376"/>
      <c r="R477" s="1376"/>
      <c r="S477" s="1376"/>
      <c r="T477" s="1376"/>
      <c r="U477" s="1376"/>
      <c r="V477" s="1376"/>
      <c r="W477" s="1376"/>
      <c r="X477" s="1376"/>
      <c r="Y477" s="1376"/>
      <c r="Z477" s="1376"/>
      <c r="AA477" s="1376"/>
      <c r="AB477" s="1376"/>
      <c r="AC477" s="1376"/>
      <c r="AD477" s="1376"/>
      <c r="AE477" s="1376"/>
      <c r="AF477" s="1376"/>
      <c r="AL477" s="699"/>
      <c r="AN477" s="279"/>
      <c r="AO477" s="346">
        <v>7.0000000000000007E-2</v>
      </c>
      <c r="AP477" s="35">
        <v>3</v>
      </c>
      <c r="AR477" s="4" t="s">
        <v>1998</v>
      </c>
      <c r="AS477" s="35">
        <v>3</v>
      </c>
      <c r="AT477" s="29"/>
      <c r="AW477" s="346">
        <v>0.4</v>
      </c>
      <c r="AX477" s="29">
        <v>3</v>
      </c>
      <c r="BA477" s="346">
        <v>0.4</v>
      </c>
      <c r="BB477" s="29">
        <v>4</v>
      </c>
    </row>
    <row r="478" spans="1:54" s="4" customFormat="1" ht="12.75" customHeight="1">
      <c r="A478" s="5"/>
      <c r="B478" s="21"/>
      <c r="C478" s="1377" t="s">
        <v>155</v>
      </c>
      <c r="D478" s="1060"/>
      <c r="E478" s="223"/>
      <c r="F478" s="344" t="s">
        <v>1972</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47" t="s">
        <v>1953</v>
      </c>
      <c r="AG478" s="1376"/>
      <c r="AH478" s="1376"/>
      <c r="AI478" s="1376"/>
      <c r="AJ478" s="1376"/>
      <c r="AK478" s="1376"/>
      <c r="AL478" s="1417"/>
      <c r="AN478" s="279"/>
      <c r="AO478" s="346">
        <v>0.12</v>
      </c>
      <c r="AP478" s="35">
        <v>5</v>
      </c>
      <c r="AR478" s="4" t="s">
        <v>1999</v>
      </c>
      <c r="AS478" s="35">
        <v>5</v>
      </c>
      <c r="AT478" s="29"/>
      <c r="AW478" s="346">
        <v>0.6</v>
      </c>
      <c r="AX478" s="29">
        <v>4</v>
      </c>
      <c r="BA478" s="346">
        <v>0.6</v>
      </c>
      <c r="BB478" s="29">
        <v>5</v>
      </c>
    </row>
    <row r="479" spans="1:54" s="4" customFormat="1" ht="12.75" customHeight="1">
      <c r="A479" s="5"/>
      <c r="B479" s="21"/>
      <c r="C479" s="702"/>
      <c r="D479" s="703"/>
      <c r="E479" s="704"/>
      <c r="F479" s="708"/>
      <c r="G479" s="708"/>
      <c r="H479" s="708"/>
      <c r="I479" s="708"/>
      <c r="J479" s="708"/>
      <c r="K479" s="708"/>
      <c r="L479" s="708"/>
      <c r="M479" s="708"/>
      <c r="N479" s="708"/>
      <c r="O479" s="708"/>
      <c r="P479" s="708"/>
      <c r="Q479" s="708"/>
      <c r="R479" s="708"/>
      <c r="S479" s="708"/>
      <c r="T479" s="708"/>
      <c r="U479" s="708"/>
      <c r="V479" s="708"/>
      <c r="W479" s="708"/>
      <c r="X479" s="708"/>
      <c r="Y479" s="708"/>
      <c r="Z479" s="708"/>
      <c r="AA479" s="708"/>
      <c r="AB479" s="708"/>
      <c r="AC479" s="708"/>
      <c r="AD479" s="708"/>
      <c r="AE479" s="708"/>
      <c r="AF479" s="708"/>
      <c r="AG479" s="708"/>
      <c r="AH479" s="708"/>
      <c r="AI479" s="708"/>
      <c r="AJ479" s="708"/>
      <c r="AK479" s="708"/>
      <c r="AL479" s="709"/>
      <c r="AN479" s="279"/>
      <c r="AO479" s="346"/>
      <c r="AP479" s="29"/>
      <c r="AS479" s="346"/>
      <c r="AT479" s="29"/>
      <c r="AW479" s="346">
        <v>0.8</v>
      </c>
      <c r="AX479" s="29">
        <v>5</v>
      </c>
      <c r="BA479" s="346"/>
      <c r="BB479" s="29"/>
    </row>
    <row r="480" spans="1:54" s="4" customFormat="1" ht="12.75" customHeight="1">
      <c r="A480" s="5"/>
      <c r="B480" s="21"/>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155</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N481" s="279"/>
      <c r="AO481" s="346">
        <v>0.09</v>
      </c>
      <c r="AP481" s="35">
        <v>3</v>
      </c>
      <c r="AS481" s="343"/>
    </row>
    <row r="482" spans="1:50" s="4" customFormat="1" ht="12.75" customHeight="1">
      <c r="A482" s="5"/>
      <c r="B482" s="21"/>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N483" s="279"/>
    </row>
    <row r="484" spans="1:50" s="4" customFormat="1" ht="12.75" customHeight="1">
      <c r="A484" s="72"/>
      <c r="B484" s="615" t="s">
        <v>2000</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2001</v>
      </c>
      <c r="AK484" s="1065">
        <f>IF(AS367=0,AS365,AS367)</f>
        <v>10</v>
      </c>
      <c r="AL484" s="973"/>
      <c r="AM484" s="974"/>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S486" s="3"/>
      <c r="T486" s="3"/>
      <c r="U486" s="3"/>
      <c r="V486" s="3"/>
      <c r="W486" s="3"/>
      <c r="X486" s="3"/>
      <c r="Y486" s="3"/>
      <c r="Z486" s="3"/>
      <c r="AA486" s="3"/>
      <c r="AB486" s="3"/>
      <c r="AC486" s="3"/>
      <c r="AD486" s="3"/>
      <c r="AE486" s="3"/>
      <c r="AG486" s="3"/>
      <c r="AH486" s="3"/>
      <c r="AI486" s="3"/>
      <c r="AJ486" s="3"/>
      <c r="AM486" s="21"/>
      <c r="AN486" s="279"/>
      <c r="AO486" s="4" t="s">
        <v>155</v>
      </c>
      <c r="AP486" s="4">
        <v>0</v>
      </c>
    </row>
    <row r="487" spans="1:50" s="4" customFormat="1" ht="12.75" hidden="1" customHeight="1">
      <c r="A487" s="3" t="s">
        <v>2002</v>
      </c>
      <c r="C487" s="3"/>
      <c r="E487" s="20"/>
      <c r="AE487" s="1185" t="s">
        <v>2003</v>
      </c>
      <c r="AF487" s="1376"/>
      <c r="AG487" s="1376"/>
      <c r="AH487" s="1376"/>
      <c r="AI487" s="1376"/>
      <c r="AJ487" s="1376"/>
      <c r="AK487" s="1376"/>
      <c r="AL487" s="18"/>
      <c r="AN487" s="279"/>
      <c r="AO487" s="4" t="s">
        <v>1986</v>
      </c>
      <c r="AP487" s="4">
        <v>5</v>
      </c>
    </row>
    <row r="488" spans="1:50" s="4" customFormat="1" ht="12.75" hidden="1" customHeight="1">
      <c r="A488" s="3"/>
      <c r="B488" s="5" t="s">
        <v>2004</v>
      </c>
      <c r="C488" s="3"/>
      <c r="E488" s="20"/>
      <c r="AE488" s="18"/>
      <c r="AF488" s="18"/>
      <c r="AG488" s="18"/>
      <c r="AH488" s="18"/>
      <c r="AI488" s="18"/>
      <c r="AJ488" s="18"/>
      <c r="AK488" s="18"/>
      <c r="AL488" s="18"/>
      <c r="AN488" s="279"/>
      <c r="AO488" s="4" t="s">
        <v>2005</v>
      </c>
      <c r="AP488" s="4">
        <v>5</v>
      </c>
    </row>
    <row r="489" spans="1:50" s="4" customFormat="1" ht="12.75" hidden="1" customHeight="1">
      <c r="A489" s="3"/>
      <c r="B489" s="3" t="s">
        <v>2006</v>
      </c>
      <c r="C489" s="3"/>
      <c r="E489" s="20"/>
      <c r="AE489" s="18"/>
      <c r="AF489" s="18"/>
      <c r="AG489" s="18"/>
      <c r="AH489" s="18"/>
      <c r="AI489" s="18"/>
      <c r="AJ489" s="18"/>
      <c r="AK489" s="18"/>
      <c r="AL489" s="18"/>
      <c r="AN489" s="279"/>
      <c r="AO489" s="4" t="s">
        <v>1989</v>
      </c>
      <c r="AP489" s="4">
        <v>5</v>
      </c>
      <c r="AQ489" s="3"/>
      <c r="AR489" s="3"/>
      <c r="AS489" s="343"/>
      <c r="AW489" s="343"/>
    </row>
    <row r="490" spans="1:50" s="4" customFormat="1" ht="12.75" hidden="1" customHeight="1">
      <c r="A490" s="3"/>
      <c r="B490" s="3" t="s">
        <v>2007</v>
      </c>
      <c r="C490" s="3"/>
      <c r="E490" s="20"/>
      <c r="AE490" s="18"/>
      <c r="AF490" s="18"/>
      <c r="AG490" s="18"/>
      <c r="AH490" s="18"/>
      <c r="AI490" s="18"/>
      <c r="AJ490" s="18"/>
      <c r="AK490" s="18"/>
      <c r="AL490" s="18"/>
      <c r="AN490" s="279"/>
      <c r="AO490" s="4" t="s">
        <v>1990</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1991</v>
      </c>
      <c r="AP491" s="4">
        <v>5</v>
      </c>
      <c r="AQ491" s="3"/>
      <c r="AR491" s="3"/>
      <c r="AW491" s="118"/>
    </row>
    <row r="492" spans="1:50" s="4" customFormat="1" ht="12.75" hidden="1" customHeight="1">
      <c r="A492" s="3"/>
      <c r="C492" s="180" t="s">
        <v>2008</v>
      </c>
      <c r="AE492" s="18"/>
      <c r="AF492" s="18"/>
      <c r="AG492" s="20"/>
      <c r="AH492" s="20"/>
      <c r="AI492" s="20"/>
      <c r="AJ492" s="20"/>
      <c r="AK492" s="20"/>
      <c r="AL492" s="20"/>
      <c r="AN492" s="279"/>
      <c r="AO492" s="4" t="s">
        <v>1992</v>
      </c>
      <c r="AP492" s="4">
        <v>5</v>
      </c>
      <c r="AW492" s="118"/>
    </row>
    <row r="493" spans="1:50" s="4" customFormat="1" ht="12.75" hidden="1" customHeight="1">
      <c r="A493" s="3"/>
      <c r="C493" s="1386" t="s">
        <v>155</v>
      </c>
      <c r="D493" s="1387"/>
      <c r="E493" s="743" t="s">
        <v>975</v>
      </c>
      <c r="F493" s="1470" t="s">
        <v>2009</v>
      </c>
      <c r="G493" s="1408"/>
      <c r="H493" s="1408"/>
      <c r="I493" s="1408"/>
      <c r="J493" s="1408"/>
      <c r="K493" s="1408"/>
      <c r="L493" s="1408"/>
      <c r="M493" s="1408"/>
      <c r="N493" s="1408"/>
      <c r="O493" s="1408"/>
      <c r="P493" s="1408"/>
      <c r="Q493" s="1408"/>
      <c r="R493" s="1408"/>
      <c r="S493" s="1408"/>
      <c r="T493" s="1408"/>
      <c r="U493" s="1408"/>
      <c r="V493" s="1408"/>
      <c r="W493" s="1408"/>
      <c r="X493" s="1408"/>
      <c r="Y493" s="1408"/>
      <c r="Z493" s="1408"/>
      <c r="AA493" s="1408"/>
      <c r="AB493" s="1408"/>
      <c r="AC493" s="1408"/>
      <c r="AD493" s="1408"/>
      <c r="AE493" s="1408"/>
      <c r="AF493" s="691"/>
      <c r="AG493" s="691"/>
      <c r="AH493" s="691"/>
      <c r="AI493" s="691"/>
      <c r="AJ493" s="691"/>
      <c r="AK493" s="715"/>
      <c r="AN493" s="279"/>
      <c r="AO493" s="4" t="s">
        <v>2010</v>
      </c>
      <c r="AP493" s="4">
        <v>5</v>
      </c>
      <c r="AS493" s="346"/>
      <c r="AT493" s="29"/>
      <c r="AW493" s="118"/>
      <c r="AX493" s="35"/>
    </row>
    <row r="494" spans="1:50" s="4" customFormat="1" ht="12.75" hidden="1" customHeight="1">
      <c r="C494" s="720"/>
      <c r="E494" s="141"/>
      <c r="F494" s="1376"/>
      <c r="G494" s="1376"/>
      <c r="H494" s="1376"/>
      <c r="I494" s="1376"/>
      <c r="J494" s="1376"/>
      <c r="K494" s="1376"/>
      <c r="L494" s="1376"/>
      <c r="M494" s="1376"/>
      <c r="N494" s="1376"/>
      <c r="O494" s="1376"/>
      <c r="P494" s="1376"/>
      <c r="Q494" s="1376"/>
      <c r="R494" s="1376"/>
      <c r="S494" s="1376"/>
      <c r="T494" s="1376"/>
      <c r="U494" s="1376"/>
      <c r="V494" s="1376"/>
      <c r="W494" s="1376"/>
      <c r="X494" s="1376"/>
      <c r="Y494" s="1376"/>
      <c r="Z494" s="1376"/>
      <c r="AA494" s="1376"/>
      <c r="AB494" s="1376"/>
      <c r="AC494" s="1376"/>
      <c r="AD494" s="1376"/>
      <c r="AE494" s="1376"/>
      <c r="AG494" s="19"/>
      <c r="AH494" s="19"/>
      <c r="AI494" s="19"/>
      <c r="AJ494" s="19"/>
      <c r="AK494" s="699"/>
      <c r="AN494" s="279"/>
      <c r="AO494" s="4" t="s">
        <v>1995</v>
      </c>
      <c r="AP494" s="4">
        <v>1</v>
      </c>
    </row>
    <row r="495" spans="1:50" s="4" customFormat="1" ht="12.75" hidden="1" customHeight="1">
      <c r="C495" s="721"/>
      <c r="D495" s="708"/>
      <c r="E495" s="722"/>
      <c r="F495" s="1381" t="s">
        <v>155</v>
      </c>
      <c r="G495" s="1060"/>
      <c r="H495" s="1060"/>
      <c r="I495" s="1060"/>
      <c r="J495" s="1060"/>
      <c r="K495" s="1060"/>
      <c r="L495" s="1060"/>
      <c r="M495" s="1060"/>
      <c r="N495" s="1060"/>
      <c r="O495" s="1060"/>
      <c r="P495" s="1060"/>
      <c r="Q495" s="1060"/>
      <c r="R495" s="1060"/>
      <c r="S495" s="1060"/>
      <c r="T495" s="1060"/>
      <c r="U495" s="1060"/>
      <c r="V495" s="1060"/>
      <c r="W495" s="1060"/>
      <c r="X495" s="1060"/>
      <c r="Y495" s="1060"/>
      <c r="Z495" s="1060"/>
      <c r="AA495" s="723"/>
      <c r="AB495" s="724"/>
      <c r="AC495" s="724"/>
      <c r="AD495" s="708"/>
      <c r="AE495" s="708"/>
      <c r="AF495" s="708"/>
      <c r="AG495" s="725">
        <f>IF($C$493="Yes",(VLOOKUP($F$495,$AO$466:$AP$474,2,FALSE)),0)</f>
        <v>0</v>
      </c>
      <c r="AH495" s="726" t="s">
        <v>2011</v>
      </c>
      <c r="AI495" s="725"/>
      <c r="AJ495" s="725"/>
      <c r="AK495" s="709"/>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B496" s="19"/>
      <c r="AC496" s="19"/>
      <c r="AG496" s="19"/>
      <c r="AH496" s="19"/>
      <c r="AI496" s="19"/>
      <c r="AJ496" s="19"/>
      <c r="AN496" s="279"/>
      <c r="AO496" s="4" t="s">
        <v>155</v>
      </c>
      <c r="AP496" s="35">
        <v>0</v>
      </c>
    </row>
    <row r="497" spans="1:81" s="4" customFormat="1" ht="12.75" hidden="1" customHeight="1">
      <c r="C497" s="1471" t="s">
        <v>71</v>
      </c>
      <c r="D497" s="1472"/>
      <c r="E497" s="743" t="s">
        <v>977</v>
      </c>
      <c r="F497" s="727" t="s">
        <v>2012</v>
      </c>
      <c r="G497" s="728"/>
      <c r="H497" s="728"/>
      <c r="I497" s="728"/>
      <c r="J497" s="728"/>
      <c r="K497" s="728"/>
      <c r="L497" s="728"/>
      <c r="M497" s="728"/>
      <c r="N497" s="728"/>
      <c r="O497" s="728"/>
      <c r="P497" s="728"/>
      <c r="Q497" s="728"/>
      <c r="R497" s="728"/>
      <c r="S497" s="728"/>
      <c r="T497" s="728"/>
      <c r="U497" s="728"/>
      <c r="V497" s="728"/>
      <c r="W497" s="728"/>
      <c r="X497" s="728"/>
      <c r="Y497" s="728"/>
      <c r="Z497" s="728"/>
      <c r="AA497" s="728"/>
      <c r="AB497" s="728"/>
      <c r="AC497" s="728"/>
      <c r="AD497" s="691"/>
      <c r="AE497" s="691"/>
      <c r="AF497" s="691"/>
      <c r="AG497" s="728"/>
      <c r="AH497" s="728"/>
      <c r="AI497" s="728"/>
      <c r="AJ497" s="728"/>
      <c r="AK497" s="715"/>
      <c r="AN497" s="279"/>
      <c r="AO497" s="346">
        <v>0.15</v>
      </c>
      <c r="AP497" s="35">
        <v>3</v>
      </c>
    </row>
    <row r="498" spans="1:81" s="4" customFormat="1" ht="12.75" hidden="1" customHeight="1">
      <c r="C498" s="729" t="s">
        <v>2013</v>
      </c>
      <c r="F498" s="250" t="s">
        <v>2014</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699"/>
      <c r="AN498" s="279"/>
      <c r="AO498" s="346">
        <v>0.2</v>
      </c>
      <c r="AP498" s="35">
        <v>5</v>
      </c>
    </row>
    <row r="499" spans="1:81" s="4" customFormat="1" ht="12.75" hidden="1" customHeight="1">
      <c r="C499" s="717"/>
      <c r="D499" s="1"/>
      <c r="E499" s="187"/>
      <c r="F499" s="250" t="s">
        <v>2015</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8"/>
      <c r="AD499" s="90"/>
      <c r="AE499" s="90"/>
      <c r="AF499" s="90"/>
      <c r="AG499" s="255"/>
      <c r="AH499" s="102"/>
      <c r="AI499" s="102"/>
      <c r="AJ499" s="102"/>
      <c r="AK499" s="699"/>
      <c r="AN499" s="296"/>
      <c r="AO499" s="346"/>
      <c r="AP499" s="29"/>
    </row>
    <row r="500" spans="1:81" s="20" customFormat="1" ht="12.75" hidden="1" customHeight="1">
      <c r="A500" s="35"/>
      <c r="B500" s="4"/>
      <c r="C500" s="720"/>
      <c r="D500" s="4"/>
      <c r="E500" s="141"/>
      <c r="F500" s="730" t="s">
        <v>2016</v>
      </c>
      <c r="G500" s="4"/>
      <c r="H500" s="4"/>
      <c r="I500" s="250"/>
      <c r="J500" s="250"/>
      <c r="K500" s="250"/>
      <c r="L500" s="250"/>
      <c r="M500" s="250"/>
      <c r="N500" s="250"/>
      <c r="O500" s="250"/>
      <c r="P500" s="250"/>
      <c r="Q500" s="250"/>
      <c r="R500" s="250"/>
      <c r="S500" s="250"/>
      <c r="T500" s="250"/>
      <c r="U500" s="250"/>
      <c r="V500" s="1426" t="s">
        <v>155</v>
      </c>
      <c r="W500" s="1060"/>
      <c r="X500" s="1060"/>
      <c r="Y500" s="250"/>
      <c r="Z500" s="250"/>
      <c r="AA500" s="250"/>
      <c r="AB500" s="250"/>
      <c r="AC500" s="250"/>
      <c r="AD500" s="90"/>
      <c r="AE500" s="90"/>
      <c r="AF500" s="90"/>
      <c r="AG500" s="102">
        <f>IF(AND($C$497="Yes",$V$502="N/A",$V$507="N/A",$V$511="N/A",$V$513="N/A"),(VLOOKUP(V500,$AR$476:$AS$478,2,FALSE)),0)</f>
        <v>0</v>
      </c>
      <c r="AH500" s="126" t="s">
        <v>2011</v>
      </c>
      <c r="AI500" s="19"/>
      <c r="AJ500" s="19"/>
      <c r="AK500" s="699"/>
      <c r="AL500" s="4"/>
      <c r="AM500" s="4"/>
      <c r="AN500" s="279"/>
    </row>
    <row r="501" spans="1:81" s="20" customFormat="1" ht="12.75" hidden="1" customHeight="1">
      <c r="A501" s="35"/>
      <c r="B501" s="4"/>
      <c r="C501" s="720"/>
      <c r="D501" s="4"/>
      <c r="E501" s="141"/>
      <c r="F501" s="730"/>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699"/>
      <c r="AL501" s="4"/>
      <c r="AM501" s="4"/>
      <c r="AN501" s="279"/>
    </row>
    <row r="502" spans="1:81" s="20" customFormat="1" ht="12.75" hidden="1" customHeight="1">
      <c r="A502" s="35"/>
      <c r="B502" s="4"/>
      <c r="C502" s="720"/>
      <c r="D502" s="4"/>
      <c r="E502" s="141"/>
      <c r="F502" s="730" t="s">
        <v>2017</v>
      </c>
      <c r="G502" s="4"/>
      <c r="H502" s="4"/>
      <c r="I502" s="250"/>
      <c r="J502" s="250"/>
      <c r="K502" s="250"/>
      <c r="L502" s="250"/>
      <c r="M502" s="250"/>
      <c r="N502" s="250"/>
      <c r="O502" s="250"/>
      <c r="P502" s="250"/>
      <c r="Q502" s="250"/>
      <c r="R502" s="250"/>
      <c r="S502" s="250"/>
      <c r="T502" s="250"/>
      <c r="U502" s="250"/>
      <c r="V502" s="1426" t="s">
        <v>155</v>
      </c>
      <c r="W502" s="1060"/>
      <c r="X502" s="1060"/>
      <c r="Y502" s="250"/>
      <c r="Z502" s="250"/>
      <c r="AA502" s="250"/>
      <c r="AB502" s="250"/>
      <c r="AC502" s="250"/>
      <c r="AD502" s="90"/>
      <c r="AE502" s="90"/>
      <c r="AF502" s="90"/>
      <c r="AG502" s="102">
        <f>IF(AND($C$497="Yes",$V$500="N/A", $V$507="N/A",$V$511="N/A",$V$513="N/A"),(VLOOKUP(V502,$AO$476:$AP$478,2,FALSE)),0)</f>
        <v>0</v>
      </c>
      <c r="AH502" s="126" t="s">
        <v>2011</v>
      </c>
      <c r="AI502" s="19"/>
      <c r="AJ502" s="19"/>
      <c r="AK502" s="699"/>
      <c r="AL502" s="4"/>
      <c r="AM502" s="4"/>
      <c r="AN502" s="279"/>
    </row>
    <row r="503" spans="1:81" s="4" customFormat="1" ht="12.75" hidden="1" customHeight="1">
      <c r="C503" s="720"/>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699"/>
      <c r="AN503" s="279"/>
      <c r="AO503" s="4" t="s">
        <v>155</v>
      </c>
      <c r="AP503" s="4">
        <v>0</v>
      </c>
    </row>
    <row r="504" spans="1:81" s="4" customFormat="1" ht="12.75" hidden="1" customHeight="1">
      <c r="C504" s="720"/>
      <c r="E504" s="141"/>
      <c r="F504" s="252" t="s">
        <v>2018</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699"/>
      <c r="AN504" s="279"/>
      <c r="AO504" s="4" t="s">
        <v>2019</v>
      </c>
      <c r="AP504" s="35">
        <v>2</v>
      </c>
    </row>
    <row r="505" spans="1:81" s="4" customFormat="1" ht="12.75" hidden="1" customHeight="1">
      <c r="C505" s="720"/>
      <c r="F505" s="90" t="s">
        <v>2020</v>
      </c>
      <c r="M505" s="141"/>
      <c r="N505" s="141"/>
      <c r="O505" s="141"/>
      <c r="P505" s="141"/>
      <c r="Q505" s="19"/>
      <c r="R505" s="19"/>
      <c r="S505" s="19"/>
      <c r="T505" s="19"/>
      <c r="U505" s="19"/>
      <c r="V505" s="19"/>
      <c r="W505" s="19"/>
      <c r="X505" s="19"/>
      <c r="Y505" s="19"/>
      <c r="Z505" s="19"/>
      <c r="AA505" s="19"/>
      <c r="AB505" s="19"/>
      <c r="AC505" s="19"/>
      <c r="AG505" s="102"/>
      <c r="AH505" s="126"/>
      <c r="AI505" s="19"/>
      <c r="AJ505" s="19"/>
      <c r="AK505" s="699"/>
      <c r="AN505" s="279"/>
      <c r="AO505" s="4" t="s">
        <v>2021</v>
      </c>
      <c r="AP505" s="4">
        <v>2</v>
      </c>
    </row>
    <row r="506" spans="1:81" s="20" customFormat="1" ht="12.75" hidden="1" customHeight="1">
      <c r="A506" s="4"/>
      <c r="B506" s="4"/>
      <c r="C506" s="701"/>
      <c r="F506" s="90" t="s">
        <v>2022</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699"/>
      <c r="AL506" s="4"/>
      <c r="AM506" s="4"/>
      <c r="AN506" s="296"/>
      <c r="AO506" s="4" t="s">
        <v>2023</v>
      </c>
      <c r="AP506" s="4">
        <v>2</v>
      </c>
    </row>
    <row r="507" spans="1:81" s="4" customFormat="1" ht="12.75" hidden="1" customHeight="1">
      <c r="C507" s="731"/>
      <c r="F507" s="730" t="s">
        <v>2024</v>
      </c>
      <c r="M507" s="141"/>
      <c r="N507" s="141"/>
      <c r="O507" s="141"/>
      <c r="P507" s="141"/>
      <c r="Q507" s="19"/>
      <c r="R507" s="19"/>
      <c r="S507" s="19"/>
      <c r="T507" s="19"/>
      <c r="U507" s="19"/>
      <c r="V507" s="1426" t="s">
        <v>155</v>
      </c>
      <c r="W507" s="1060"/>
      <c r="X507" s="1060"/>
      <c r="Y507" s="19"/>
      <c r="Z507" s="19"/>
      <c r="AA507" s="19"/>
      <c r="AB507" s="19"/>
      <c r="AC507" s="19"/>
      <c r="AG507" s="102">
        <f>IF(AND($C$497="Yes",$V$500="N/A",$V$502="N/A", $V$511="N/A",$V$513="N/A"),(VLOOKUP($V$507,$AO$480:$AP$482,2,FALSE)),0)</f>
        <v>0</v>
      </c>
      <c r="AH507" s="126" t="s">
        <v>2011</v>
      </c>
      <c r="AI507" s="19"/>
      <c r="AJ507" s="19"/>
      <c r="AK507" s="699"/>
      <c r="AN507" s="664"/>
    </row>
    <row r="508" spans="1:81" s="4" customFormat="1" ht="12.75" hidden="1" customHeight="1">
      <c r="C508" s="720"/>
      <c r="M508" s="141"/>
      <c r="N508" s="141"/>
      <c r="O508" s="141"/>
      <c r="P508" s="141"/>
      <c r="Q508" s="19"/>
      <c r="R508" s="19"/>
      <c r="S508" s="19"/>
      <c r="T508" s="19"/>
      <c r="U508" s="19"/>
      <c r="V508" s="19"/>
      <c r="W508" s="19"/>
      <c r="X508" s="19"/>
      <c r="Y508" s="19"/>
      <c r="Z508" s="19"/>
      <c r="AA508" s="19"/>
      <c r="AB508" s="19"/>
      <c r="AC508" s="19"/>
      <c r="AJ508" s="19"/>
      <c r="AK508" s="699"/>
      <c r="AN508" s="670"/>
    </row>
    <row r="509" spans="1:81" s="20" customFormat="1" ht="12.75" hidden="1" customHeight="1">
      <c r="A509" s="4"/>
      <c r="B509" s="4"/>
      <c r="C509" s="734" t="s">
        <v>2025</v>
      </c>
      <c r="D509" s="691"/>
      <c r="E509" s="691"/>
      <c r="F509" s="735" t="s">
        <v>2026</v>
      </c>
      <c r="G509" s="691"/>
      <c r="H509" s="691"/>
      <c r="I509" s="691"/>
      <c r="J509" s="691"/>
      <c r="K509" s="691"/>
      <c r="L509" s="691"/>
      <c r="M509" s="691"/>
      <c r="N509" s="691"/>
      <c r="O509" s="691"/>
      <c r="P509" s="691"/>
      <c r="Q509" s="691"/>
      <c r="R509" s="691"/>
      <c r="S509" s="691"/>
      <c r="T509" s="691"/>
      <c r="U509" s="691"/>
      <c r="V509" s="691"/>
      <c r="W509" s="691"/>
      <c r="X509" s="691"/>
      <c r="Y509" s="691"/>
      <c r="Z509" s="691"/>
      <c r="AA509" s="691"/>
      <c r="AB509" s="691"/>
      <c r="AC509" s="691"/>
      <c r="AD509" s="691"/>
      <c r="AE509" s="691"/>
      <c r="AF509" s="691"/>
      <c r="AG509" s="691"/>
      <c r="AH509" s="691"/>
      <c r="AI509" s="691"/>
      <c r="AJ509" s="691"/>
      <c r="AK509" s="715"/>
      <c r="AL509" s="4"/>
      <c r="AM509" s="4"/>
      <c r="AN509" s="665"/>
      <c r="AO509" s="4" t="s">
        <v>155</v>
      </c>
      <c r="AP509" s="4">
        <v>0</v>
      </c>
      <c r="AQ509" s="3"/>
    </row>
    <row r="510" spans="1:81" s="20" customFormat="1" ht="12.75" hidden="1" customHeight="1">
      <c r="A510" s="4"/>
      <c r="B510" s="4"/>
      <c r="C510" s="732"/>
      <c r="D510" s="1113"/>
      <c r="E510" s="1375"/>
      <c r="F510" s="250" t="s">
        <v>2027</v>
      </c>
      <c r="I510" s="4"/>
      <c r="J510" s="4"/>
      <c r="K510" s="4"/>
      <c r="L510" s="4"/>
      <c r="M510" s="4"/>
      <c r="N510" s="4"/>
      <c r="O510" s="4"/>
      <c r="P510" s="4"/>
      <c r="Q510" s="4"/>
      <c r="R510" s="4"/>
      <c r="S510" s="4"/>
      <c r="T510" s="4"/>
      <c r="U510" s="4"/>
      <c r="Y510" s="4"/>
      <c r="Z510" s="4"/>
      <c r="AA510" s="4"/>
      <c r="AB510" s="4"/>
      <c r="AC510" s="4"/>
      <c r="AD510" s="4"/>
      <c r="AE510" s="4"/>
      <c r="AF510" s="4"/>
      <c r="AK510" s="699"/>
      <c r="AL510" s="4"/>
      <c r="AM510" s="4"/>
      <c r="AN510" s="665"/>
      <c r="AO510" s="4" t="s">
        <v>2028</v>
      </c>
      <c r="AP510" s="35">
        <v>5</v>
      </c>
      <c r="AQ510" s="3"/>
    </row>
    <row r="511" spans="1:81" ht="12.75" hidden="1" customHeight="1">
      <c r="A511" s="118"/>
      <c r="B511" s="4"/>
      <c r="C511" s="720"/>
      <c r="D511" s="4"/>
      <c r="E511" s="4"/>
      <c r="F511" s="559" t="s">
        <v>2016</v>
      </c>
      <c r="G511" s="4"/>
      <c r="H511" s="4"/>
      <c r="I511" s="4"/>
      <c r="J511" s="4"/>
      <c r="K511" s="4"/>
      <c r="L511" s="4"/>
      <c r="M511" s="4"/>
      <c r="N511" s="4"/>
      <c r="O511" s="4"/>
      <c r="P511" s="4"/>
      <c r="Q511" s="4"/>
      <c r="R511" s="4"/>
      <c r="S511" s="4"/>
      <c r="T511" s="4"/>
      <c r="U511" s="4"/>
      <c r="V511" s="1426" t="s">
        <v>155</v>
      </c>
      <c r="W511" s="1060"/>
      <c r="X511" s="1060"/>
      <c r="Y511" s="4"/>
      <c r="Z511" s="4"/>
      <c r="AA511" s="4"/>
      <c r="AB511" s="4"/>
      <c r="AC511" s="4"/>
      <c r="AD511" s="4"/>
      <c r="AE511" s="4"/>
      <c r="AF511" s="4"/>
      <c r="AG511" s="102">
        <f>IF(AND($C$497="Yes",$V$500="N/A",V502="N/A",$V$507="N/A",$V$513="N/A"),(VLOOKUP($V$511,$AW$476:$AX$479,2,FALSE)),0)</f>
        <v>0</v>
      </c>
      <c r="AH511" s="126" t="s">
        <v>2011</v>
      </c>
      <c r="AI511" s="19"/>
      <c r="AJ511" s="4"/>
      <c r="AK511" s="699"/>
      <c r="AL511" s="4"/>
      <c r="AM511" s="4"/>
      <c r="AN511" s="202"/>
      <c r="AO511" s="4" t="s">
        <v>2029</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row>
    <row r="512" spans="1:81" ht="12.75" hidden="1" customHeight="1">
      <c r="A512" s="118"/>
      <c r="B512" s="4"/>
      <c r="C512" s="720"/>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99"/>
      <c r="AL512" s="4"/>
      <c r="AM512" s="4"/>
      <c r="AN512" s="202"/>
      <c r="AO512" s="4" t="s">
        <v>2030</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row>
    <row r="513" spans="1:147" s="3" customFormat="1" ht="12.75" hidden="1" customHeight="1">
      <c r="A513" s="118"/>
      <c r="B513" s="4"/>
      <c r="C513" s="721"/>
      <c r="D513" s="708"/>
      <c r="E513" s="708"/>
      <c r="F513" s="730" t="s">
        <v>2017</v>
      </c>
      <c r="G513" s="723"/>
      <c r="H513" s="723"/>
      <c r="I513" s="708"/>
      <c r="J513" s="708"/>
      <c r="K513" s="708"/>
      <c r="L513" s="708"/>
      <c r="M513" s="708"/>
      <c r="N513" s="708"/>
      <c r="O513" s="708"/>
      <c r="P513" s="708"/>
      <c r="Q513" s="708"/>
      <c r="R513" s="708"/>
      <c r="S513" s="708"/>
      <c r="T513" s="708"/>
      <c r="U513" s="708"/>
      <c r="V513" s="1426" t="s">
        <v>155</v>
      </c>
      <c r="W513" s="1060"/>
      <c r="X513" s="1060"/>
      <c r="Y513" s="708"/>
      <c r="Z513" s="708"/>
      <c r="AA513" s="708"/>
      <c r="AB513" s="708"/>
      <c r="AC513" s="708"/>
      <c r="AD513" s="708"/>
      <c r="AE513" s="708"/>
      <c r="AF513" s="708"/>
      <c r="AG513" s="733">
        <f>IF(AND($C$497="Yes",$V$500="N/A",$V$502="N/A",$V$507="N/A",$V$511="N/A"),(VLOOKUP($V$513,$BA$476:$BB$478,2,FALSE)),0)</f>
        <v>0</v>
      </c>
      <c r="AH513" s="726" t="s">
        <v>2011</v>
      </c>
      <c r="AI513" s="708"/>
      <c r="AJ513" s="708"/>
      <c r="AK513" s="709"/>
      <c r="AL513" s="4"/>
      <c r="AM513" s="4"/>
      <c r="AN513" s="671"/>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1"/>
      <c r="AO514" s="263"/>
      <c r="AP514" s="4"/>
      <c r="AQ514" s="4"/>
      <c r="AR514" s="4"/>
      <c r="AS514" s="4"/>
      <c r="AT514" s="4"/>
      <c r="AU514" s="1432" t="s">
        <v>2031</v>
      </c>
      <c r="AV514" s="1428"/>
      <c r="AW514" s="1428"/>
      <c r="AX514" s="1428"/>
      <c r="AY514" s="1428"/>
      <c r="AZ514" s="1428"/>
      <c r="BA514" s="1428"/>
      <c r="BB514" s="20"/>
      <c r="BC514" s="20"/>
      <c r="BE514" s="4"/>
      <c r="BF514" s="4"/>
      <c r="BG514" s="4"/>
      <c r="BH514" s="4"/>
      <c r="BI514" s="4"/>
      <c r="BJ514" s="1427" t="s">
        <v>2032</v>
      </c>
      <c r="BK514" s="1428"/>
      <c r="BL514" s="1428"/>
      <c r="BM514" s="1428"/>
      <c r="BN514" s="1428"/>
      <c r="BO514" s="1428"/>
      <c r="BP514" s="1428"/>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2033</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1"/>
      <c r="AO515" s="263"/>
      <c r="AP515" s="4"/>
      <c r="AQ515" s="4"/>
      <c r="AR515" s="4"/>
      <c r="AS515" s="4"/>
      <c r="AT515" s="4"/>
      <c r="AU515" s="1091"/>
      <c r="AV515" s="1428"/>
      <c r="AW515" s="1428"/>
      <c r="AX515" s="1428"/>
      <c r="AY515" s="1428"/>
      <c r="AZ515" s="1428"/>
      <c r="BA515" s="1428"/>
      <c r="BB515" s="20"/>
      <c r="BC515" s="20"/>
      <c r="BE515" s="4"/>
      <c r="BF515" s="4"/>
      <c r="BG515" s="4"/>
      <c r="BH515" s="4"/>
      <c r="BI515" s="4"/>
      <c r="BJ515" s="1091"/>
      <c r="BK515" s="1428"/>
      <c r="BL515" s="1428"/>
      <c r="BM515" s="1428"/>
      <c r="BN515" s="1428"/>
      <c r="BO515" s="1428"/>
      <c r="BP515" s="1428"/>
      <c r="BQ515" s="20"/>
      <c r="BR515" s="4"/>
    </row>
    <row r="516" spans="1:147" ht="12.75" hidden="1" customHeight="1">
      <c r="A516" s="118"/>
      <c r="B516" s="4"/>
      <c r="C516" s="1386" t="s">
        <v>155</v>
      </c>
      <c r="D516" s="1387"/>
      <c r="E516" s="736" t="s">
        <v>975</v>
      </c>
      <c r="F516" s="1470" t="s">
        <v>2009</v>
      </c>
      <c r="G516" s="1408"/>
      <c r="H516" s="1408"/>
      <c r="I516" s="1408"/>
      <c r="J516" s="1408"/>
      <c r="K516" s="1408"/>
      <c r="L516" s="1408"/>
      <c r="M516" s="1408"/>
      <c r="N516" s="1408"/>
      <c r="O516" s="1408"/>
      <c r="P516" s="1408"/>
      <c r="Q516" s="1408"/>
      <c r="R516" s="1408"/>
      <c r="S516" s="1408"/>
      <c r="T516" s="1408"/>
      <c r="U516" s="1408"/>
      <c r="V516" s="1408"/>
      <c r="W516" s="1408"/>
      <c r="X516" s="1408"/>
      <c r="Y516" s="1408"/>
      <c r="Z516" s="1408"/>
      <c r="AA516" s="1408"/>
      <c r="AB516" s="1408"/>
      <c r="AC516" s="1408"/>
      <c r="AD516" s="1408"/>
      <c r="AE516" s="1408"/>
      <c r="AF516" s="691"/>
      <c r="AG516" s="737"/>
      <c r="AH516" s="737"/>
      <c r="AI516" s="737"/>
      <c r="AJ516" s="737"/>
      <c r="AK516" s="715"/>
      <c r="AL516" s="4"/>
      <c r="AM516" s="4"/>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ht="12.75" hidden="1" customHeight="1">
      <c r="A517" s="118"/>
      <c r="B517" s="4"/>
      <c r="C517" s="720"/>
      <c r="D517" s="4"/>
      <c r="E517" s="141"/>
      <c r="F517" s="1184"/>
      <c r="G517" s="1184"/>
      <c r="H517" s="1184"/>
      <c r="I517" s="1184"/>
      <c r="J517" s="1184"/>
      <c r="K517" s="1184"/>
      <c r="L517" s="1184"/>
      <c r="M517" s="1184"/>
      <c r="N517" s="1184"/>
      <c r="O517" s="1184"/>
      <c r="P517" s="1184"/>
      <c r="Q517" s="1184"/>
      <c r="R517" s="1184"/>
      <c r="S517" s="1184"/>
      <c r="T517" s="1184"/>
      <c r="U517" s="1184"/>
      <c r="V517" s="1184"/>
      <c r="W517" s="1184"/>
      <c r="X517" s="1184"/>
      <c r="Y517" s="1184"/>
      <c r="Z517" s="1184"/>
      <c r="AA517" s="1184"/>
      <c r="AB517" s="1184"/>
      <c r="AC517" s="1184"/>
      <c r="AD517" s="1184"/>
      <c r="AE517" s="1184"/>
      <c r="AF517" s="4"/>
      <c r="AG517" s="19"/>
      <c r="AH517" s="19"/>
      <c r="AI517" s="19"/>
      <c r="AJ517" s="19"/>
      <c r="AK517" s="699"/>
      <c r="AL517" s="4"/>
      <c r="AM517" s="4"/>
      <c r="AP517" s="1268" t="s">
        <v>2034</v>
      </c>
      <c r="AQ517" s="1073"/>
      <c r="AR517" s="1074"/>
      <c r="AS517" s="619">
        <v>80</v>
      </c>
      <c r="AT517" s="4">
        <v>0</v>
      </c>
      <c r="AU517" s="158">
        <v>10</v>
      </c>
      <c r="AV517" s="158">
        <v>25</v>
      </c>
      <c r="AW517" s="158">
        <v>37.5</v>
      </c>
      <c r="AX517" s="158">
        <v>35</v>
      </c>
      <c r="AY517" s="158">
        <v>37.5</v>
      </c>
      <c r="AZ517" s="158">
        <v>50</v>
      </c>
      <c r="BA517" s="158">
        <v>50</v>
      </c>
      <c r="BE517" s="1268" t="s">
        <v>2034</v>
      </c>
      <c r="BF517" s="1073"/>
      <c r="BG517" s="1074"/>
      <c r="BH517" s="619">
        <v>80</v>
      </c>
      <c r="BI517" s="4">
        <v>0</v>
      </c>
      <c r="BJ517" s="159">
        <v>0</v>
      </c>
      <c r="BK517" s="158">
        <v>25</v>
      </c>
      <c r="BL517" s="158">
        <v>37.5</v>
      </c>
      <c r="BM517" s="158">
        <v>35</v>
      </c>
      <c r="BN517" s="158">
        <v>37.5</v>
      </c>
      <c r="BO517" s="158">
        <v>50</v>
      </c>
      <c r="BP517" s="158">
        <v>50</v>
      </c>
      <c r="BR517" s="4"/>
    </row>
    <row r="518" spans="1:147" ht="12.75" hidden="1" customHeight="1">
      <c r="A518" s="118"/>
      <c r="B518" s="4"/>
      <c r="C518" s="721"/>
      <c r="D518" s="708"/>
      <c r="E518" s="722"/>
      <c r="F518" s="1464" t="s">
        <v>155</v>
      </c>
      <c r="G518" s="1449"/>
      <c r="H518" s="1449"/>
      <c r="I518" s="1449"/>
      <c r="J518" s="1449"/>
      <c r="K518" s="1449"/>
      <c r="L518" s="1449"/>
      <c r="M518" s="1449"/>
      <c r="N518" s="1449"/>
      <c r="O518" s="1449"/>
      <c r="P518" s="1449"/>
      <c r="Q518" s="1449"/>
      <c r="R518" s="1449"/>
      <c r="S518" s="1449"/>
      <c r="T518" s="1449"/>
      <c r="U518" s="1449"/>
      <c r="V518" s="1449"/>
      <c r="W518" s="1449"/>
      <c r="X518" s="1449"/>
      <c r="Y518" s="1449"/>
      <c r="Z518" s="1449"/>
      <c r="AA518" s="723"/>
      <c r="AB518" s="724"/>
      <c r="AC518" s="724"/>
      <c r="AD518" s="708"/>
      <c r="AE518" s="708"/>
      <c r="AF518" s="708"/>
      <c r="AG518" s="725">
        <f>IF($C$516="Yes",(VLOOKUP($F$518,$AO$486:$AP$494,2,FALSE)),0)</f>
        <v>0</v>
      </c>
      <c r="AH518" s="726" t="s">
        <v>2011</v>
      </c>
      <c r="AI518" s="725"/>
      <c r="AJ518" s="724"/>
      <c r="AK518" s="709"/>
      <c r="AL518" s="4"/>
      <c r="AM518" s="4"/>
      <c r="AP518" s="1091"/>
      <c r="AQ518" s="1184"/>
      <c r="AR518" s="977"/>
      <c r="AS518" s="619">
        <v>75</v>
      </c>
      <c r="AT518" s="4">
        <v>0</v>
      </c>
      <c r="AU518" s="158">
        <v>10</v>
      </c>
      <c r="AV518" s="158">
        <v>25</v>
      </c>
      <c r="AW518" s="158">
        <v>37.5</v>
      </c>
      <c r="AX518" s="158">
        <v>35</v>
      </c>
      <c r="AY518" s="158">
        <v>37.5</v>
      </c>
      <c r="AZ518" s="158">
        <v>50</v>
      </c>
      <c r="BA518" s="158">
        <v>50</v>
      </c>
      <c r="BE518" s="1091"/>
      <c r="BF518" s="1431"/>
      <c r="BG518" s="977"/>
      <c r="BH518" s="619">
        <v>75</v>
      </c>
      <c r="BI518" s="4">
        <v>0</v>
      </c>
      <c r="BJ518" s="159">
        <v>0</v>
      </c>
      <c r="BK518" s="158">
        <v>25</v>
      </c>
      <c r="BL518" s="158">
        <v>37.5</v>
      </c>
      <c r="BM518" s="158">
        <v>35</v>
      </c>
      <c r="BN518" s="158">
        <v>37.5</v>
      </c>
      <c r="BO518" s="158">
        <v>50</v>
      </c>
      <c r="BP518" s="158">
        <v>50</v>
      </c>
      <c r="BR518" s="4"/>
    </row>
    <row r="519" spans="1:147"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P519" s="1091"/>
      <c r="AQ519" s="1184"/>
      <c r="AR519" s="977"/>
      <c r="AS519" s="619">
        <v>70</v>
      </c>
      <c r="AT519" s="4">
        <v>0</v>
      </c>
      <c r="AU519" s="158">
        <v>10</v>
      </c>
      <c r="AV519" s="158">
        <v>25</v>
      </c>
      <c r="AW519" s="158">
        <v>37.5</v>
      </c>
      <c r="AX519" s="158">
        <v>35</v>
      </c>
      <c r="AY519" s="158">
        <v>37.5</v>
      </c>
      <c r="AZ519" s="158">
        <v>50</v>
      </c>
      <c r="BA519" s="158">
        <v>50</v>
      </c>
      <c r="BE519" s="1091"/>
      <c r="BF519" s="1431"/>
      <c r="BG519" s="977"/>
      <c r="BH519" s="619">
        <v>70</v>
      </c>
      <c r="BI519" s="4">
        <v>0</v>
      </c>
      <c r="BJ519" s="159">
        <v>0</v>
      </c>
      <c r="BK519" s="158">
        <v>25</v>
      </c>
      <c r="BL519" s="158">
        <v>37.5</v>
      </c>
      <c r="BM519" s="158">
        <v>35</v>
      </c>
      <c r="BN519" s="158">
        <v>37.5</v>
      </c>
      <c r="BO519" s="158">
        <v>50</v>
      </c>
      <c r="BP519" s="158">
        <v>50</v>
      </c>
      <c r="BR519" s="4"/>
    </row>
    <row r="520" spans="1:147" ht="12.75" hidden="1" customHeight="1">
      <c r="A520" s="4"/>
      <c r="B520" s="4"/>
      <c r="C520" s="1386" t="s">
        <v>155</v>
      </c>
      <c r="D520" s="1387"/>
      <c r="E520" s="736" t="s">
        <v>977</v>
      </c>
      <c r="F520" s="1461" t="s">
        <v>2035</v>
      </c>
      <c r="G520" s="1408"/>
      <c r="H520" s="1408"/>
      <c r="I520" s="1408"/>
      <c r="J520" s="1408"/>
      <c r="K520" s="1408"/>
      <c r="L520" s="1408"/>
      <c r="M520" s="1408"/>
      <c r="N520" s="1408"/>
      <c r="O520" s="1408"/>
      <c r="P520" s="1408"/>
      <c r="Q520" s="1408"/>
      <c r="R520" s="1408"/>
      <c r="S520" s="1408"/>
      <c r="T520" s="1408"/>
      <c r="U520" s="1408"/>
      <c r="V520" s="1408"/>
      <c r="W520" s="1408"/>
      <c r="X520" s="1408"/>
      <c r="Y520" s="1408"/>
      <c r="Z520" s="1408"/>
      <c r="AA520" s="1408"/>
      <c r="AB520" s="1408"/>
      <c r="AC520" s="1408"/>
      <c r="AD520" s="1408"/>
      <c r="AE520" s="1408"/>
      <c r="AF520" s="691"/>
      <c r="AG520" s="728"/>
      <c r="AH520" s="728"/>
      <c r="AI520" s="728"/>
      <c r="AJ520" s="728"/>
      <c r="AK520" s="715"/>
      <c r="AL520" s="4"/>
      <c r="AM520" s="4"/>
      <c r="AP520" s="1091"/>
      <c r="AQ520" s="1184"/>
      <c r="AR520" s="977"/>
      <c r="AS520" s="619">
        <v>65</v>
      </c>
      <c r="AT520" s="4">
        <v>0</v>
      </c>
      <c r="AU520" s="158">
        <v>10</v>
      </c>
      <c r="AV520" s="158">
        <v>25</v>
      </c>
      <c r="AW520" s="158">
        <v>37.5</v>
      </c>
      <c r="AX520" s="158">
        <v>35</v>
      </c>
      <c r="AY520" s="158">
        <v>37.5</v>
      </c>
      <c r="AZ520" s="158">
        <v>50</v>
      </c>
      <c r="BA520" s="158">
        <v>50</v>
      </c>
      <c r="BE520" s="1091"/>
      <c r="BF520" s="1431"/>
      <c r="BG520" s="977"/>
      <c r="BH520" s="619">
        <v>65</v>
      </c>
      <c r="BI520" s="4">
        <v>0</v>
      </c>
      <c r="BJ520" s="159">
        <v>0</v>
      </c>
      <c r="BK520" s="158">
        <v>25</v>
      </c>
      <c r="BL520" s="158">
        <v>37.5</v>
      </c>
      <c r="BM520" s="158">
        <v>35</v>
      </c>
      <c r="BN520" s="158">
        <v>37.5</v>
      </c>
      <c r="BO520" s="158">
        <v>50</v>
      </c>
      <c r="BP520" s="158">
        <v>50</v>
      </c>
      <c r="BR520" s="4"/>
    </row>
    <row r="521" spans="1:147" ht="12.75" hidden="1" customHeight="1">
      <c r="A521" s="4"/>
      <c r="B521" s="4"/>
      <c r="C521" s="720"/>
      <c r="D521" s="4"/>
      <c r="E521" s="141"/>
      <c r="F521" s="1184"/>
      <c r="G521" s="1184"/>
      <c r="H521" s="1184"/>
      <c r="I521" s="1184"/>
      <c r="J521" s="1184"/>
      <c r="K521" s="1184"/>
      <c r="L521" s="1184"/>
      <c r="M521" s="1184"/>
      <c r="N521" s="1184"/>
      <c r="O521" s="1184"/>
      <c r="P521" s="1184"/>
      <c r="Q521" s="1184"/>
      <c r="R521" s="1184"/>
      <c r="S521" s="1184"/>
      <c r="T521" s="1184"/>
      <c r="U521" s="1184"/>
      <c r="V521" s="1184"/>
      <c r="W521" s="1184"/>
      <c r="X521" s="1184"/>
      <c r="Y521" s="1184"/>
      <c r="Z521" s="1184"/>
      <c r="AA521" s="1184"/>
      <c r="AB521" s="1184"/>
      <c r="AC521" s="1184"/>
      <c r="AD521" s="1184"/>
      <c r="AE521" s="1184"/>
      <c r="AF521" s="4"/>
      <c r="AG521" s="19"/>
      <c r="AH521" s="19"/>
      <c r="AI521" s="19"/>
      <c r="AJ521" s="19"/>
      <c r="AK521" s="699"/>
      <c r="AL521" s="4"/>
      <c r="AM521" s="4"/>
      <c r="AP521" s="1091"/>
      <c r="AQ521" s="1184"/>
      <c r="AR521" s="977"/>
      <c r="AS521" s="619">
        <v>60</v>
      </c>
      <c r="AT521" s="4">
        <v>0</v>
      </c>
      <c r="AU521" s="158">
        <v>10</v>
      </c>
      <c r="AV521" s="158">
        <v>25</v>
      </c>
      <c r="AW521" s="158">
        <v>37.5</v>
      </c>
      <c r="AX521" s="158">
        <v>35</v>
      </c>
      <c r="AY521" s="158">
        <v>37.5</v>
      </c>
      <c r="AZ521" s="158">
        <v>50</v>
      </c>
      <c r="BA521" s="158">
        <v>50</v>
      </c>
      <c r="BE521" s="1091"/>
      <c r="BF521" s="1431"/>
      <c r="BG521" s="977"/>
      <c r="BH521" s="619">
        <v>60</v>
      </c>
      <c r="BI521" s="4">
        <v>0</v>
      </c>
      <c r="BJ521" s="159">
        <v>0</v>
      </c>
      <c r="BK521" s="158">
        <v>25</v>
      </c>
      <c r="BL521" s="158">
        <v>37.5</v>
      </c>
      <c r="BM521" s="158">
        <v>35</v>
      </c>
      <c r="BN521" s="158">
        <v>37.5</v>
      </c>
      <c r="BO521" s="158">
        <v>50</v>
      </c>
      <c r="BP521" s="158">
        <v>50</v>
      </c>
      <c r="BR521" s="4"/>
    </row>
    <row r="522" spans="1:147" ht="12.75" hidden="1" customHeight="1">
      <c r="A522" s="4"/>
      <c r="B522" s="4"/>
      <c r="C522" s="701"/>
      <c r="D522" s="4"/>
      <c r="E522" s="4"/>
      <c r="F522" s="559" t="s">
        <v>2036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699"/>
      <c r="AL522" s="4"/>
      <c r="AM522" s="4"/>
      <c r="AP522" s="1091"/>
      <c r="AQ522" s="1184"/>
      <c r="AR522" s="977"/>
      <c r="AS522" s="619">
        <v>55</v>
      </c>
      <c r="AT522" s="4">
        <v>0</v>
      </c>
      <c r="AU522" s="158">
        <v>10</v>
      </c>
      <c r="AV522" s="158">
        <v>25</v>
      </c>
      <c r="AW522" s="158">
        <v>37.5</v>
      </c>
      <c r="AX522" s="158">
        <v>35</v>
      </c>
      <c r="AY522" s="158">
        <v>37.5</v>
      </c>
      <c r="AZ522" s="158">
        <v>50</v>
      </c>
      <c r="BA522" s="158">
        <v>50</v>
      </c>
      <c r="BE522" s="1091"/>
      <c r="BF522" s="1431"/>
      <c r="BG522" s="977"/>
      <c r="BH522" s="619">
        <v>55</v>
      </c>
      <c r="BI522" s="4">
        <v>0</v>
      </c>
      <c r="BJ522" s="159">
        <v>0</v>
      </c>
      <c r="BK522" s="158">
        <v>25</v>
      </c>
      <c r="BL522" s="158">
        <v>37.5</v>
      </c>
      <c r="BM522" s="158">
        <v>35</v>
      </c>
      <c r="BN522" s="158">
        <v>37.5</v>
      </c>
      <c r="BO522" s="158">
        <v>50</v>
      </c>
      <c r="BP522" s="158">
        <v>50</v>
      </c>
      <c r="BR522" s="4"/>
    </row>
    <row r="523" spans="1:147" hidden="1">
      <c r="A523" s="4"/>
      <c r="B523" s="4"/>
      <c r="C523" s="721"/>
      <c r="D523" s="708"/>
      <c r="E523" s="722"/>
      <c r="F523" s="1467" t="s">
        <v>155</v>
      </c>
      <c r="G523" s="1449"/>
      <c r="H523" s="1449"/>
      <c r="I523" s="724"/>
      <c r="J523" s="724"/>
      <c r="K523" s="724"/>
      <c r="L523" s="724"/>
      <c r="M523" s="724"/>
      <c r="N523" s="724"/>
      <c r="O523" s="724"/>
      <c r="P523" s="724"/>
      <c r="Q523" s="724"/>
      <c r="R523" s="724"/>
      <c r="S523" s="724"/>
      <c r="T523" s="724"/>
      <c r="U523" s="724"/>
      <c r="V523" s="724"/>
      <c r="W523" s="724"/>
      <c r="X523" s="724"/>
      <c r="Y523" s="724"/>
      <c r="Z523" s="724"/>
      <c r="AA523" s="724"/>
      <c r="AB523" s="724"/>
      <c r="AC523" s="724"/>
      <c r="AD523" s="708"/>
      <c r="AE523" s="708"/>
      <c r="AF523" s="708"/>
      <c r="AG523" s="725">
        <f>IF($C$520="Yes",(VLOOKUP($F$523,$AO$496:$AP$498,2,FALSE)),0)</f>
        <v>0</v>
      </c>
      <c r="AH523" s="726" t="s">
        <v>2011</v>
      </c>
      <c r="AI523" s="724"/>
      <c r="AJ523" s="724"/>
      <c r="AK523" s="709"/>
      <c r="AL523" s="4"/>
      <c r="AM523" s="4"/>
      <c r="AP523" s="1091"/>
      <c r="AQ523" s="1184"/>
      <c r="AR523" s="977"/>
      <c r="AS523" s="157">
        <v>50</v>
      </c>
      <c r="AT523" s="4">
        <v>0</v>
      </c>
      <c r="AU523" s="158">
        <v>10</v>
      </c>
      <c r="AV523" s="158">
        <v>25</v>
      </c>
      <c r="AW523" s="158">
        <v>37.5</v>
      </c>
      <c r="AX523" s="158">
        <v>35</v>
      </c>
      <c r="AY523" s="158">
        <v>37.5</v>
      </c>
      <c r="AZ523" s="158">
        <v>50</v>
      </c>
      <c r="BA523" s="158">
        <v>50</v>
      </c>
      <c r="BE523" s="1091"/>
      <c r="BF523" s="1431"/>
      <c r="BG523" s="977"/>
      <c r="BH523" s="157">
        <v>50</v>
      </c>
      <c r="BI523" s="4">
        <v>0</v>
      </c>
      <c r="BJ523" s="159">
        <v>0</v>
      </c>
      <c r="BK523" s="158">
        <v>25</v>
      </c>
      <c r="BL523" s="158">
        <v>37.5</v>
      </c>
      <c r="BM523" s="158">
        <v>35</v>
      </c>
      <c r="BN523" s="158">
        <v>37.5</v>
      </c>
      <c r="BO523" s="158">
        <v>50</v>
      </c>
      <c r="BP523" s="158">
        <v>50</v>
      </c>
      <c r="BR523" s="4"/>
    </row>
    <row r="524" spans="1:147"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P524" s="1091"/>
      <c r="AQ524" s="1184"/>
      <c r="AR524" s="977"/>
      <c r="AS524" s="157">
        <v>45</v>
      </c>
      <c r="AT524" s="4">
        <v>0</v>
      </c>
      <c r="AU524" s="158">
        <v>10</v>
      </c>
      <c r="AV524" s="158">
        <v>22.5</v>
      </c>
      <c r="AW524" s="158">
        <v>33.799999999999997</v>
      </c>
      <c r="AX524" s="158">
        <v>35</v>
      </c>
      <c r="AY524" s="158">
        <v>37.5</v>
      </c>
      <c r="AZ524" s="158">
        <v>50</v>
      </c>
      <c r="BA524" s="158">
        <v>50</v>
      </c>
      <c r="BE524" s="1091"/>
      <c r="BF524" s="1431"/>
      <c r="BG524" s="977"/>
      <c r="BH524" s="157">
        <v>45</v>
      </c>
      <c r="BI524" s="4">
        <v>0</v>
      </c>
      <c r="BJ524" s="159">
        <v>0</v>
      </c>
      <c r="BK524" s="158">
        <v>22.5</v>
      </c>
      <c r="BL524" s="158">
        <v>33.799999999999997</v>
      </c>
      <c r="BM524" s="158">
        <v>35</v>
      </c>
      <c r="BN524" s="158">
        <v>37.5</v>
      </c>
      <c r="BO524" s="158">
        <v>50</v>
      </c>
      <c r="BP524" s="158">
        <v>50</v>
      </c>
      <c r="BR524" s="4"/>
    </row>
    <row r="525" spans="1:147" hidden="1">
      <c r="A525" s="4"/>
      <c r="B525" s="4"/>
      <c r="C525" s="1386" t="s">
        <v>155</v>
      </c>
      <c r="D525" s="1387"/>
      <c r="E525" s="736" t="s">
        <v>2037</v>
      </c>
      <c r="F525" s="735" t="s">
        <v>2038</v>
      </c>
      <c r="G525" s="728"/>
      <c r="H525" s="728"/>
      <c r="I525" s="728"/>
      <c r="J525" s="728"/>
      <c r="K525" s="728"/>
      <c r="L525" s="728"/>
      <c r="M525" s="728"/>
      <c r="N525" s="728"/>
      <c r="O525" s="728"/>
      <c r="P525" s="728"/>
      <c r="Q525" s="728"/>
      <c r="R525" s="728"/>
      <c r="S525" s="728"/>
      <c r="T525" s="728"/>
      <c r="U525" s="728"/>
      <c r="V525" s="728"/>
      <c r="W525" s="728"/>
      <c r="X525" s="728"/>
      <c r="Y525" s="728"/>
      <c r="Z525" s="728"/>
      <c r="AA525" s="728"/>
      <c r="AB525" s="728"/>
      <c r="AC525" s="738"/>
      <c r="AD525" s="691"/>
      <c r="AE525" s="691"/>
      <c r="AF525" s="691"/>
      <c r="AG525" s="739"/>
      <c r="AH525" s="739"/>
      <c r="AI525" s="739"/>
      <c r="AJ525" s="739"/>
      <c r="AK525" s="715"/>
      <c r="AL525" s="4"/>
      <c r="AM525" s="4"/>
      <c r="AP525" s="1091"/>
      <c r="AQ525" s="1184"/>
      <c r="AR525" s="977"/>
      <c r="AS525" s="157">
        <v>40</v>
      </c>
      <c r="AT525" s="4">
        <v>0</v>
      </c>
      <c r="AU525" s="158">
        <v>10</v>
      </c>
      <c r="AV525" s="158">
        <v>20</v>
      </c>
      <c r="AW525" s="158">
        <v>30</v>
      </c>
      <c r="AX525" s="158">
        <v>35</v>
      </c>
      <c r="AY525" s="158">
        <v>37.5</v>
      </c>
      <c r="AZ525" s="158">
        <v>50</v>
      </c>
      <c r="BA525" s="158">
        <v>50</v>
      </c>
      <c r="BE525" s="1091"/>
      <c r="BF525" s="1431"/>
      <c r="BG525" s="977"/>
      <c r="BH525" s="157">
        <v>40</v>
      </c>
      <c r="BI525" s="4">
        <v>0</v>
      </c>
      <c r="BJ525" s="159">
        <v>0</v>
      </c>
      <c r="BK525" s="158">
        <v>20</v>
      </c>
      <c r="BL525" s="158">
        <v>30</v>
      </c>
      <c r="BM525" s="158">
        <v>35</v>
      </c>
      <c r="BN525" s="158">
        <v>37.5</v>
      </c>
      <c r="BO525" s="158">
        <v>50</v>
      </c>
      <c r="BP525" s="158">
        <v>50</v>
      </c>
      <c r="BR525" s="4"/>
    </row>
    <row r="526" spans="1:147" hidden="1">
      <c r="A526" s="4"/>
      <c r="B526" s="4"/>
      <c r="C526" s="720"/>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99"/>
      <c r="AL526" s="4"/>
      <c r="AM526" s="4"/>
      <c r="AP526" s="1091"/>
      <c r="AQ526" s="1184"/>
      <c r="AR526" s="977"/>
      <c r="AS526" s="157">
        <v>35</v>
      </c>
      <c r="AT526" s="4">
        <v>0</v>
      </c>
      <c r="AU526" s="158">
        <v>8.8000000000000007</v>
      </c>
      <c r="AV526" s="158">
        <v>17.5</v>
      </c>
      <c r="AW526" s="158">
        <v>26.3</v>
      </c>
      <c r="AX526" s="158">
        <v>35</v>
      </c>
      <c r="AY526" s="158">
        <v>37.5</v>
      </c>
      <c r="AZ526" s="158">
        <v>50</v>
      </c>
      <c r="BA526" s="158">
        <v>50</v>
      </c>
      <c r="BE526" s="1091"/>
      <c r="BF526" s="1431"/>
      <c r="BG526" s="977"/>
      <c r="BH526" s="157">
        <v>35</v>
      </c>
      <c r="BI526" s="4">
        <v>0</v>
      </c>
      <c r="BJ526" s="159">
        <v>0</v>
      </c>
      <c r="BK526" s="158">
        <v>17.5</v>
      </c>
      <c r="BL526" s="158">
        <v>26.3</v>
      </c>
      <c r="BM526" s="158">
        <v>35</v>
      </c>
      <c r="BN526" s="158">
        <v>37.5</v>
      </c>
      <c r="BO526" s="158">
        <v>50</v>
      </c>
      <c r="BP526" s="158">
        <v>50</v>
      </c>
    </row>
    <row r="527" spans="1:147" hidden="1">
      <c r="A527" s="4"/>
      <c r="B527" s="4"/>
      <c r="C527" s="1456"/>
      <c r="D527" s="1184"/>
      <c r="E527" s="187"/>
      <c r="F527" s="19" t="s">
        <v>2039</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2011</v>
      </c>
      <c r="AI527" s="19"/>
      <c r="AJ527" s="102"/>
      <c r="AK527" s="699"/>
      <c r="AL527" s="4"/>
      <c r="AM527" s="4"/>
      <c r="AP527" s="1091"/>
      <c r="AQ527" s="1184"/>
      <c r="AR527" s="977"/>
      <c r="AS527" s="157">
        <v>30</v>
      </c>
      <c r="AT527" s="4">
        <v>0</v>
      </c>
      <c r="AU527" s="158">
        <v>7.5</v>
      </c>
      <c r="AV527" s="158">
        <v>15</v>
      </c>
      <c r="AW527" s="158">
        <v>22.5</v>
      </c>
      <c r="AX527" s="158">
        <v>30</v>
      </c>
      <c r="AY527" s="158">
        <v>37.5</v>
      </c>
      <c r="AZ527" s="158">
        <v>45</v>
      </c>
      <c r="BA527" s="158">
        <v>50</v>
      </c>
      <c r="BE527" s="1091"/>
      <c r="BF527" s="1431"/>
      <c r="BG527" s="977"/>
      <c r="BH527" s="157">
        <v>30</v>
      </c>
      <c r="BI527" s="4">
        <v>0</v>
      </c>
      <c r="BJ527" s="159">
        <v>0</v>
      </c>
      <c r="BK527" s="158">
        <v>15</v>
      </c>
      <c r="BL527" s="158">
        <v>22.5</v>
      </c>
      <c r="BM527" s="158">
        <v>30</v>
      </c>
      <c r="BN527" s="158">
        <v>37.5</v>
      </c>
      <c r="BO527" s="158">
        <v>45</v>
      </c>
      <c r="BP527" s="158">
        <v>50</v>
      </c>
      <c r="BR527" s="4"/>
    </row>
    <row r="528" spans="1:147" hidden="1">
      <c r="A528" s="4"/>
      <c r="B528" s="4"/>
      <c r="C528" s="720"/>
      <c r="D528" s="4"/>
      <c r="E528" s="141"/>
      <c r="F528" s="19"/>
      <c r="G528" s="1518" t="s">
        <v>155</v>
      </c>
      <c r="H528" s="1038"/>
      <c r="I528" s="1038"/>
      <c r="J528" s="1038"/>
      <c r="K528" s="1038"/>
      <c r="L528" s="1038"/>
      <c r="M528" s="1038"/>
      <c r="N528" s="1038"/>
      <c r="O528" s="1038"/>
      <c r="P528" s="1038"/>
      <c r="Q528" s="1038"/>
      <c r="R528" s="1038"/>
      <c r="S528" s="1038"/>
      <c r="T528" s="1038"/>
      <c r="U528" s="1038"/>
      <c r="V528" s="1038"/>
      <c r="W528" s="1038"/>
      <c r="X528" s="1038"/>
      <c r="Y528" s="1038"/>
      <c r="Z528" s="1038"/>
      <c r="AA528" s="1038"/>
      <c r="AB528" s="1038"/>
      <c r="AC528" s="1038"/>
      <c r="AD528" s="1038"/>
      <c r="AE528" s="1038"/>
      <c r="AF528" s="1038"/>
      <c r="AG528" s="4"/>
      <c r="AH528" s="4"/>
      <c r="AI528" s="4"/>
      <c r="AJ528" s="19"/>
      <c r="AK528" s="699"/>
      <c r="AL528" s="4"/>
      <c r="AM528" s="4"/>
      <c r="AP528" s="1091"/>
      <c r="AQ528" s="1184"/>
      <c r="AR528" s="977"/>
      <c r="AS528" s="157">
        <v>25</v>
      </c>
      <c r="AT528" s="4">
        <v>0</v>
      </c>
      <c r="AU528" s="158">
        <v>6.3</v>
      </c>
      <c r="AV528" s="158">
        <v>12.5</v>
      </c>
      <c r="AW528" s="158">
        <v>18.8</v>
      </c>
      <c r="AX528" s="158">
        <v>25</v>
      </c>
      <c r="AY528" s="158">
        <v>31.3</v>
      </c>
      <c r="AZ528" s="158">
        <v>37.5</v>
      </c>
      <c r="BA528" s="158">
        <v>50</v>
      </c>
      <c r="BE528" s="1091"/>
      <c r="BF528" s="1431"/>
      <c r="BG528" s="977"/>
      <c r="BH528" s="157">
        <v>25</v>
      </c>
      <c r="BI528" s="4">
        <v>0</v>
      </c>
      <c r="BJ528" s="159">
        <v>0</v>
      </c>
      <c r="BK528" s="158">
        <v>12.5</v>
      </c>
      <c r="BL528" s="158">
        <v>18.8</v>
      </c>
      <c r="BM528" s="158">
        <v>25</v>
      </c>
      <c r="BN528" s="158">
        <v>31.3</v>
      </c>
      <c r="BO528" s="158">
        <v>37.5</v>
      </c>
      <c r="BP528" s="158">
        <v>50</v>
      </c>
      <c r="BR528" s="4"/>
    </row>
    <row r="529" spans="1:101" hidden="1">
      <c r="A529" s="4"/>
      <c r="B529" s="4"/>
      <c r="C529" s="698"/>
      <c r="AD529" s="4"/>
      <c r="AE529" s="4"/>
      <c r="AF529" s="4"/>
      <c r="AK529" s="699"/>
      <c r="AL529" s="4"/>
      <c r="AM529" s="4"/>
      <c r="AP529" s="1091"/>
      <c r="AQ529" s="1184"/>
      <c r="AR529" s="977"/>
      <c r="AS529" s="157">
        <v>20</v>
      </c>
      <c r="AT529" s="4">
        <v>0</v>
      </c>
      <c r="AU529" s="158">
        <v>5</v>
      </c>
      <c r="AV529" s="158">
        <v>10</v>
      </c>
      <c r="AW529" s="158">
        <v>15</v>
      </c>
      <c r="AX529" s="158">
        <v>20</v>
      </c>
      <c r="AY529" s="158">
        <v>25</v>
      </c>
      <c r="AZ529" s="158">
        <v>30</v>
      </c>
      <c r="BA529" s="158">
        <v>40</v>
      </c>
      <c r="BE529" s="1091"/>
      <c r="BF529" s="1431"/>
      <c r="BG529" s="977"/>
      <c r="BH529" s="157">
        <v>20</v>
      </c>
      <c r="BI529" s="4">
        <v>0</v>
      </c>
      <c r="BJ529" s="159">
        <v>0</v>
      </c>
      <c r="BK529" s="158">
        <v>10</v>
      </c>
      <c r="BL529" s="158">
        <v>15</v>
      </c>
      <c r="BM529" s="158">
        <v>20</v>
      </c>
      <c r="BN529" s="158">
        <v>25</v>
      </c>
      <c r="BO529" s="158">
        <v>30</v>
      </c>
      <c r="BP529" s="158">
        <v>40</v>
      </c>
      <c r="BR529" s="4"/>
    </row>
    <row r="530" spans="1:101" ht="12.75" hidden="1" customHeight="1">
      <c r="B530" s="4"/>
      <c r="C530" s="1473" t="s">
        <v>155</v>
      </c>
      <c r="D530" s="1038"/>
      <c r="F530" s="19" t="s">
        <v>2040</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2011</v>
      </c>
      <c r="AI530" s="19"/>
      <c r="AJ530" s="106"/>
      <c r="AK530" s="699"/>
      <c r="AL530" s="4"/>
      <c r="AM530" s="4"/>
      <c r="AP530" s="1091"/>
      <c r="AQ530" s="1184"/>
      <c r="AR530" s="977"/>
      <c r="AS530" s="157">
        <v>15</v>
      </c>
      <c r="AT530" s="4">
        <v>0</v>
      </c>
      <c r="AU530" s="158">
        <v>3.8</v>
      </c>
      <c r="AV530" s="158">
        <v>7.5</v>
      </c>
      <c r="AW530" s="158">
        <v>11.3</v>
      </c>
      <c r="AX530" s="158">
        <v>15</v>
      </c>
      <c r="AY530" s="158">
        <v>18.8</v>
      </c>
      <c r="AZ530" s="158">
        <v>22.5</v>
      </c>
      <c r="BA530" s="158">
        <v>30</v>
      </c>
      <c r="BE530" s="1091"/>
      <c r="BF530" s="1431"/>
      <c r="BG530" s="977"/>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row>
    <row r="531" spans="1:101" hidden="1">
      <c r="B531" s="4"/>
      <c r="C531" s="732"/>
      <c r="D531" s="1"/>
      <c r="E531" s="1"/>
      <c r="F531" s="19"/>
      <c r="G531" s="19" t="s">
        <v>2041</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699"/>
      <c r="AL531" s="4"/>
      <c r="AM531" s="4"/>
      <c r="AN531" s="279"/>
      <c r="AP531" s="1092"/>
      <c r="AQ531" s="1093"/>
      <c r="AR531" s="1094"/>
      <c r="AS531" s="157">
        <v>10</v>
      </c>
      <c r="AT531" s="4">
        <v>0</v>
      </c>
      <c r="AU531" s="158">
        <v>2.5</v>
      </c>
      <c r="AV531" s="158">
        <v>5</v>
      </c>
      <c r="AW531" s="158">
        <v>7.5</v>
      </c>
      <c r="AX531" s="158">
        <v>10</v>
      </c>
      <c r="AY531" s="158">
        <v>12.5</v>
      </c>
      <c r="AZ531" s="158">
        <v>15</v>
      </c>
      <c r="BA531" s="158">
        <v>20</v>
      </c>
      <c r="BE531" s="1092"/>
      <c r="BF531" s="1093"/>
      <c r="BG531" s="1094"/>
      <c r="BH531" s="157">
        <v>10</v>
      </c>
      <c r="BI531" s="4">
        <v>0</v>
      </c>
      <c r="BJ531" s="159">
        <v>0</v>
      </c>
      <c r="BK531" s="158">
        <v>5</v>
      </c>
      <c r="BL531" s="158">
        <v>7.5</v>
      </c>
      <c r="BM531" s="158">
        <v>10</v>
      </c>
      <c r="BN531" s="158">
        <v>12.5</v>
      </c>
      <c r="BO531" s="158">
        <v>15</v>
      </c>
      <c r="BP531" s="158">
        <v>20</v>
      </c>
      <c r="BR531" s="4"/>
      <c r="CW531" s="4"/>
    </row>
    <row r="532" spans="1:101" s="4" customFormat="1" ht="12.75" hidden="1" customHeight="1">
      <c r="A532" s="21"/>
      <c r="C532" s="732"/>
      <c r="D532" s="1"/>
      <c r="E532" s="1"/>
      <c r="F532" s="19"/>
      <c r="G532" s="19" t="s">
        <v>2042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699"/>
      <c r="AN532" s="664"/>
      <c r="AP532" s="5"/>
      <c r="AQ532" s="5"/>
      <c r="AR532" s="5"/>
    </row>
    <row r="533" spans="1:101" s="4" customFormat="1" ht="12.75" hidden="1" customHeight="1">
      <c r="A533" s="35"/>
      <c r="B533" s="21"/>
      <c r="C533" s="740"/>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2"/>
      <c r="AL533" s="21"/>
      <c r="AM533" s="21"/>
      <c r="AN533" s="664"/>
      <c r="AO533" s="5"/>
      <c r="AP533" s="5"/>
      <c r="AQ533" s="5"/>
      <c r="AR533" s="5"/>
    </row>
    <row r="534" spans="1:101" s="4" customFormat="1" ht="12.75" hidden="1" customHeight="1">
      <c r="A534" s="35"/>
      <c r="C534" s="1473" t="s">
        <v>155</v>
      </c>
      <c r="D534" s="1038"/>
      <c r="F534" s="493" t="s">
        <v>2043</v>
      </c>
      <c r="G534" s="1453" t="s">
        <v>2044</v>
      </c>
      <c r="H534" s="1376"/>
      <c r="I534" s="1376"/>
      <c r="J534" s="1376"/>
      <c r="K534" s="1376"/>
      <c r="L534" s="1376"/>
      <c r="M534" s="1376"/>
      <c r="N534" s="1376"/>
      <c r="O534" s="1376"/>
      <c r="P534" s="1376"/>
      <c r="Q534" s="1376"/>
      <c r="R534" s="1376"/>
      <c r="S534" s="1376"/>
      <c r="T534" s="1376"/>
      <c r="U534" s="1376"/>
      <c r="V534" s="1376"/>
      <c r="W534" s="1376"/>
      <c r="X534" s="1376"/>
      <c r="Y534" s="1376"/>
      <c r="Z534" s="1376"/>
      <c r="AA534" s="1376"/>
      <c r="AB534" s="1376"/>
      <c r="AC534" s="1376"/>
      <c r="AD534" s="1376"/>
      <c r="AE534" s="1376"/>
      <c r="AF534" s="1376"/>
      <c r="AG534" s="102">
        <f>IF(AND($C$534="Yes",$C$525="Yes"),2,0)</f>
        <v>0</v>
      </c>
      <c r="AH534" s="126" t="s">
        <v>2011</v>
      </c>
      <c r="AI534" s="19"/>
      <c r="AJ534" s="106"/>
      <c r="AK534" s="699"/>
      <c r="AN534" s="664"/>
      <c r="AP534" s="92"/>
      <c r="AQ534" s="93"/>
      <c r="AR534" s="93"/>
      <c r="AS534" s="93"/>
      <c r="AT534" s="93"/>
      <c r="AU534" s="93"/>
      <c r="AV534" s="93"/>
      <c r="AW534" s="93"/>
      <c r="AX534" s="93"/>
      <c r="AY534" s="93"/>
      <c r="AZ534" s="166"/>
      <c r="BA534" s="93"/>
      <c r="BB534" s="93"/>
      <c r="BC534" s="59" t="s">
        <v>2045</v>
      </c>
      <c r="BD534" s="1430">
        <f>BJ538</f>
        <v>38</v>
      </c>
      <c r="BE534" s="973"/>
      <c r="BF534" s="166" t="s">
        <v>2046</v>
      </c>
      <c r="BG534" s="93"/>
      <c r="BH534" s="93"/>
      <c r="BI534" s="93"/>
      <c r="BJ534" s="93"/>
      <c r="BK534" s="167"/>
      <c r="BN534" s="156" t="s">
        <v>2047</v>
      </c>
      <c r="BP534" s="156"/>
      <c r="BQ534" s="156"/>
      <c r="BR534" s="156"/>
      <c r="BS534" s="156"/>
      <c r="BT534" s="156"/>
      <c r="BU534" s="156"/>
      <c r="CF534" s="62" t="s">
        <v>2048</v>
      </c>
    </row>
    <row r="535" spans="1:101" s="4" customFormat="1" ht="12.75" hidden="1" customHeight="1">
      <c r="C535" s="741"/>
      <c r="D535" s="708"/>
      <c r="E535" s="722"/>
      <c r="F535" s="697"/>
      <c r="G535" s="1454"/>
      <c r="H535" s="1454"/>
      <c r="I535" s="1454"/>
      <c r="J535" s="1454"/>
      <c r="K535" s="1454"/>
      <c r="L535" s="1454"/>
      <c r="M535" s="1454"/>
      <c r="N535" s="1454"/>
      <c r="O535" s="1454"/>
      <c r="P535" s="1454"/>
      <c r="Q535" s="1454"/>
      <c r="R535" s="1454"/>
      <c r="S535" s="1454"/>
      <c r="T535" s="1454"/>
      <c r="U535" s="1454"/>
      <c r="V535" s="1454"/>
      <c r="W535" s="1454"/>
      <c r="X535" s="1454"/>
      <c r="Y535" s="1454"/>
      <c r="Z535" s="1454"/>
      <c r="AA535" s="1454"/>
      <c r="AB535" s="1454"/>
      <c r="AC535" s="1454"/>
      <c r="AD535" s="1454"/>
      <c r="AE535" s="1454"/>
      <c r="AF535" s="1454"/>
      <c r="AG535" s="724"/>
      <c r="AH535" s="724"/>
      <c r="AI535" s="724"/>
      <c r="AJ535" s="724"/>
      <c r="AK535" s="709"/>
      <c r="AN535" s="664"/>
      <c r="AP535" s="92"/>
      <c r="AQ535" s="93"/>
      <c r="AR535" s="93"/>
      <c r="AS535" s="93"/>
      <c r="AT535" s="93"/>
      <c r="AU535" s="93"/>
      <c r="AV535" s="93"/>
      <c r="AW535" s="93"/>
      <c r="AX535" s="93"/>
      <c r="AY535" s="93"/>
      <c r="AZ535" s="166"/>
      <c r="BA535" s="93"/>
      <c r="BB535" s="93"/>
      <c r="BC535" s="59" t="s">
        <v>2049</v>
      </c>
      <c r="BD535" s="1430">
        <f>SUM(E591:J599)</f>
        <v>38</v>
      </c>
      <c r="BE535" s="973"/>
      <c r="BF535" s="166" t="s">
        <v>2046</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168</v>
      </c>
      <c r="CD535" s="418"/>
      <c r="CE535" s="419" t="s">
        <v>168</v>
      </c>
      <c r="CF535" s="418"/>
    </row>
    <row r="536" spans="1:101"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4"/>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2050</v>
      </c>
      <c r="BJ536" s="1425">
        <v>0</v>
      </c>
      <c r="BK536" s="974"/>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row>
    <row r="537" spans="1:101" s="4" customFormat="1" ht="12.75" hidden="1" customHeight="1">
      <c r="C537" s="744" t="s">
        <v>2051</v>
      </c>
      <c r="D537" s="691"/>
      <c r="E537" s="745"/>
      <c r="F537" s="746"/>
      <c r="G537" s="747"/>
      <c r="H537" s="747"/>
      <c r="I537" s="747"/>
      <c r="J537" s="747"/>
      <c r="K537" s="747"/>
      <c r="L537" s="747"/>
      <c r="M537" s="747"/>
      <c r="N537" s="747"/>
      <c r="O537" s="747"/>
      <c r="P537" s="747"/>
      <c r="Q537" s="747"/>
      <c r="R537" s="747"/>
      <c r="S537" s="747"/>
      <c r="T537" s="747"/>
      <c r="U537" s="747"/>
      <c r="V537" s="747"/>
      <c r="W537" s="747"/>
      <c r="X537" s="747"/>
      <c r="Y537" s="747"/>
      <c r="Z537" s="747"/>
      <c r="AA537" s="747"/>
      <c r="AB537" s="747"/>
      <c r="AC537" s="747"/>
      <c r="AD537" s="747"/>
      <c r="AE537" s="747"/>
      <c r="AF537" s="747"/>
      <c r="AG537" s="728"/>
      <c r="AH537" s="728"/>
      <c r="AI537" s="728"/>
      <c r="AJ537" s="728"/>
      <c r="AK537" s="715"/>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2052</v>
      </c>
      <c r="BJ537" s="1425">
        <f>Application!AG439</f>
        <v>0</v>
      </c>
      <c r="BK537" s="974"/>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row>
    <row r="538" spans="1:101" s="4" customFormat="1" ht="12.75" hidden="1" customHeight="1">
      <c r="C538" s="1377" t="s">
        <v>155</v>
      </c>
      <c r="D538" s="1060"/>
      <c r="E538" s="492" t="s">
        <v>2053</v>
      </c>
      <c r="F538" s="250" t="s">
        <v>2054</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2011</v>
      </c>
      <c r="AI538" s="19"/>
      <c r="AJ538" s="19"/>
      <c r="AK538" s="699"/>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2055</v>
      </c>
      <c r="BJ538" s="1425">
        <f>Application!AG441</f>
        <v>38</v>
      </c>
      <c r="BK538" s="974"/>
      <c r="BM538" s="1412"/>
      <c r="BN538" s="974"/>
      <c r="BO538" s="1412"/>
      <c r="BP538" s="974"/>
      <c r="BQ538" s="1410"/>
      <c r="BR538" s="974"/>
      <c r="BS538" s="1410"/>
      <c r="BT538" s="974"/>
      <c r="BU538" s="1412">
        <f>IF(T621&gt;0,1,0)</f>
        <v>0</v>
      </c>
      <c r="BV538" s="974"/>
      <c r="BW538" s="1412">
        <f>IF(Y621&gt;=0.1,1,0)</f>
        <v>0</v>
      </c>
      <c r="BX538" s="974"/>
      <c r="BY538" s="1410"/>
      <c r="BZ538" s="974"/>
      <c r="CA538" s="1410"/>
      <c r="CB538" s="974"/>
      <c r="CC538" s="1412"/>
      <c r="CD538" s="974"/>
      <c r="CE538" s="1412"/>
      <c r="CF538" s="974"/>
    </row>
    <row r="539" spans="1:101" s="4" customFormat="1" ht="12.75" hidden="1" customHeight="1">
      <c r="C539" s="693"/>
      <c r="E539" s="141"/>
      <c r="F539" s="1448" t="s">
        <v>155</v>
      </c>
      <c r="G539" s="1038"/>
      <c r="H539" s="1038"/>
      <c r="I539" s="1038"/>
      <c r="J539" s="1038"/>
      <c r="K539" s="1038"/>
      <c r="L539" s="1038"/>
      <c r="M539" s="1038"/>
      <c r="N539" s="1038"/>
      <c r="O539" s="1038"/>
      <c r="P539" s="1038"/>
      <c r="Q539" s="1038"/>
      <c r="R539" s="1038"/>
      <c r="S539" s="1038"/>
      <c r="T539" s="1038"/>
      <c r="U539" s="1038"/>
      <c r="V539" s="1038"/>
      <c r="W539" s="1038"/>
      <c r="X539" s="1038"/>
      <c r="Y539" s="1038"/>
      <c r="Z539" s="1038"/>
      <c r="AA539" s="1038"/>
      <c r="AB539" s="1038"/>
      <c r="AC539" s="1038"/>
      <c r="AD539" s="1038"/>
      <c r="AE539" s="1038"/>
      <c r="AF539" s="1038"/>
      <c r="AG539" s="19"/>
      <c r="AH539" s="19"/>
      <c r="AI539" s="19"/>
      <c r="AJ539" s="19"/>
      <c r="AK539" s="699"/>
      <c r="AN539" s="279"/>
      <c r="BM539" s="1412"/>
      <c r="BN539" s="974"/>
      <c r="BO539" s="1412"/>
      <c r="BP539" s="974"/>
      <c r="BQ539" s="1410"/>
      <c r="BR539" s="974"/>
      <c r="BS539" s="1410"/>
      <c r="BT539" s="974"/>
      <c r="BU539" s="1412"/>
      <c r="BV539" s="974"/>
      <c r="BW539" s="1412"/>
      <c r="BX539" s="974"/>
      <c r="BY539" s="1410">
        <f>IF(T622&gt;0,1,0)</f>
        <v>0</v>
      </c>
      <c r="BZ539" s="974"/>
      <c r="CA539" s="1410">
        <f>IF(Y622&gt;=0.1,1,0)</f>
        <v>0</v>
      </c>
      <c r="CB539" s="974"/>
      <c r="CC539" s="1412"/>
      <c r="CD539" s="974"/>
      <c r="CE539" s="1412"/>
      <c r="CF539" s="974"/>
    </row>
    <row r="540" spans="1:101" s="4" customFormat="1" ht="12.75" hidden="1" customHeight="1">
      <c r="C540" s="741"/>
      <c r="D540" s="708"/>
      <c r="E540" s="722"/>
      <c r="F540" s="1449"/>
      <c r="G540" s="1449"/>
      <c r="H540" s="1449"/>
      <c r="I540" s="1449"/>
      <c r="J540" s="1449"/>
      <c r="K540" s="1449"/>
      <c r="L540" s="1449"/>
      <c r="M540" s="1449"/>
      <c r="N540" s="1449"/>
      <c r="O540" s="1449"/>
      <c r="P540" s="1449"/>
      <c r="Q540" s="1449"/>
      <c r="R540" s="1449"/>
      <c r="S540" s="1449"/>
      <c r="T540" s="1449"/>
      <c r="U540" s="1449"/>
      <c r="V540" s="1449"/>
      <c r="W540" s="1449"/>
      <c r="X540" s="1449"/>
      <c r="Y540" s="1449"/>
      <c r="Z540" s="1449"/>
      <c r="AA540" s="1449"/>
      <c r="AB540" s="1449"/>
      <c r="AC540" s="1449"/>
      <c r="AD540" s="1449"/>
      <c r="AE540" s="1449"/>
      <c r="AF540" s="1449"/>
      <c r="AG540" s="724"/>
      <c r="AH540" s="724"/>
      <c r="AI540" s="724"/>
      <c r="AJ540" s="724"/>
      <c r="AK540" s="709"/>
      <c r="AN540" s="279"/>
      <c r="BM540" s="1412"/>
      <c r="BN540" s="974"/>
      <c r="BO540" s="1412"/>
      <c r="BP540" s="974"/>
      <c r="BQ540" s="1410"/>
      <c r="BR540" s="974"/>
      <c r="BS540" s="1410"/>
      <c r="BT540" s="974"/>
      <c r="BU540" s="1412"/>
      <c r="BV540" s="974"/>
      <c r="BW540" s="1412"/>
      <c r="BX540" s="974"/>
      <c r="BY540" s="1410"/>
      <c r="BZ540" s="974"/>
      <c r="CA540" s="1410"/>
      <c r="CB540" s="974"/>
      <c r="CC540" s="1412">
        <f>IF(T623&gt;0,1,0)</f>
        <v>1</v>
      </c>
      <c r="CD540" s="974"/>
      <c r="CE540" s="1412">
        <f>IF(Y623&gt;=0.1,1,0)</f>
        <v>1</v>
      </c>
      <c r="CF540" s="974"/>
    </row>
    <row r="541" spans="1:101"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412">
        <f>SUM(BM536:BN540)</f>
        <v>0</v>
      </c>
      <c r="BN541" s="974"/>
      <c r="BO541" s="1412">
        <f>SUM(BO536:BP540)</f>
        <v>0</v>
      </c>
      <c r="BP541" s="974"/>
      <c r="BQ541" s="1412">
        <f>SUM(BQ536:BR540)</f>
        <v>0</v>
      </c>
      <c r="BR541" s="974"/>
      <c r="BS541" s="1412">
        <f>SUM(BS536:BT540)</f>
        <v>0</v>
      </c>
      <c r="BT541" s="974"/>
      <c r="BU541" s="1412">
        <f>SUM(BU536:BV540)</f>
        <v>0</v>
      </c>
      <c r="BV541" s="974"/>
      <c r="BW541" s="1412">
        <f>SUM(BW536:BX540)</f>
        <v>0</v>
      </c>
      <c r="BX541" s="974"/>
      <c r="BY541" s="1412">
        <f>SUM(BY536:BZ540)</f>
        <v>0</v>
      </c>
      <c r="BZ541" s="974"/>
      <c r="CA541" s="1412">
        <f>SUM(CA536:CB540)</f>
        <v>0</v>
      </c>
      <c r="CB541" s="974"/>
      <c r="CC541" s="1412">
        <f>SUM(CC536:CD540)</f>
        <v>1</v>
      </c>
      <c r="CD541" s="974"/>
      <c r="CE541" s="1412">
        <f>SUM(CE536:CF540)</f>
        <v>1</v>
      </c>
      <c r="CF541" s="974"/>
    </row>
    <row r="542" spans="1:101" s="4" customFormat="1" ht="12.75" hidden="1" customHeight="1">
      <c r="A542" s="35"/>
      <c r="B542" s="4" t="s">
        <v>2056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446" t="s">
        <v>2057</v>
      </c>
      <c r="AQ542" s="973"/>
      <c r="AR542" s="973"/>
      <c r="AS542" s="973"/>
      <c r="AT542" s="974"/>
      <c r="AU542" s="1446" t="s">
        <v>2058</v>
      </c>
      <c r="AV542" s="973"/>
      <c r="AW542" s="973"/>
      <c r="AX542" s="973"/>
      <c r="AY542" s="974"/>
      <c r="BM542" s="1410">
        <f>SUM(BM541:BP541)</f>
        <v>0</v>
      </c>
      <c r="BN542" s="973"/>
      <c r="BO542" s="973"/>
      <c r="BP542" s="974"/>
      <c r="BQ542" s="1410">
        <f>SUM(BQ541:BT541)</f>
        <v>0</v>
      </c>
      <c r="BR542" s="973"/>
      <c r="BS542" s="973"/>
      <c r="BT542" s="974"/>
      <c r="BU542" s="1410">
        <f>SUM(BU541:BX541)</f>
        <v>0</v>
      </c>
      <c r="BV542" s="973"/>
      <c r="BW542" s="973"/>
      <c r="BX542" s="974"/>
      <c r="BY542" s="1410">
        <f>SUM(BY541:CB541)</f>
        <v>0</v>
      </c>
      <c r="BZ542" s="973"/>
      <c r="CA542" s="973"/>
      <c r="CB542" s="974"/>
      <c r="CC542" s="1410">
        <f>SUM(CC541:CF541)</f>
        <v>2</v>
      </c>
      <c r="CD542" s="973"/>
      <c r="CE542" s="973"/>
      <c r="CF542" s="974"/>
    </row>
    <row r="543" spans="1:101" s="4" customFormat="1" ht="12.75" hidden="1" customHeight="1">
      <c r="A543" s="35"/>
      <c r="B543" s="4" t="s">
        <v>2059</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393">
        <f>RANK(T619,$T$619:$X$623,0)+COUNTIF($T$619:$X$623,T619)-1</f>
        <v>5</v>
      </c>
      <c r="AQ543" s="973"/>
      <c r="AR543" s="973"/>
      <c r="AS543" s="973"/>
      <c r="AT543" s="974"/>
      <c r="AU543" s="1393">
        <f>RANK(Y619,$Y$619:$AC$623,0)+COUNTIF($Y$619:$AC$623,Y619)-1</f>
        <v>5</v>
      </c>
      <c r="AV543" s="973"/>
      <c r="AW543" s="973"/>
      <c r="AX543" s="973"/>
      <c r="AY543" s="974"/>
      <c r="BM543" s="1410"/>
      <c r="BN543" s="973"/>
      <c r="BO543" s="973"/>
      <c r="BP543" s="974"/>
      <c r="BQ543" s="1410">
        <f>IF(AND(BQ542=2,BM542=1),1,0)</f>
        <v>0</v>
      </c>
      <c r="BR543" s="973"/>
      <c r="BS543" s="973"/>
      <c r="BT543" s="974"/>
      <c r="BU543" s="1410">
        <f>IF(AND(BU542=2,BQ542=1),1,0)</f>
        <v>0</v>
      </c>
      <c r="BV543" s="973"/>
      <c r="BW543" s="973"/>
      <c r="BX543" s="974"/>
      <c r="BY543" s="1410">
        <f>IF(AND(BY542=2,BU542=1),1,0)</f>
        <v>0</v>
      </c>
      <c r="BZ543" s="973"/>
      <c r="CA543" s="973"/>
      <c r="CB543" s="974"/>
      <c r="CC543" s="1410">
        <f>IF(AND(CC542=2,BU542=1),1,0)</f>
        <v>0</v>
      </c>
      <c r="CD543" s="973"/>
      <c r="CE543" s="973"/>
      <c r="CF543" s="974"/>
    </row>
    <row r="544" spans="1:101" s="4" customFormat="1" ht="12.75" hidden="1" customHeight="1">
      <c r="A544" s="35"/>
      <c r="B544" s="4" t="s">
        <v>2060</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393">
        <f>RANK(T620,$T$619:$X$623,0)+COUNTIF($T$619:$X$623,T620)-1</f>
        <v>5</v>
      </c>
      <c r="AQ544" s="973"/>
      <c r="AR544" s="973"/>
      <c r="AS544" s="973"/>
      <c r="AT544" s="974"/>
      <c r="AU544" s="1393">
        <f>RANK(Y620,$Y$619:$AC$623,0)+COUNTIF($Y$619:$AC$623,Y620)-1</f>
        <v>5</v>
      </c>
      <c r="AV544" s="973"/>
      <c r="AW544" s="973"/>
      <c r="AX544" s="973"/>
      <c r="AY544" s="974"/>
      <c r="BM544" s="1410"/>
      <c r="BN544" s="973"/>
      <c r="BO544" s="973"/>
      <c r="BP544" s="974"/>
      <c r="BQ544" s="1410"/>
      <c r="BR544" s="973"/>
      <c r="BS544" s="973"/>
      <c r="BT544" s="974"/>
      <c r="BU544" s="1410">
        <f>IF(AND(BU542=2,BM542=1),1,0)</f>
        <v>0</v>
      </c>
      <c r="BV544" s="973"/>
      <c r="BW544" s="973"/>
      <c r="BX544" s="974"/>
      <c r="BY544" s="1410">
        <f>IF(AND(BY542=2,BQ542=1),1,0)</f>
        <v>0</v>
      </c>
      <c r="BZ544" s="973"/>
      <c r="CA544" s="973"/>
      <c r="CB544" s="974"/>
      <c r="CC544" s="1410">
        <f>IF(AND(CC543=2,BY543=1),1,0)</f>
        <v>0</v>
      </c>
      <c r="CD544" s="973"/>
      <c r="CE544" s="973"/>
      <c r="CF544" s="974"/>
    </row>
    <row r="545" spans="1:89" s="4" customFormat="1" ht="12.75" hidden="1" customHeight="1">
      <c r="A545" s="35"/>
      <c r="B545" s="4" t="s">
        <v>2061</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393">
        <f>RANK(T621,$T$619:$X$623,0)+COUNTIF($T$619:$X$623,T621)-1</f>
        <v>5</v>
      </c>
      <c r="AQ545" s="973"/>
      <c r="AR545" s="973"/>
      <c r="AS545" s="973"/>
      <c r="AT545" s="974"/>
      <c r="AU545" s="1393">
        <f>RANK(Y621,$Y$619:$AC$623,0)+COUNTIF($Y$619:$AC$623,Y621)-1</f>
        <v>5</v>
      </c>
      <c r="AV545" s="973"/>
      <c r="AW545" s="973"/>
      <c r="AX545" s="973"/>
      <c r="AY545" s="974"/>
      <c r="BM545" s="1410"/>
      <c r="BN545" s="973"/>
      <c r="BO545" s="973"/>
      <c r="BP545" s="974"/>
      <c r="BQ545" s="1410"/>
      <c r="BR545" s="973"/>
      <c r="BS545" s="973"/>
      <c r="BT545" s="974"/>
      <c r="BU545" s="1410"/>
      <c r="BV545" s="973"/>
      <c r="BW545" s="973"/>
      <c r="BX545" s="974"/>
      <c r="BY545" s="1410">
        <f>IF(AND(BY542=2,BM542=1),1,0)</f>
        <v>0</v>
      </c>
      <c r="BZ545" s="973"/>
      <c r="CA545" s="973"/>
      <c r="CB545" s="974"/>
      <c r="CC545" s="1410">
        <f>IF(AND(CC542=2,BQ542=1),1,0)</f>
        <v>0</v>
      </c>
      <c r="CD545" s="973"/>
      <c r="CE545" s="973"/>
      <c r="CF545" s="974"/>
    </row>
    <row r="546" spans="1:89" s="4" customFormat="1" ht="12.75" hidden="1" customHeight="1">
      <c r="A546" s="35"/>
      <c r="B546" s="4" t="s">
        <v>2062</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393">
        <f>RANK(T622,$T$619:$X$623,0)+COUNTIF($T$619:$X$623,T622)-1</f>
        <v>5</v>
      </c>
      <c r="AQ546" s="973"/>
      <c r="AR546" s="973"/>
      <c r="AS546" s="973"/>
      <c r="AT546" s="974"/>
      <c r="AU546" s="1393">
        <f>RANK(Y622,$Y$619:$AC$623,0)+COUNTIF($Y$619:$AC$623,Y622)-1</f>
        <v>5</v>
      </c>
      <c r="AV546" s="973"/>
      <c r="AW546" s="973"/>
      <c r="AX546" s="973"/>
      <c r="AY546" s="974"/>
      <c r="BM546" s="1410"/>
      <c r="BN546" s="973"/>
      <c r="BO546" s="973"/>
      <c r="BP546" s="974"/>
      <c r="BQ546" s="1410"/>
      <c r="BR546" s="973"/>
      <c r="BS546" s="973"/>
      <c r="BT546" s="974"/>
      <c r="BU546" s="1410"/>
      <c r="BV546" s="973"/>
      <c r="BW546" s="973"/>
      <c r="BX546" s="974"/>
      <c r="BY546" s="1410"/>
      <c r="BZ546" s="973"/>
      <c r="CA546" s="973"/>
      <c r="CB546" s="974"/>
      <c r="CC546" s="1410">
        <f>IF(AND(CC542=2,BM542=1),1,0)</f>
        <v>0</v>
      </c>
      <c r="CD546" s="973"/>
      <c r="CE546" s="973"/>
      <c r="CF546" s="974"/>
    </row>
    <row r="547" spans="1:89" s="4" customFormat="1" ht="12.75" hidden="1" customHeight="1">
      <c r="A547" s="35"/>
      <c r="B547" s="4" t="s">
        <v>2063</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393">
        <f>RANK(T623,$T$619:$X$623,0)+COUNTIF($T$619:$X$623,T623)-1</f>
        <v>1</v>
      </c>
      <c r="AQ547" s="973"/>
      <c r="AR547" s="973"/>
      <c r="AS547" s="973"/>
      <c r="AT547" s="974"/>
      <c r="AU547" s="1393">
        <f>RANK(Y623,$Y$619:$AC$623,0)+COUNTIF($Y$619:$AC$623,Y623)-1</f>
        <v>1</v>
      </c>
      <c r="AV547" s="973"/>
      <c r="AW547" s="973"/>
      <c r="AX547" s="973"/>
      <c r="AY547" s="974"/>
      <c r="BM547" s="1410">
        <f>SUM(BM543:BP546)</f>
        <v>0</v>
      </c>
      <c r="BN547" s="973"/>
      <c r="BO547" s="973"/>
      <c r="BP547" s="974"/>
      <c r="BQ547" s="1410">
        <f>SUM(BQ543:BT546)</f>
        <v>0</v>
      </c>
      <c r="BR547" s="973"/>
      <c r="BS547" s="973"/>
      <c r="BT547" s="974"/>
      <c r="BU547" s="1410">
        <f>SUM(BU543:BX546)</f>
        <v>0</v>
      </c>
      <c r="BV547" s="973"/>
      <c r="BW547" s="973"/>
      <c r="BX547" s="974"/>
      <c r="BY547" s="1410">
        <f>SUM(BY543:CB546)</f>
        <v>0</v>
      </c>
      <c r="BZ547" s="973"/>
      <c r="CA547" s="973"/>
      <c r="CB547" s="974"/>
      <c r="CC547" s="1410">
        <f>SUM(CC543:CF546)</f>
        <v>0</v>
      </c>
      <c r="CD547" s="973"/>
      <c r="CE547" s="973"/>
      <c r="CF547" s="974"/>
      <c r="CG547" s="1410">
        <f>SUM(BM547:CF547)</f>
        <v>0</v>
      </c>
      <c r="CH547" s="973"/>
      <c r="CI547" s="973"/>
      <c r="CJ547" s="974"/>
    </row>
    <row r="548" spans="1:89" s="4" customFormat="1" ht="12.75" hidden="1" customHeight="1">
      <c r="A548" s="35"/>
      <c r="B548" s="4" t="s">
        <v>2064</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2065</v>
      </c>
      <c r="AK550" s="1065">
        <f>SUM(AG494:AG539)</f>
        <v>0</v>
      </c>
      <c r="AL550" s="973"/>
      <c r="AM550" s="974"/>
      <c r="AN550" s="279"/>
      <c r="AP550" s="143" t="s">
        <v>2066</v>
      </c>
      <c r="AQ550" s="144"/>
      <c r="AR550" s="144"/>
      <c r="AS550" s="144"/>
      <c r="AT550" s="144"/>
      <c r="AU550" s="144"/>
      <c r="AV550" s="144"/>
      <c r="AW550" s="144"/>
      <c r="AX550" s="144"/>
      <c r="AY550" s="144"/>
      <c r="AZ550" s="145"/>
      <c r="CH550" s="63" t="s">
        <v>2048</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2067</v>
      </c>
      <c r="AQ551" s="147"/>
      <c r="AR551" s="147"/>
      <c r="AS551" s="147"/>
      <c r="AT551" s="147"/>
      <c r="AU551" s="147"/>
      <c r="AV551" s="147"/>
      <c r="AW551" s="147"/>
      <c r="AX551" s="147"/>
      <c r="AY551" s="1412">
        <f>SUM(O619:S623)</f>
        <v>38</v>
      </c>
      <c r="AZ551" s="974"/>
      <c r="CH551" s="1509" t="s">
        <v>2068</v>
      </c>
      <c r="CI551" s="1073"/>
      <c r="CJ551" s="1073"/>
      <c r="CK551" s="107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2069</v>
      </c>
      <c r="AQ552" s="149"/>
      <c r="AR552" s="149"/>
      <c r="AS552" s="1412" t="str">
        <f>IF(AY551=BK578,"passed","failed")</f>
        <v>passed</v>
      </c>
      <c r="AT552" s="973"/>
      <c r="AU552" s="974"/>
      <c r="AV552" s="149"/>
      <c r="AW552" s="149"/>
      <c r="AX552" s="149"/>
      <c r="AY552" s="149"/>
      <c r="AZ552" s="150"/>
      <c r="CH552" s="1091"/>
      <c r="CI552" s="1376"/>
      <c r="CJ552" s="1376"/>
      <c r="CK552" s="977"/>
    </row>
    <row r="553" spans="1:89" s="4" customFormat="1" ht="12.75" customHeight="1">
      <c r="A553" s="3" t="s">
        <v>2070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435" t="s">
        <v>2071</v>
      </c>
      <c r="AF553" s="1376"/>
      <c r="AG553" s="1376"/>
      <c r="AH553" s="1376"/>
      <c r="AI553" s="1376"/>
      <c r="AJ553" s="1376"/>
      <c r="AK553" s="1376"/>
      <c r="AL553" s="18"/>
      <c r="AM553" s="21"/>
      <c r="AN553" s="279"/>
      <c r="BR553" s="62" t="s">
        <v>2048</v>
      </c>
      <c r="CH553" s="1091"/>
      <c r="CI553" s="1376"/>
      <c r="CJ553" s="1376"/>
      <c r="CK553" s="977"/>
    </row>
    <row r="554" spans="1:89" s="4" customFormat="1" ht="12.75" customHeight="1">
      <c r="B554" s="126" t="s">
        <v>2072</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452" t="s">
        <v>2073</v>
      </c>
      <c r="AH554" s="1376"/>
      <c r="AI554" s="1376"/>
      <c r="AJ554" s="1376"/>
      <c r="AK554" s="18"/>
      <c r="AL554" s="18"/>
      <c r="AM554" s="21"/>
      <c r="AN554" s="279"/>
      <c r="BE554" s="1410" t="s">
        <v>2074</v>
      </c>
      <c r="BF554" s="973"/>
      <c r="BG554" s="973"/>
      <c r="BH554" s="974"/>
      <c r="BI554" s="1410" t="s">
        <v>2075</v>
      </c>
      <c r="BJ554" s="973"/>
      <c r="BK554" s="973"/>
      <c r="BL554" s="974"/>
      <c r="BM554" s="1410" t="s">
        <v>2076</v>
      </c>
      <c r="BN554" s="973"/>
      <c r="BO554" s="973"/>
      <c r="BP554" s="974"/>
      <c r="BQ554" s="1410" t="s">
        <v>2077</v>
      </c>
      <c r="BR554" s="973"/>
      <c r="BS554" s="973"/>
      <c r="BT554" s="974"/>
      <c r="BU554" s="1410" t="s">
        <v>2078</v>
      </c>
      <c r="BV554" s="973"/>
      <c r="BW554" s="973"/>
      <c r="BX554" s="974"/>
      <c r="BY554" s="1410" t="s">
        <v>2079</v>
      </c>
      <c r="BZ554" s="973"/>
      <c r="CA554" s="973"/>
      <c r="CB554" s="974"/>
      <c r="CH554" s="1091"/>
      <c r="CI554" s="1376"/>
      <c r="CJ554" s="1376"/>
      <c r="CK554" s="977"/>
    </row>
    <row r="555" spans="1:89" s="4" customFormat="1" ht="12.75" customHeight="1">
      <c r="A555" s="3"/>
      <c r="B555" s="1480" t="s">
        <v>2080</v>
      </c>
      <c r="C555" s="1376"/>
      <c r="D555" s="1376"/>
      <c r="E555" s="1376"/>
      <c r="F555" s="1376"/>
      <c r="G555" s="1376"/>
      <c r="H555" s="1376"/>
      <c r="I555" s="1376"/>
      <c r="J555" s="1376"/>
      <c r="K555" s="1376"/>
      <c r="L555" s="1376"/>
      <c r="M555" s="1376"/>
      <c r="N555" s="1376"/>
      <c r="O555" s="1376"/>
      <c r="P555" s="1376"/>
      <c r="Q555" s="1376"/>
      <c r="R555" s="1376"/>
      <c r="S555" s="1376"/>
      <c r="T555" s="1376"/>
      <c r="U555" s="1376"/>
      <c r="V555" s="1376"/>
      <c r="W555" s="1376"/>
      <c r="X555" s="1376"/>
      <c r="Y555" s="1376"/>
      <c r="Z555" s="1376"/>
      <c r="AA555" s="1376"/>
      <c r="AB555" s="1376"/>
      <c r="AC555" s="1376"/>
      <c r="AD555" s="1376"/>
      <c r="AE555" s="1376"/>
      <c r="AF555" s="1376"/>
      <c r="AG555" s="1376"/>
      <c r="AK555" s="21"/>
      <c r="AL555" s="21"/>
      <c r="AN555" s="279"/>
      <c r="AP555" s="431" t="s">
        <v>2081</v>
      </c>
      <c r="AQ555" s="432"/>
      <c r="AR555" s="432"/>
      <c r="AS555" s="432"/>
      <c r="AT555" s="432"/>
      <c r="AU555" s="432"/>
      <c r="AV555" s="433"/>
      <c r="AW555" s="432"/>
      <c r="AX555" s="432"/>
      <c r="AY555" s="433"/>
      <c r="BE555" s="1412">
        <f>IF(CH556=1,0,1)</f>
        <v>0</v>
      </c>
      <c r="BF555" s="973"/>
      <c r="BG555" s="973"/>
      <c r="BH555" s="974"/>
      <c r="BI555" s="1412"/>
      <c r="BJ555" s="973"/>
      <c r="BK555" s="973"/>
      <c r="BL555" s="974"/>
      <c r="BM555" s="1412"/>
      <c r="BN555" s="973"/>
      <c r="BO555" s="973"/>
      <c r="BP555" s="974"/>
      <c r="BQ555" s="1412"/>
      <c r="BR555" s="973"/>
      <c r="BS555" s="973"/>
      <c r="BT555" s="974"/>
      <c r="BU555" s="1410"/>
      <c r="BV555" s="973"/>
      <c r="BW555" s="973"/>
      <c r="BX555" s="974"/>
      <c r="BY555" s="1410"/>
      <c r="BZ555" s="973"/>
      <c r="CA555" s="973"/>
      <c r="CB555" s="974"/>
      <c r="CH555" s="1092"/>
      <c r="CI555" s="1093"/>
      <c r="CJ555" s="1093"/>
      <c r="CK555" s="1094"/>
    </row>
    <row r="556" spans="1:89" s="4" customFormat="1" ht="12.75" customHeight="1">
      <c r="A556" s="20"/>
      <c r="B556" s="1376"/>
      <c r="C556" s="1376"/>
      <c r="D556" s="1376"/>
      <c r="E556" s="1376"/>
      <c r="F556" s="1376"/>
      <c r="G556" s="1376"/>
      <c r="H556" s="1376"/>
      <c r="I556" s="1376"/>
      <c r="J556" s="1376"/>
      <c r="K556" s="1376"/>
      <c r="L556" s="1376"/>
      <c r="M556" s="1376"/>
      <c r="N556" s="1376"/>
      <c r="O556" s="1376"/>
      <c r="P556" s="1376"/>
      <c r="Q556" s="1376"/>
      <c r="R556" s="1376"/>
      <c r="S556" s="1376"/>
      <c r="T556" s="1376"/>
      <c r="U556" s="1376"/>
      <c r="V556" s="1376"/>
      <c r="W556" s="1376"/>
      <c r="X556" s="1376"/>
      <c r="Y556" s="1376"/>
      <c r="Z556" s="1376"/>
      <c r="AA556" s="1376"/>
      <c r="AB556" s="1376"/>
      <c r="AC556" s="1376"/>
      <c r="AD556" s="1376"/>
      <c r="AE556" s="1376"/>
      <c r="AF556" s="1376"/>
      <c r="AG556" s="1376"/>
      <c r="AK556" s="161"/>
      <c r="AL556" s="161"/>
      <c r="AM556" s="161"/>
      <c r="AN556" s="279"/>
      <c r="AP556" s="434" t="s">
        <v>2082</v>
      </c>
      <c r="AQ556" s="435"/>
      <c r="AR556" s="435"/>
      <c r="AS556" s="435"/>
      <c r="AT556" s="435"/>
      <c r="AU556" s="1413">
        <f>ROUNDUP(BK578*0.1,0)</f>
        <v>4</v>
      </c>
      <c r="AV556" s="974"/>
      <c r="AW556" s="435"/>
      <c r="AX556" s="435">
        <f>AU556-AP558</f>
        <v>-1</v>
      </c>
      <c r="AY556" s="436"/>
      <c r="BE556" s="1412"/>
      <c r="BF556" s="973"/>
      <c r="BG556" s="973"/>
      <c r="BH556" s="974"/>
      <c r="BI556" s="1412">
        <f>IF(AND(CH557=1,BE555=0),0,1)</f>
        <v>0</v>
      </c>
      <c r="BJ556" s="973"/>
      <c r="BK556" s="973"/>
      <c r="BL556" s="974"/>
      <c r="BM556" s="1412"/>
      <c r="BN556" s="973"/>
      <c r="BO556" s="973"/>
      <c r="BP556" s="974"/>
      <c r="BQ556" s="1412"/>
      <c r="BR556" s="973"/>
      <c r="BS556" s="973"/>
      <c r="BT556" s="974"/>
      <c r="BU556" s="1410"/>
      <c r="BV556" s="973"/>
      <c r="BW556" s="973"/>
      <c r="BX556" s="974"/>
      <c r="BY556" s="1410"/>
      <c r="BZ556" s="973"/>
      <c r="CA556" s="973"/>
      <c r="CB556" s="974"/>
      <c r="CH556" s="1410">
        <f>IF(OR(Y619=0,Y619&gt;=0.1),1,0)</f>
        <v>1</v>
      </c>
      <c r="CI556" s="973"/>
      <c r="CJ556" s="973"/>
      <c r="CK556" s="974"/>
    </row>
    <row r="557" spans="1:89" s="4" customFormat="1" ht="12.75" customHeight="1">
      <c r="B557" s="1376"/>
      <c r="C557" s="1376"/>
      <c r="D557" s="1376"/>
      <c r="E557" s="1376"/>
      <c r="F557" s="1376"/>
      <c r="G557" s="1376"/>
      <c r="H557" s="1376"/>
      <c r="I557" s="1376"/>
      <c r="J557" s="1376"/>
      <c r="K557" s="1376"/>
      <c r="L557" s="1376"/>
      <c r="M557" s="1376"/>
      <c r="N557" s="1376"/>
      <c r="O557" s="1376"/>
      <c r="P557" s="1376"/>
      <c r="Q557" s="1376"/>
      <c r="R557" s="1376"/>
      <c r="S557" s="1376"/>
      <c r="T557" s="1376"/>
      <c r="U557" s="1376"/>
      <c r="V557" s="1376"/>
      <c r="W557" s="1376"/>
      <c r="X557" s="1376"/>
      <c r="Y557" s="1376"/>
      <c r="Z557" s="1376"/>
      <c r="AA557" s="1376"/>
      <c r="AB557" s="1376"/>
      <c r="AC557" s="1376"/>
      <c r="AD557" s="1376"/>
      <c r="AE557" s="1376"/>
      <c r="AF557" s="1376"/>
      <c r="AG557" s="1376"/>
      <c r="AH557" s="160"/>
      <c r="AI557" s="160"/>
      <c r="AJ557" s="160"/>
      <c r="AK557" s="161"/>
      <c r="AL557" s="161"/>
      <c r="AM557" s="161"/>
      <c r="AN557" s="279"/>
      <c r="AP557" s="434"/>
      <c r="AQ557" s="435"/>
      <c r="AR557" s="435"/>
      <c r="AS557" s="435"/>
      <c r="AT557" s="435"/>
      <c r="AU557" s="435"/>
      <c r="AV557" s="436"/>
      <c r="AW557" s="435"/>
      <c r="AX557" s="435"/>
      <c r="AY557" s="436"/>
      <c r="BE557" s="1412"/>
      <c r="BF557" s="973"/>
      <c r="BG557" s="973"/>
      <c r="BH557" s="974"/>
      <c r="BI557" s="1412"/>
      <c r="BJ557" s="973"/>
      <c r="BK557" s="973"/>
      <c r="BL557" s="974"/>
      <c r="BM557" s="1412">
        <f>IF(AND(AND(CH558=1,BI556=0,BE555=0)),0,1)</f>
        <v>0</v>
      </c>
      <c r="BN557" s="973"/>
      <c r="BO557" s="973"/>
      <c r="BP557" s="974"/>
      <c r="BQ557" s="1412"/>
      <c r="BR557" s="973"/>
      <c r="BS557" s="973"/>
      <c r="BT557" s="974"/>
      <c r="BU557" s="1410"/>
      <c r="BV557" s="973"/>
      <c r="BW557" s="973"/>
      <c r="BX557" s="974"/>
      <c r="BY557" s="1410"/>
      <c r="BZ557" s="973"/>
      <c r="CA557" s="973"/>
      <c r="CB557" s="974"/>
      <c r="CH557" s="1410">
        <f>IF(OR(Y620=0,Y620&gt;=0.1),1,0)</f>
        <v>1</v>
      </c>
      <c r="CI557" s="973"/>
      <c r="CJ557" s="973"/>
      <c r="CK557" s="974"/>
    </row>
    <row r="558" spans="1:89" s="4" customFormat="1" ht="12.75" customHeight="1">
      <c r="B558" s="1376"/>
      <c r="C558" s="1376"/>
      <c r="D558" s="1376"/>
      <c r="E558" s="1376"/>
      <c r="F558" s="1376"/>
      <c r="G558" s="1376"/>
      <c r="H558" s="1376"/>
      <c r="I558" s="1376"/>
      <c r="J558" s="1376"/>
      <c r="K558" s="1376"/>
      <c r="L558" s="1376"/>
      <c r="M558" s="1376"/>
      <c r="N558" s="1376"/>
      <c r="O558" s="1376"/>
      <c r="P558" s="1376"/>
      <c r="Q558" s="1376"/>
      <c r="R558" s="1376"/>
      <c r="S558" s="1376"/>
      <c r="T558" s="1376"/>
      <c r="U558" s="1376"/>
      <c r="V558" s="1376"/>
      <c r="W558" s="1376"/>
      <c r="X558" s="1376"/>
      <c r="Y558" s="1376"/>
      <c r="Z558" s="1376"/>
      <c r="AA558" s="1376"/>
      <c r="AB558" s="1376"/>
      <c r="AC558" s="1376"/>
      <c r="AD558" s="1376"/>
      <c r="AE558" s="1376"/>
      <c r="AF558" s="1376"/>
      <c r="AG558" s="1376"/>
      <c r="AH558" s="160"/>
      <c r="AI558" s="160"/>
      <c r="AJ558" s="160"/>
      <c r="AK558" s="161"/>
      <c r="AL558" s="161"/>
      <c r="AM558" s="161"/>
      <c r="AN558" s="279"/>
      <c r="AP558" s="1429">
        <f>SUM(T619:X623)</f>
        <v>5</v>
      </c>
      <c r="AQ558" s="973"/>
      <c r="AR558" s="973"/>
      <c r="AS558" s="973"/>
      <c r="AT558" s="974"/>
      <c r="AU558" s="435"/>
      <c r="AV558" s="436"/>
      <c r="AW558" s="435"/>
      <c r="AX558" s="435"/>
      <c r="AY558" s="436"/>
      <c r="BE558" s="1412"/>
      <c r="BF558" s="973"/>
      <c r="BG558" s="973"/>
      <c r="BH558" s="974"/>
      <c r="BI558" s="1412"/>
      <c r="BJ558" s="973"/>
      <c r="BK558" s="973"/>
      <c r="BL558" s="974"/>
      <c r="BM558" s="1412"/>
      <c r="BN558" s="973"/>
      <c r="BO558" s="973"/>
      <c r="BP558" s="974"/>
      <c r="BQ558" s="1412">
        <f>IF(AND(AND(AND(CH559=1,BM557=0,BI556=0,BE555=0))),0,1)</f>
        <v>0</v>
      </c>
      <c r="BR558" s="973"/>
      <c r="BS558" s="973"/>
      <c r="BT558" s="974"/>
      <c r="BU558" s="1410"/>
      <c r="BV558" s="973"/>
      <c r="BW558" s="973"/>
      <c r="BX558" s="974"/>
      <c r="BY558" s="1410"/>
      <c r="BZ558" s="973"/>
      <c r="CA558" s="973"/>
      <c r="CB558" s="974"/>
      <c r="CH558" s="1410">
        <f>IF(OR(Y621=0,Y621&gt;=0.1),1,0)</f>
        <v>1</v>
      </c>
      <c r="CI558" s="973"/>
      <c r="CJ558" s="973"/>
      <c r="CK558" s="974"/>
    </row>
    <row r="559" spans="1:89" s="4" customFormat="1" ht="12.75" customHeight="1">
      <c r="B559" s="1376"/>
      <c r="C559" s="1376"/>
      <c r="D559" s="1376"/>
      <c r="E559" s="1376"/>
      <c r="F559" s="1376"/>
      <c r="G559" s="1376"/>
      <c r="H559" s="1376"/>
      <c r="I559" s="1376"/>
      <c r="J559" s="1376"/>
      <c r="K559" s="1376"/>
      <c r="L559" s="1376"/>
      <c r="M559" s="1376"/>
      <c r="N559" s="1376"/>
      <c r="O559" s="1376"/>
      <c r="P559" s="1376"/>
      <c r="Q559" s="1376"/>
      <c r="R559" s="1376"/>
      <c r="S559" s="1376"/>
      <c r="T559" s="1376"/>
      <c r="U559" s="1376"/>
      <c r="V559" s="1376"/>
      <c r="W559" s="1376"/>
      <c r="X559" s="1376"/>
      <c r="Y559" s="1376"/>
      <c r="Z559" s="1376"/>
      <c r="AA559" s="1376"/>
      <c r="AB559" s="1376"/>
      <c r="AC559" s="1376"/>
      <c r="AD559" s="1376"/>
      <c r="AE559" s="1376"/>
      <c r="AF559" s="1376"/>
      <c r="AG559" s="1376"/>
      <c r="AH559" s="160"/>
      <c r="AI559" s="160"/>
      <c r="AJ559" s="160"/>
      <c r="AK559" s="161"/>
      <c r="AL559" s="161"/>
      <c r="AM559" s="161"/>
      <c r="AN559" s="279"/>
      <c r="AP559" s="437"/>
      <c r="AQ559" s="438"/>
      <c r="AR559" s="438"/>
      <c r="AS559" s="438"/>
      <c r="AT559" s="439" t="s">
        <v>2069</v>
      </c>
      <c r="AU559" s="1413" t="str">
        <f>IF(AP558&gt;=AU556,"passed","failed")</f>
        <v>passed</v>
      </c>
      <c r="AV559" s="973"/>
      <c r="AW559" s="974"/>
      <c r="AX559" s="440"/>
      <c r="AY559" s="441"/>
      <c r="BE559" s="1412"/>
      <c r="BF559" s="973"/>
      <c r="BG559" s="973"/>
      <c r="BH559" s="974"/>
      <c r="BI559" s="1412"/>
      <c r="BJ559" s="973"/>
      <c r="BK559" s="973"/>
      <c r="BL559" s="974"/>
      <c r="BM559" s="1412"/>
      <c r="BN559" s="973"/>
      <c r="BO559" s="973"/>
      <c r="BP559" s="974"/>
      <c r="BQ559" s="1412"/>
      <c r="BR559" s="973"/>
      <c r="BS559" s="973"/>
      <c r="BT559" s="974"/>
      <c r="BU559" s="1412">
        <f>IF(AND(AND(AND(AND(CH560=1,BQ558=0,BM557=0,BI556=0,BE555=0)))),0,1)</f>
        <v>0</v>
      </c>
      <c r="BV559" s="973"/>
      <c r="BW559" s="973"/>
      <c r="BX559" s="974"/>
      <c r="BY559" s="1410"/>
      <c r="BZ559" s="973"/>
      <c r="CA559" s="973"/>
      <c r="CB559" s="974"/>
      <c r="CH559" s="1410">
        <f>IF(OR(Y622=0,Y622&gt;=0.1),1,0)</f>
        <v>1</v>
      </c>
      <c r="CI559" s="973"/>
      <c r="CJ559" s="973"/>
      <c r="CK559" s="974"/>
    </row>
    <row r="560" spans="1:89" s="4" customFormat="1" ht="13.7" customHeight="1">
      <c r="B560" s="1376"/>
      <c r="C560" s="1376"/>
      <c r="D560" s="1376"/>
      <c r="E560" s="1376"/>
      <c r="F560" s="1376"/>
      <c r="G560" s="1376"/>
      <c r="H560" s="1376"/>
      <c r="I560" s="1376"/>
      <c r="J560" s="1376"/>
      <c r="K560" s="1376"/>
      <c r="L560" s="1376"/>
      <c r="M560" s="1376"/>
      <c r="N560" s="1376"/>
      <c r="O560" s="1376"/>
      <c r="P560" s="1376"/>
      <c r="Q560" s="1376"/>
      <c r="R560" s="1376"/>
      <c r="S560" s="1376"/>
      <c r="T560" s="1376"/>
      <c r="U560" s="1376"/>
      <c r="V560" s="1376"/>
      <c r="W560" s="1376"/>
      <c r="X560" s="1376"/>
      <c r="Y560" s="1376"/>
      <c r="Z560" s="1376"/>
      <c r="AA560" s="1376"/>
      <c r="AB560" s="1376"/>
      <c r="AC560" s="1376"/>
      <c r="AD560" s="1376"/>
      <c r="AE560" s="1376"/>
      <c r="AF560" s="1376"/>
      <c r="AG560" s="1376"/>
      <c r="AH560" s="160"/>
      <c r="AI560" s="160"/>
      <c r="AJ560" s="160"/>
      <c r="AK560" s="161"/>
      <c r="AL560" s="161"/>
      <c r="AM560" s="161"/>
      <c r="AN560" s="279"/>
      <c r="BE560" s="1412">
        <f>SUM(BE555:BH559)</f>
        <v>0</v>
      </c>
      <c r="BF560" s="973"/>
      <c r="BG560" s="973"/>
      <c r="BH560" s="974"/>
      <c r="BI560" s="1412">
        <f>SUM(BI555:BL559)</f>
        <v>0</v>
      </c>
      <c r="BJ560" s="973"/>
      <c r="BK560" s="973"/>
      <c r="BL560" s="974"/>
      <c r="BM560" s="1412">
        <f>SUM(BM555:BP559)</f>
        <v>0</v>
      </c>
      <c r="BN560" s="973"/>
      <c r="BO560" s="973"/>
      <c r="BP560" s="974"/>
      <c r="BQ560" s="1412">
        <f>SUM(BQ555:BT559)</f>
        <v>0</v>
      </c>
      <c r="BR560" s="973"/>
      <c r="BS560" s="973"/>
      <c r="BT560" s="974"/>
      <c r="BU560" s="1412">
        <f>SUM(BU555:BX559)</f>
        <v>0</v>
      </c>
      <c r="BV560" s="973"/>
      <c r="BW560" s="973"/>
      <c r="BX560" s="974"/>
      <c r="BY560" s="1412">
        <f>SUM(BY555:CB559)</f>
        <v>0</v>
      </c>
      <c r="BZ560" s="973"/>
      <c r="CA560" s="973"/>
      <c r="CB560" s="974"/>
      <c r="CC560" s="1410">
        <f>IF(AND(CH556=1,T619&gt;0),0,SUM(BE560:CB560))</f>
        <v>0</v>
      </c>
      <c r="CD560" s="973"/>
      <c r="CE560" s="973"/>
      <c r="CF560" s="974"/>
      <c r="CH560" s="1410">
        <f>IF(OR(Y623=0,Y623&gt;=0.1),1,0)</f>
        <v>1</v>
      </c>
      <c r="CI560" s="973"/>
      <c r="CJ560" s="973"/>
      <c r="CK560" s="974"/>
    </row>
    <row r="561" spans="2:79" s="4" customFormat="1" ht="12.4" customHeight="1">
      <c r="B561" s="1476" t="s">
        <v>2083</v>
      </c>
      <c r="C561" s="1376"/>
      <c r="D561" s="1376"/>
      <c r="E561" s="1376"/>
      <c r="F561" s="1376"/>
      <c r="G561" s="1376"/>
      <c r="H561" s="1376"/>
      <c r="I561" s="1376"/>
      <c r="J561" s="1376"/>
      <c r="K561" s="1376"/>
      <c r="L561" s="1376"/>
      <c r="M561" s="1376"/>
      <c r="N561" s="1376"/>
      <c r="O561" s="1376"/>
      <c r="P561" s="1376"/>
      <c r="Q561" s="1376"/>
      <c r="R561" s="1376"/>
      <c r="S561" s="1376"/>
      <c r="T561" s="1376"/>
      <c r="U561" s="1376"/>
      <c r="V561" s="1376"/>
      <c r="W561" s="1376"/>
      <c r="X561" s="1376"/>
      <c r="Y561" s="1376"/>
      <c r="Z561" s="1376"/>
      <c r="AA561" s="1376"/>
      <c r="AB561" s="1376"/>
      <c r="AC561" s="1376"/>
      <c r="AD561" s="1376"/>
      <c r="AE561" s="1376"/>
      <c r="AF561" s="1376"/>
      <c r="AG561" s="1376"/>
      <c r="AH561" s="160"/>
      <c r="AI561" s="160"/>
      <c r="AJ561" s="160"/>
      <c r="AK561" s="161"/>
      <c r="AL561" s="161"/>
      <c r="AM561" s="161"/>
      <c r="AN561" s="279"/>
    </row>
    <row r="562" spans="2:79" s="4" customFormat="1" ht="21" customHeight="1">
      <c r="B562" s="1376"/>
      <c r="C562" s="1376"/>
      <c r="D562" s="1376"/>
      <c r="E562" s="1376"/>
      <c r="F562" s="1376"/>
      <c r="G562" s="1376"/>
      <c r="H562" s="1376"/>
      <c r="I562" s="1376"/>
      <c r="J562" s="1376"/>
      <c r="K562" s="1376"/>
      <c r="L562" s="1376"/>
      <c r="M562" s="1376"/>
      <c r="N562" s="1376"/>
      <c r="O562" s="1376"/>
      <c r="P562" s="1376"/>
      <c r="Q562" s="1376"/>
      <c r="R562" s="1376"/>
      <c r="S562" s="1376"/>
      <c r="T562" s="1376"/>
      <c r="U562" s="1376"/>
      <c r="V562" s="1376"/>
      <c r="W562" s="1376"/>
      <c r="X562" s="1376"/>
      <c r="Y562" s="1376"/>
      <c r="Z562" s="1376"/>
      <c r="AA562" s="1376"/>
      <c r="AB562" s="1376"/>
      <c r="AC562" s="1376"/>
      <c r="AD562" s="1376"/>
      <c r="AE562" s="1376"/>
      <c r="AF562" s="1376"/>
      <c r="AG562" s="1376"/>
      <c r="AH562" s="160"/>
      <c r="AI562" s="160"/>
      <c r="AJ562" s="160"/>
      <c r="AK562" s="161"/>
      <c r="AL562" s="161"/>
      <c r="AM562" s="161"/>
      <c r="AN562" s="279"/>
      <c r="AP562" s="143" t="s">
        <v>2084</v>
      </c>
      <c r="AQ562" s="144"/>
      <c r="AR562" s="144"/>
      <c r="AS562" s="144"/>
      <c r="AT562" s="144"/>
      <c r="AU562" s="144"/>
      <c r="AV562" s="144"/>
      <c r="AW562" s="144"/>
      <c r="AX562" s="144"/>
      <c r="AY562" s="145"/>
    </row>
    <row r="563" spans="2:79" s="4" customFormat="1" ht="12.75" customHeight="1">
      <c r="B563" s="1476" t="s">
        <v>2085</v>
      </c>
      <c r="C563" s="1376"/>
      <c r="D563" s="1376"/>
      <c r="E563" s="1376"/>
      <c r="F563" s="1376"/>
      <c r="G563" s="1376"/>
      <c r="H563" s="1376"/>
      <c r="I563" s="1376"/>
      <c r="J563" s="1376"/>
      <c r="K563" s="1376"/>
      <c r="L563" s="1376"/>
      <c r="M563" s="1376"/>
      <c r="N563" s="1376"/>
      <c r="O563" s="1376"/>
      <c r="P563" s="1376"/>
      <c r="Q563" s="1376"/>
      <c r="R563" s="1376"/>
      <c r="S563" s="1376"/>
      <c r="T563" s="1376"/>
      <c r="U563" s="1376"/>
      <c r="V563" s="1376"/>
      <c r="W563" s="1376"/>
      <c r="X563" s="1376"/>
      <c r="Y563" s="1376"/>
      <c r="Z563" s="1376"/>
      <c r="AA563" s="1376"/>
      <c r="AB563" s="1376"/>
      <c r="AC563" s="1376"/>
      <c r="AD563" s="1376"/>
      <c r="AE563" s="1376"/>
      <c r="AF563" s="1376"/>
      <c r="AG563" s="674"/>
      <c r="AH563" s="160"/>
      <c r="AI563" s="160"/>
      <c r="AJ563" s="160"/>
      <c r="AK563" s="161"/>
      <c r="AL563" s="161"/>
      <c r="AM563" s="161"/>
      <c r="AN563" s="279"/>
      <c r="AP563" s="146" t="s">
        <v>2086</v>
      </c>
      <c r="AQ563" s="147"/>
      <c r="AR563" s="147"/>
      <c r="AS563" s="147"/>
      <c r="AT563" s="147"/>
      <c r="AU563" s="147"/>
      <c r="AV563" s="147"/>
      <c r="AW563" s="147"/>
      <c r="AX563" s="154"/>
      <c r="AY563" s="154"/>
    </row>
    <row r="564" spans="2:79" s="4" customFormat="1" ht="12.75" customHeight="1">
      <c r="B564" s="1376"/>
      <c r="C564" s="1376"/>
      <c r="D564" s="1376"/>
      <c r="E564" s="1376"/>
      <c r="F564" s="1376"/>
      <c r="G564" s="1376"/>
      <c r="H564" s="1376"/>
      <c r="I564" s="1376"/>
      <c r="J564" s="1376"/>
      <c r="K564" s="1376"/>
      <c r="L564" s="1376"/>
      <c r="M564" s="1376"/>
      <c r="N564" s="1376"/>
      <c r="O564" s="1376"/>
      <c r="P564" s="1376"/>
      <c r="Q564" s="1376"/>
      <c r="R564" s="1376"/>
      <c r="S564" s="1376"/>
      <c r="T564" s="1376"/>
      <c r="U564" s="1376"/>
      <c r="V564" s="1376"/>
      <c r="W564" s="1376"/>
      <c r="X564" s="1376"/>
      <c r="Y564" s="1376"/>
      <c r="Z564" s="1376"/>
      <c r="AA564" s="1376"/>
      <c r="AB564" s="1376"/>
      <c r="AC564" s="1376"/>
      <c r="AD564" s="1376"/>
      <c r="AE564" s="1376"/>
      <c r="AF564" s="1376"/>
      <c r="AG564" s="160"/>
      <c r="AH564" s="160"/>
      <c r="AI564" s="160"/>
      <c r="AJ564" s="160"/>
      <c r="AK564" s="161"/>
      <c r="AL564" s="161"/>
      <c r="AM564" s="161"/>
      <c r="AN564" s="279"/>
      <c r="AP564" s="148"/>
      <c r="AQ564" s="149"/>
      <c r="AR564" s="149"/>
      <c r="AS564" s="149"/>
      <c r="AT564" s="155" t="s">
        <v>2069</v>
      </c>
      <c r="AU564" s="149"/>
      <c r="AV564" s="1412" t="str">
        <f>IF(BJ600&gt;0,"failed","passed")</f>
        <v>passed</v>
      </c>
      <c r="AW564" s="973"/>
      <c r="AX564" s="973"/>
      <c r="AY564" s="974"/>
    </row>
    <row r="565" spans="2:79" s="4" customFormat="1" ht="12.4" customHeight="1">
      <c r="B565" s="675" t="s">
        <v>2087</v>
      </c>
      <c r="C565" s="676"/>
      <c r="D565" s="676"/>
      <c r="E565" s="676"/>
      <c r="F565" s="676"/>
      <c r="G565" s="676"/>
      <c r="H565" s="676"/>
      <c r="I565" s="676"/>
      <c r="J565" s="676"/>
      <c r="K565" s="676"/>
      <c r="L565" s="676"/>
      <c r="M565" s="676"/>
      <c r="N565" s="676"/>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79" s="4" customFormat="1" ht="12.75" customHeight="1">
      <c r="B566" s="222" t="s">
        <v>2088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row>
    <row r="567" spans="2:79" s="4" customFormat="1" ht="12.75" customHeight="1">
      <c r="B567" s="35"/>
      <c r="D567" s="162"/>
      <c r="E567" s="163"/>
      <c r="I567" s="214"/>
      <c r="J567" s="215"/>
      <c r="K567" s="216"/>
      <c r="L567" s="216"/>
      <c r="M567" s="216"/>
      <c r="N567" s="216"/>
      <c r="O567" s="216"/>
      <c r="P567" s="217"/>
      <c r="Q567" s="1268" t="s">
        <v>2089</v>
      </c>
      <c r="R567" s="1073"/>
      <c r="S567" s="1073"/>
      <c r="T567" s="1073"/>
      <c r="U567" s="1073"/>
      <c r="V567" s="1073"/>
      <c r="W567" s="1073"/>
      <c r="X567" s="1073"/>
      <c r="Y567" s="1073"/>
      <c r="Z567" s="1073"/>
      <c r="AA567" s="1073"/>
      <c r="AB567" s="1073"/>
      <c r="AC567" s="1073"/>
      <c r="AD567" s="1073"/>
      <c r="AE567" s="1073"/>
      <c r="AF567" s="1074"/>
      <c r="AG567" s="160"/>
      <c r="AH567" s="160"/>
      <c r="AI567" s="160"/>
      <c r="AN567" s="279"/>
      <c r="AP567" s="6" t="s">
        <v>2090</v>
      </c>
      <c r="AQ567" s="7"/>
      <c r="AR567" s="7"/>
      <c r="AS567" s="7"/>
      <c r="AT567" s="7"/>
      <c r="AU567" s="7"/>
      <c r="AV567" s="7"/>
      <c r="AW567" s="7"/>
      <c r="AX567" s="7"/>
      <c r="AY567" s="7"/>
      <c r="AZ567" s="7"/>
      <c r="BA567" s="7"/>
      <c r="BB567" s="7"/>
      <c r="BC567" s="7"/>
      <c r="BD567" s="7"/>
      <c r="BE567" s="7"/>
      <c r="BF567" s="7"/>
      <c r="BG567" s="64"/>
    </row>
    <row r="568" spans="2:79" s="4" customFormat="1" ht="12.75" customHeight="1">
      <c r="B568" s="3"/>
      <c r="I568" s="218"/>
      <c r="J568" s="160"/>
      <c r="N568" s="18"/>
      <c r="O568" s="18"/>
      <c r="P568" s="219"/>
      <c r="Q568" s="1092"/>
      <c r="R568" s="1093"/>
      <c r="S568" s="1093"/>
      <c r="T568" s="1093"/>
      <c r="U568" s="1093"/>
      <c r="V568" s="1093"/>
      <c r="W568" s="1093"/>
      <c r="X568" s="1093"/>
      <c r="Y568" s="1093"/>
      <c r="Z568" s="1093"/>
      <c r="AA568" s="1093"/>
      <c r="AB568" s="1093"/>
      <c r="AC568" s="1093"/>
      <c r="AD568" s="1093"/>
      <c r="AE568" s="1093"/>
      <c r="AF568" s="1094"/>
      <c r="AN568" s="279"/>
      <c r="AP568" s="53" t="s">
        <v>2091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R568" s="20"/>
      <c r="BS568" s="20"/>
      <c r="BT568" s="20"/>
      <c r="BU568" s="20"/>
      <c r="BV568" s="20"/>
      <c r="BW568" s="20"/>
      <c r="BX568" s="20"/>
      <c r="BY568" s="20"/>
      <c r="BZ568" s="20"/>
      <c r="CA568" s="20"/>
    </row>
    <row r="569" spans="2:79" s="4" customFormat="1" ht="12.75" customHeight="1" thickBot="1">
      <c r="B569" s="63"/>
      <c r="I569" s="220"/>
      <c r="J569" s="221"/>
      <c r="K569" s="168"/>
      <c r="L569" s="168"/>
      <c r="M569" s="168"/>
      <c r="N569" s="191"/>
      <c r="O569" s="191"/>
      <c r="P569" s="197"/>
      <c r="Q569" s="1414" t="s">
        <v>2092</v>
      </c>
      <c r="R569" s="977"/>
      <c r="S569" s="1457" t="s">
        <v>2093</v>
      </c>
      <c r="T569" s="977"/>
      <c r="U569" s="1414">
        <v>0.5</v>
      </c>
      <c r="V569" s="977"/>
      <c r="W569" s="1414">
        <v>0.45</v>
      </c>
      <c r="X569" s="977"/>
      <c r="Y569" s="1414">
        <v>0.4</v>
      </c>
      <c r="Z569" s="977"/>
      <c r="AA569" s="1414">
        <v>0.35</v>
      </c>
      <c r="AB569" s="977"/>
      <c r="AC569" s="1378">
        <v>0.3</v>
      </c>
      <c r="AD569" s="974"/>
      <c r="AE569" s="1414">
        <v>0.2</v>
      </c>
      <c r="AF569" s="977"/>
      <c r="AN569" s="279"/>
    </row>
    <row r="570" spans="2:79" s="4" customFormat="1" ht="12.75" customHeight="1">
      <c r="B570" s="63"/>
      <c r="I570" s="218"/>
      <c r="J570" s="160"/>
      <c r="N570" s="5"/>
      <c r="O570" s="1378"/>
      <c r="P570" s="974"/>
      <c r="Q570" s="1487"/>
      <c r="R570" s="1403"/>
      <c r="S570" s="1488"/>
      <c r="T570" s="1489"/>
      <c r="U570" s="1402"/>
      <c r="V570" s="1403"/>
      <c r="W570" s="1402"/>
      <c r="X570" s="1403"/>
      <c r="Y570" s="1402"/>
      <c r="Z570" s="1403"/>
      <c r="AA570" s="1442"/>
      <c r="AB570" s="1403"/>
      <c r="AC570" s="1402"/>
      <c r="AD570" s="1403"/>
      <c r="AE570" s="1515"/>
      <c r="AF570" s="1403"/>
      <c r="AN570" s="279"/>
      <c r="AP570" s="142" t="s">
        <v>2094</v>
      </c>
      <c r="AQ570" s="9"/>
      <c r="AR570" s="9"/>
      <c r="AS570" s="9"/>
      <c r="AT570" s="1410" t="str">
        <f>IF(OR(AV564="passed",BD568="passed"),"passed","failed")</f>
        <v>passed</v>
      </c>
      <c r="AU570" s="973"/>
      <c r="AV570" s="973"/>
      <c r="AW570" s="973"/>
      <c r="AX570" s="974"/>
    </row>
    <row r="571" spans="2:79" s="4" customFormat="1" ht="12.75" customHeight="1">
      <c r="B571" s="63"/>
      <c r="I571" s="218"/>
      <c r="J571" s="160"/>
      <c r="N571" s="5"/>
      <c r="O571" s="1378"/>
      <c r="P571" s="974"/>
      <c r="Q571" s="1379"/>
      <c r="R571" s="974"/>
      <c r="S571" s="1388"/>
      <c r="T571" s="974"/>
      <c r="U571" s="1388"/>
      <c r="V571" s="974"/>
      <c r="W571" s="1388"/>
      <c r="X571" s="974"/>
      <c r="Y571" s="1390"/>
      <c r="Z571" s="974"/>
      <c r="AA571" s="1388"/>
      <c r="AB571" s="974"/>
      <c r="AC571" s="1390"/>
      <c r="AD571" s="974"/>
      <c r="AE571" s="1445"/>
      <c r="AF571" s="974"/>
      <c r="AN571" s="279"/>
    </row>
    <row r="572" spans="2:79" s="4" customFormat="1" ht="12.75" customHeight="1">
      <c r="B572" s="63"/>
      <c r="I572" s="218"/>
      <c r="J572" s="160"/>
      <c r="N572" s="5"/>
      <c r="O572" s="1378"/>
      <c r="P572" s="974"/>
      <c r="Q572" s="1379"/>
      <c r="R572" s="974"/>
      <c r="S572" s="1388"/>
      <c r="T572" s="974"/>
      <c r="U572" s="1388"/>
      <c r="V572" s="974"/>
      <c r="W572" s="1388"/>
      <c r="X572" s="974"/>
      <c r="Y572" s="1388"/>
      <c r="Z572" s="974"/>
      <c r="AA572" s="1390"/>
      <c r="AB572" s="974"/>
      <c r="AC572" s="1388"/>
      <c r="AD572" s="974"/>
      <c r="AE572" s="1458"/>
      <c r="AF572" s="974"/>
      <c r="AN572" s="279"/>
      <c r="AP572" s="151" t="s">
        <v>2095</v>
      </c>
      <c r="AQ572" s="152"/>
      <c r="AR572" s="152"/>
      <c r="AS572" s="152"/>
      <c r="AT572" s="152"/>
      <c r="AU572" s="152"/>
      <c r="AV572" s="153"/>
      <c r="AW572" s="1508" t="str">
        <f>IF(AND(AND(AND(AND(AS552="passed",AU559="passed",BD568="passed",SUM(T619:X623)&gt;1)))),"YES","NO")</f>
        <v>YES</v>
      </c>
      <c r="AX572" s="973"/>
      <c r="AY572" s="974"/>
      <c r="AZ572" s="40"/>
      <c r="BA572" s="40"/>
      <c r="BB572" s="40"/>
      <c r="BC572" s="40"/>
      <c r="BD572" s="40"/>
      <c r="BE572" s="21"/>
      <c r="BF572" s="21"/>
      <c r="BG572" s="21"/>
    </row>
    <row r="573" spans="2:79" s="4" customFormat="1" ht="12.75" customHeight="1">
      <c r="B573" s="63"/>
      <c r="I573" s="218"/>
      <c r="J573" s="160"/>
      <c r="N573" s="5"/>
      <c r="O573" s="1378"/>
      <c r="P573" s="974"/>
      <c r="Q573" s="1379"/>
      <c r="R573" s="974"/>
      <c r="S573" s="1388"/>
      <c r="T573" s="974"/>
      <c r="U573" s="1388"/>
      <c r="V573" s="974"/>
      <c r="W573" s="1388"/>
      <c r="X573" s="974"/>
      <c r="Y573" s="1390"/>
      <c r="Z573" s="974"/>
      <c r="AA573" s="1388"/>
      <c r="AB573" s="974"/>
      <c r="AC573" s="1390"/>
      <c r="AD573" s="974"/>
      <c r="AE573" s="1445"/>
      <c r="AF573" s="974"/>
      <c r="AN573" s="279"/>
    </row>
    <row r="574" spans="2:79" s="4" customFormat="1" ht="12.75" customHeight="1">
      <c r="B574" s="63"/>
      <c r="I574" s="218"/>
      <c r="J574" s="160"/>
      <c r="N574" s="5"/>
      <c r="O574" s="1378"/>
      <c r="P574" s="974"/>
      <c r="Q574" s="1379"/>
      <c r="R574" s="974"/>
      <c r="S574" s="1388"/>
      <c r="T574" s="974"/>
      <c r="U574" s="1388"/>
      <c r="V574" s="974"/>
      <c r="W574" s="1390"/>
      <c r="X574" s="974"/>
      <c r="Y574" s="1388"/>
      <c r="Z574" s="974"/>
      <c r="AA574" s="1390"/>
      <c r="AB574" s="974"/>
      <c r="AC574" s="1388"/>
      <c r="AD574" s="974"/>
      <c r="AE574" s="1458"/>
      <c r="AF574" s="974"/>
      <c r="AN574" s="279"/>
    </row>
    <row r="575" spans="2:79" s="4" customFormat="1" ht="12.75" customHeight="1">
      <c r="B575" s="63"/>
      <c r="I575" s="218"/>
      <c r="J575" s="160"/>
      <c r="N575" s="5"/>
      <c r="O575" s="1378"/>
      <c r="P575" s="974"/>
      <c r="Q575" s="1379"/>
      <c r="R575" s="974"/>
      <c r="S575" s="1388"/>
      <c r="T575" s="974"/>
      <c r="U575" s="1388"/>
      <c r="V575" s="974"/>
      <c r="W575" s="1388"/>
      <c r="X575" s="974"/>
      <c r="Y575" s="1390"/>
      <c r="Z575" s="974"/>
      <c r="AA575" s="1388"/>
      <c r="AB575" s="974"/>
      <c r="AC575" s="1390"/>
      <c r="AD575" s="974"/>
      <c r="AE575" s="1445"/>
      <c r="AF575" s="974"/>
      <c r="AN575" s="279"/>
      <c r="AU575" s="21"/>
      <c r="AV575" s="21"/>
      <c r="AW575" s="8"/>
      <c r="AX575" s="9"/>
      <c r="AY575" s="9"/>
      <c r="AZ575" s="60" t="s">
        <v>2096</v>
      </c>
      <c r="BA575" s="1389" t="s">
        <v>2097</v>
      </c>
      <c r="BB575" s="973"/>
      <c r="BC575" s="973"/>
      <c r="BD575" s="973"/>
      <c r="BE575" s="974"/>
      <c r="BF575" s="1433">
        <f>SUM(O619:S623)</f>
        <v>38</v>
      </c>
      <c r="BG575" s="973"/>
      <c r="BH575" s="973"/>
      <c r="BI575" s="973"/>
      <c r="BJ575" s="974"/>
      <c r="BK575" s="1392">
        <f>SUM(T619:X623)</f>
        <v>5</v>
      </c>
      <c r="BL575" s="973"/>
      <c r="BM575" s="973"/>
      <c r="BN575" s="973"/>
      <c r="BO575" s="974"/>
    </row>
    <row r="576" spans="2:79" s="4" customFormat="1" ht="12.75" customHeight="1">
      <c r="B576" s="35"/>
      <c r="I576" s="1478" t="s">
        <v>2034</v>
      </c>
      <c r="J576" s="1376"/>
      <c r="K576" s="1376"/>
      <c r="L576" s="1376"/>
      <c r="M576" s="1376"/>
      <c r="N576" s="977"/>
      <c r="O576" s="1378">
        <v>0.5</v>
      </c>
      <c r="P576" s="974"/>
      <c r="Q576" s="1469"/>
      <c r="R576" s="1094"/>
      <c r="S576" s="1388"/>
      <c r="T576" s="974"/>
      <c r="U576" s="1477" t="s">
        <v>2098</v>
      </c>
      <c r="V576" s="1094"/>
      <c r="W576" s="1486">
        <v>37.5</v>
      </c>
      <c r="X576" s="1094"/>
      <c r="Y576" s="1516"/>
      <c r="Z576" s="1094"/>
      <c r="AA576" s="1486"/>
      <c r="AB576" s="1094"/>
      <c r="AC576" s="1516"/>
      <c r="AD576" s="1094"/>
      <c r="AE576" s="1517"/>
      <c r="AF576" s="1094"/>
      <c r="AN576" s="279"/>
    </row>
    <row r="577" spans="1:96" s="4" customFormat="1" ht="12.75" customHeight="1">
      <c r="B577" s="118"/>
      <c r="C577" s="61"/>
      <c r="I577" s="1091"/>
      <c r="J577" s="1376"/>
      <c r="K577" s="1376"/>
      <c r="L577" s="1376"/>
      <c r="M577" s="1376"/>
      <c r="N577" s="977"/>
      <c r="O577" s="1378">
        <v>0.45</v>
      </c>
      <c r="P577" s="974"/>
      <c r="Q577" s="1379"/>
      <c r="R577" s="974"/>
      <c r="S577" s="1388"/>
      <c r="T577" s="974"/>
      <c r="U577" s="1421" t="s">
        <v>2099</v>
      </c>
      <c r="V577" s="974"/>
      <c r="W577" s="1390">
        <v>33.799999999999997</v>
      </c>
      <c r="X577" s="974"/>
      <c r="Y577" s="1390"/>
      <c r="Z577" s="974"/>
      <c r="AA577" s="1388"/>
      <c r="AB577" s="974"/>
      <c r="AC577" s="1390"/>
      <c r="AD577" s="974"/>
      <c r="AE577" s="1445"/>
      <c r="AF577" s="974"/>
      <c r="AN577" s="279"/>
    </row>
    <row r="578" spans="1:96" s="4" customFormat="1" ht="12.75" customHeight="1">
      <c r="B578" s="5"/>
      <c r="C578" s="5"/>
      <c r="D578" s="5"/>
      <c r="E578" s="5"/>
      <c r="I578" s="1091"/>
      <c r="J578" s="1376"/>
      <c r="K578" s="1376"/>
      <c r="L578" s="1376"/>
      <c r="M578" s="1376"/>
      <c r="N578" s="977"/>
      <c r="O578" s="1378">
        <v>0.4</v>
      </c>
      <c r="P578" s="974"/>
      <c r="Q578" s="1379"/>
      <c r="R578" s="974"/>
      <c r="S578" s="1421" t="s">
        <v>2100</v>
      </c>
      <c r="T578" s="974"/>
      <c r="U578" s="1390">
        <v>20</v>
      </c>
      <c r="V578" s="974"/>
      <c r="W578" s="1390">
        <v>30</v>
      </c>
      <c r="X578" s="974"/>
      <c r="Y578" s="1390"/>
      <c r="Z578" s="974"/>
      <c r="AA578" s="1390"/>
      <c r="AB578" s="974"/>
      <c r="AC578" s="1390"/>
      <c r="AD578" s="974"/>
      <c r="AE578" s="1445"/>
      <c r="AF578" s="974"/>
      <c r="AN578" s="279"/>
      <c r="AP578" s="1507" t="s">
        <v>2101</v>
      </c>
      <c r="AQ578" s="1073"/>
      <c r="AR578" s="1073"/>
      <c r="AS578" s="1073"/>
      <c r="AT578" s="1073"/>
      <c r="AU578" s="1073"/>
      <c r="AV578" s="1073"/>
      <c r="AW578" s="1073"/>
      <c r="AX578" s="1073"/>
      <c r="AY578" s="1073"/>
      <c r="AZ578" s="1073"/>
      <c r="BA578" s="1073"/>
      <c r="BB578" s="1073"/>
      <c r="BC578" s="1073"/>
      <c r="BD578" s="1073"/>
      <c r="BE578" s="1073"/>
      <c r="BF578" s="1073"/>
      <c r="BG578" s="1073"/>
      <c r="BH578" s="1073"/>
      <c r="BI578" s="1073"/>
      <c r="BJ578" s="1074"/>
      <c r="BK578" s="1434">
        <f>BF575</f>
        <v>38</v>
      </c>
      <c r="BL578" s="1073"/>
      <c r="BM578" s="1073"/>
      <c r="BN578" s="1073"/>
      <c r="BO578" s="107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91"/>
      <c r="J579" s="1376"/>
      <c r="K579" s="1376"/>
      <c r="L579" s="1376"/>
      <c r="M579" s="1376"/>
      <c r="N579" s="977"/>
      <c r="O579" s="1378">
        <v>0.35</v>
      </c>
      <c r="P579" s="974"/>
      <c r="Q579" s="1379"/>
      <c r="R579" s="974"/>
      <c r="S579" s="1421" t="s">
        <v>2102</v>
      </c>
      <c r="T579" s="974"/>
      <c r="U579" s="1390">
        <v>17.5</v>
      </c>
      <c r="V579" s="974"/>
      <c r="W579" s="1390">
        <v>26.3</v>
      </c>
      <c r="X579" s="974"/>
      <c r="Y579" s="1390">
        <v>35</v>
      </c>
      <c r="Z579" s="974"/>
      <c r="AA579" s="1390"/>
      <c r="AB579" s="974"/>
      <c r="AC579" s="1390">
        <v>50</v>
      </c>
      <c r="AD579" s="974"/>
      <c r="AE579" s="1445"/>
      <c r="AF579" s="974"/>
      <c r="AN579" s="279"/>
      <c r="AP579" s="1092"/>
      <c r="AQ579" s="1093"/>
      <c r="AR579" s="1093"/>
      <c r="AS579" s="1093"/>
      <c r="AT579" s="1093"/>
      <c r="AU579" s="1093"/>
      <c r="AV579" s="1093"/>
      <c r="AW579" s="1093"/>
      <c r="AX579" s="1093"/>
      <c r="AY579" s="1093"/>
      <c r="AZ579" s="1093"/>
      <c r="BA579" s="1093"/>
      <c r="BB579" s="1093"/>
      <c r="BC579" s="1093"/>
      <c r="BD579" s="1093"/>
      <c r="BE579" s="1093"/>
      <c r="BF579" s="1093"/>
      <c r="BG579" s="1093"/>
      <c r="BH579" s="1093"/>
      <c r="BI579" s="1093"/>
      <c r="BJ579" s="1094"/>
      <c r="BK579" s="1092"/>
      <c r="BL579" s="1093"/>
      <c r="BM579" s="1093"/>
      <c r="BN579" s="1093"/>
      <c r="BO579" s="109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91"/>
      <c r="J580" s="1376"/>
      <c r="K580" s="1376"/>
      <c r="L580" s="1376"/>
      <c r="M580" s="1376"/>
      <c r="N580" s="977"/>
      <c r="O580" s="1378">
        <v>0.3</v>
      </c>
      <c r="P580" s="974"/>
      <c r="Q580" s="1379"/>
      <c r="R580" s="974"/>
      <c r="S580" s="1421" t="s">
        <v>2103</v>
      </c>
      <c r="T580" s="974"/>
      <c r="U580" s="1390">
        <v>15</v>
      </c>
      <c r="V580" s="974"/>
      <c r="W580" s="1390">
        <v>22.5</v>
      </c>
      <c r="X580" s="974"/>
      <c r="Y580" s="1390">
        <v>30</v>
      </c>
      <c r="Z580" s="974"/>
      <c r="AA580" s="1390">
        <v>37.5</v>
      </c>
      <c r="AB580" s="974"/>
      <c r="AC580" s="1390">
        <v>45</v>
      </c>
      <c r="AD580" s="974"/>
      <c r="AE580" s="1445"/>
      <c r="AF580" s="974"/>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55">
        <v>5</v>
      </c>
      <c r="BK580" s="973"/>
      <c r="BL580" s="973"/>
      <c r="BM580" s="973"/>
      <c r="BN580" s="974"/>
      <c r="BO580" s="1255">
        <v>4</v>
      </c>
      <c r="BP580" s="973"/>
      <c r="BQ580" s="973"/>
      <c r="BR580" s="973"/>
      <c r="BS580" s="974"/>
      <c r="BT580" s="1255">
        <v>3</v>
      </c>
      <c r="BU580" s="973"/>
      <c r="BV580" s="973"/>
      <c r="BW580" s="973"/>
      <c r="BX580" s="974"/>
      <c r="BY580" s="1255">
        <v>2</v>
      </c>
      <c r="BZ580" s="973"/>
      <c r="CA580" s="973"/>
      <c r="CB580" s="973"/>
      <c r="CC580" s="974"/>
      <c r="CD580" s="1255">
        <v>1</v>
      </c>
      <c r="CE580" s="973"/>
      <c r="CF580" s="973"/>
      <c r="CG580" s="973"/>
      <c r="CH580" s="974"/>
      <c r="CI580" s="1255">
        <v>0</v>
      </c>
      <c r="CJ580" s="973"/>
      <c r="CK580" s="973"/>
      <c r="CL580" s="973"/>
      <c r="CM580" s="974"/>
      <c r="CN580" s="21"/>
      <c r="CO580" s="21"/>
      <c r="CP580" s="21"/>
      <c r="CQ580" s="21"/>
      <c r="CR580" s="21"/>
    </row>
    <row r="581" spans="1:96" s="4" customFormat="1" ht="12.75" customHeight="1">
      <c r="B581" s="5"/>
      <c r="C581" s="5"/>
      <c r="D581" s="5"/>
      <c r="E581" s="5"/>
      <c r="I581" s="1091"/>
      <c r="J581" s="1376"/>
      <c r="K581" s="1376"/>
      <c r="L581" s="1376"/>
      <c r="M581" s="1376"/>
      <c r="N581" s="977"/>
      <c r="O581" s="1378">
        <v>0.25</v>
      </c>
      <c r="P581" s="974"/>
      <c r="Q581" s="1379"/>
      <c r="R581" s="974"/>
      <c r="S581" s="1421" t="s">
        <v>2104</v>
      </c>
      <c r="T581" s="974"/>
      <c r="U581" s="1390">
        <v>12.5</v>
      </c>
      <c r="V581" s="974"/>
      <c r="W581" s="1390">
        <v>18.8</v>
      </c>
      <c r="X581" s="974"/>
      <c r="Y581" s="1390">
        <v>25</v>
      </c>
      <c r="Z581" s="974"/>
      <c r="AA581" s="1390">
        <v>31.3</v>
      </c>
      <c r="AB581" s="974"/>
      <c r="AC581" s="1390">
        <v>37.5</v>
      </c>
      <c r="AD581" s="974"/>
      <c r="AE581" s="1445">
        <v>50</v>
      </c>
      <c r="AF581" s="974"/>
      <c r="AN581" s="279"/>
      <c r="AP581" s="1391" t="str">
        <f t="shared" ref="AP581:AP587" si="0">J618</f>
        <v>5 BR</v>
      </c>
      <c r="AQ581" s="973"/>
      <c r="AR581" s="973"/>
      <c r="AS581" s="973"/>
      <c r="AT581" s="974"/>
      <c r="AU581" s="1256">
        <f t="shared" ref="AU581:AU586" si="1">O618</f>
        <v>0</v>
      </c>
      <c r="AV581" s="973"/>
      <c r="AW581" s="973"/>
      <c r="AX581" s="973"/>
      <c r="AY581" s="974"/>
      <c r="AZ581" s="1256">
        <f t="shared" ref="AZ581:AZ586" si="2">T618</f>
        <v>0</v>
      </c>
      <c r="BA581" s="973"/>
      <c r="BB581" s="973"/>
      <c r="BC581" s="973"/>
      <c r="BD581" s="974"/>
      <c r="BE581" s="1440">
        <f t="shared" ref="BE581:BE586" si="3">Y618</f>
        <v>0</v>
      </c>
      <c r="BF581" s="973"/>
      <c r="BG581" s="973"/>
      <c r="BH581" s="973"/>
      <c r="BI581" s="974"/>
      <c r="BJ581" s="1255">
        <f>IF(OR(AP591=0,BE581&gt;=0.1),0,1)</f>
        <v>0</v>
      </c>
      <c r="BK581" s="973"/>
      <c r="BL581" s="973"/>
      <c r="BM581" s="973"/>
      <c r="BN581" s="974"/>
      <c r="BO581" s="1255"/>
      <c r="BP581" s="973"/>
      <c r="BQ581" s="973"/>
      <c r="BR581" s="973"/>
      <c r="BS581" s="974"/>
      <c r="BT581" s="1255"/>
      <c r="BU581" s="973"/>
      <c r="BV581" s="973"/>
      <c r="BW581" s="973"/>
      <c r="BX581" s="974"/>
      <c r="BY581" s="1255"/>
      <c r="BZ581" s="973"/>
      <c r="CA581" s="973"/>
      <c r="CB581" s="973"/>
      <c r="CC581" s="974"/>
      <c r="CD581" s="1255"/>
      <c r="CE581" s="973"/>
      <c r="CF581" s="973"/>
      <c r="CG581" s="973"/>
      <c r="CH581" s="974"/>
      <c r="CI581" s="1255"/>
      <c r="CJ581" s="973"/>
      <c r="CK581" s="973"/>
      <c r="CL581" s="973"/>
      <c r="CM581" s="974"/>
      <c r="CN581" s="21"/>
      <c r="CO581" s="21"/>
      <c r="CP581" s="21"/>
      <c r="CQ581" s="21"/>
      <c r="CR581" s="21"/>
    </row>
    <row r="582" spans="1:96" s="4" customFormat="1" ht="12.75" customHeight="1">
      <c r="A582" s="118"/>
      <c r="B582" s="5"/>
      <c r="C582" s="5"/>
      <c r="D582" s="5"/>
      <c r="E582" s="5"/>
      <c r="I582" s="1091"/>
      <c r="J582" s="1376"/>
      <c r="K582" s="1376"/>
      <c r="L582" s="1376"/>
      <c r="M582" s="1376"/>
      <c r="N582" s="977"/>
      <c r="O582" s="1378">
        <v>0.2</v>
      </c>
      <c r="P582" s="974"/>
      <c r="Q582" s="1379"/>
      <c r="R582" s="974"/>
      <c r="S582" s="1418" t="s">
        <v>2105</v>
      </c>
      <c r="T582" s="974"/>
      <c r="U582" s="1390">
        <v>10</v>
      </c>
      <c r="V582" s="974"/>
      <c r="W582" s="1390">
        <v>15</v>
      </c>
      <c r="X582" s="974"/>
      <c r="Y582" s="1390">
        <v>20</v>
      </c>
      <c r="Z582" s="974"/>
      <c r="AA582" s="1390">
        <v>25</v>
      </c>
      <c r="AB582" s="974"/>
      <c r="AC582" s="1390">
        <v>30</v>
      </c>
      <c r="AD582" s="974"/>
      <c r="AE582" s="1445">
        <v>40</v>
      </c>
      <c r="AF582" s="974"/>
      <c r="AN582" s="279"/>
      <c r="AP582" s="1391" t="str">
        <f t="shared" si="0"/>
        <v>4 BR</v>
      </c>
      <c r="AQ582" s="973"/>
      <c r="AR582" s="973"/>
      <c r="AS582" s="973"/>
      <c r="AT582" s="974"/>
      <c r="AU582" s="1256">
        <f t="shared" si="1"/>
        <v>0</v>
      </c>
      <c r="AV582" s="973"/>
      <c r="AW582" s="973"/>
      <c r="AX582" s="973"/>
      <c r="AY582" s="974"/>
      <c r="AZ582" s="1256">
        <f t="shared" si="2"/>
        <v>0</v>
      </c>
      <c r="BA582" s="973"/>
      <c r="BB582" s="973"/>
      <c r="BC582" s="973"/>
      <c r="BD582" s="974"/>
      <c r="BE582" s="1440">
        <f t="shared" si="3"/>
        <v>0</v>
      </c>
      <c r="BF582" s="973"/>
      <c r="BG582" s="973"/>
      <c r="BH582" s="973"/>
      <c r="BI582" s="974"/>
      <c r="BJ582" s="1255"/>
      <c r="BK582" s="973"/>
      <c r="BL582" s="973"/>
      <c r="BM582" s="973"/>
      <c r="BN582" s="974"/>
      <c r="BO582" s="1255">
        <f>IF(AND(AND(AZ581=0,BJ581=0,AP592=1)),1,0)</f>
        <v>0</v>
      </c>
      <c r="BP582" s="973"/>
      <c r="BQ582" s="973"/>
      <c r="BR582" s="973"/>
      <c r="BS582" s="974"/>
      <c r="BT582" s="1255"/>
      <c r="BU582" s="973"/>
      <c r="BV582" s="973"/>
      <c r="BW582" s="973"/>
      <c r="BX582" s="974"/>
      <c r="BY582" s="1255"/>
      <c r="BZ582" s="973"/>
      <c r="CA582" s="973"/>
      <c r="CB582" s="973"/>
      <c r="CC582" s="974"/>
      <c r="CD582" s="1255"/>
      <c r="CE582" s="973"/>
      <c r="CF582" s="973"/>
      <c r="CG582" s="973"/>
      <c r="CH582" s="974"/>
      <c r="CI582" s="1255"/>
      <c r="CJ582" s="973"/>
      <c r="CK582" s="973"/>
      <c r="CL582" s="973"/>
      <c r="CM582" s="974"/>
      <c r="CN582" s="21"/>
      <c r="CO582" s="21"/>
      <c r="CP582" s="21"/>
      <c r="CQ582" s="21"/>
      <c r="CR582" s="21"/>
    </row>
    <row r="583" spans="1:96" s="4" customFormat="1" ht="12.75" customHeight="1">
      <c r="A583" s="118"/>
      <c r="B583" s="5"/>
      <c r="C583" s="5"/>
      <c r="D583" s="5"/>
      <c r="E583" s="5"/>
      <c r="I583" s="1091"/>
      <c r="J583" s="1376"/>
      <c r="K583" s="1376"/>
      <c r="L583" s="1376"/>
      <c r="M583" s="1376"/>
      <c r="N583" s="977"/>
      <c r="O583" s="1378">
        <v>0.15</v>
      </c>
      <c r="P583" s="974"/>
      <c r="Q583" s="1379"/>
      <c r="R583" s="974"/>
      <c r="S583" s="1421" t="s">
        <v>2106</v>
      </c>
      <c r="T583" s="974"/>
      <c r="U583" s="1390">
        <v>7.5</v>
      </c>
      <c r="V583" s="974"/>
      <c r="W583" s="1390">
        <v>11.3</v>
      </c>
      <c r="X583" s="974"/>
      <c r="Y583" s="1390">
        <v>15</v>
      </c>
      <c r="Z583" s="974"/>
      <c r="AA583" s="1390">
        <v>18.8</v>
      </c>
      <c r="AB583" s="974"/>
      <c r="AC583" s="1390">
        <v>22.5</v>
      </c>
      <c r="AD583" s="974"/>
      <c r="AE583" s="1445">
        <v>30</v>
      </c>
      <c r="AF583" s="974"/>
      <c r="AN583" s="279"/>
      <c r="AP583" s="1391" t="str">
        <f t="shared" si="0"/>
        <v>3 BR</v>
      </c>
      <c r="AQ583" s="973"/>
      <c r="AR583" s="973"/>
      <c r="AS583" s="973"/>
      <c r="AT583" s="974"/>
      <c r="AU583" s="1256">
        <f t="shared" si="1"/>
        <v>0</v>
      </c>
      <c r="AV583" s="973"/>
      <c r="AW583" s="973"/>
      <c r="AX583" s="973"/>
      <c r="AY583" s="974"/>
      <c r="AZ583" s="1256">
        <f t="shared" si="2"/>
        <v>0</v>
      </c>
      <c r="BA583" s="973"/>
      <c r="BB583" s="973"/>
      <c r="BC583" s="973"/>
      <c r="BD583" s="974"/>
      <c r="BE583" s="1440">
        <f t="shared" si="3"/>
        <v>0</v>
      </c>
      <c r="BF583" s="973"/>
      <c r="BG583" s="973"/>
      <c r="BH583" s="973"/>
      <c r="BI583" s="974"/>
      <c r="BJ583" s="1255"/>
      <c r="BK583" s="973"/>
      <c r="BL583" s="973"/>
      <c r="BM583" s="973"/>
      <c r="BN583" s="974"/>
      <c r="BO583" s="1255"/>
      <c r="BP583" s="973"/>
      <c r="BQ583" s="973"/>
      <c r="BR583" s="973"/>
      <c r="BS583" s="974"/>
      <c r="BT583" s="1255">
        <f>IF(AND(AND(AZ581+AZ582=0,BJ581+BO582=0,AP593=1)),1,0)</f>
        <v>0</v>
      </c>
      <c r="BU583" s="973"/>
      <c r="BV583" s="973"/>
      <c r="BW583" s="973"/>
      <c r="BX583" s="974"/>
      <c r="BY583" s="1255"/>
      <c r="BZ583" s="973"/>
      <c r="CA583" s="973"/>
      <c r="CB583" s="973"/>
      <c r="CC583" s="974"/>
      <c r="CD583" s="1255"/>
      <c r="CE583" s="973"/>
      <c r="CF583" s="973"/>
      <c r="CG583" s="973"/>
      <c r="CH583" s="974"/>
      <c r="CI583" s="1255"/>
      <c r="CJ583" s="973"/>
      <c r="CK583" s="973"/>
      <c r="CL583" s="973"/>
      <c r="CM583" s="974"/>
      <c r="CN583" s="21"/>
      <c r="CO583" s="21"/>
      <c r="CP583" s="21"/>
      <c r="CQ583" s="21"/>
      <c r="CR583" s="21"/>
    </row>
    <row r="584" spans="1:96" s="4" customFormat="1" ht="12.75" customHeight="1" thickBot="1">
      <c r="B584" s="5"/>
      <c r="C584" s="5"/>
      <c r="D584" s="5"/>
      <c r="E584" s="5"/>
      <c r="I584" s="1092"/>
      <c r="J584" s="1093"/>
      <c r="K584" s="1093"/>
      <c r="L584" s="1093"/>
      <c r="M584" s="1093"/>
      <c r="N584" s="1094"/>
      <c r="O584" s="1378">
        <v>0.1</v>
      </c>
      <c r="P584" s="974"/>
      <c r="Q584" s="1441"/>
      <c r="R584" s="1399"/>
      <c r="S584" s="1421" t="s">
        <v>2107</v>
      </c>
      <c r="T584" s="974"/>
      <c r="U584" s="1398">
        <v>5</v>
      </c>
      <c r="V584" s="1399"/>
      <c r="W584" s="1398">
        <v>7.5</v>
      </c>
      <c r="X584" s="1399"/>
      <c r="Y584" s="1398">
        <v>10</v>
      </c>
      <c r="Z584" s="1399"/>
      <c r="AA584" s="1398">
        <v>12.5</v>
      </c>
      <c r="AB584" s="1399"/>
      <c r="AC584" s="1398">
        <v>15</v>
      </c>
      <c r="AD584" s="1399"/>
      <c r="AE584" s="1513">
        <v>20</v>
      </c>
      <c r="AF584" s="1399"/>
      <c r="AK584" s="165"/>
      <c r="AL584" s="165"/>
      <c r="AM584" s="5"/>
      <c r="AN584" s="279"/>
      <c r="AP584" s="1391" t="str">
        <f t="shared" si="0"/>
        <v>2 BR</v>
      </c>
      <c r="AQ584" s="973"/>
      <c r="AR584" s="973"/>
      <c r="AS584" s="973"/>
      <c r="AT584" s="974"/>
      <c r="AU584" s="1256">
        <f t="shared" si="1"/>
        <v>0</v>
      </c>
      <c r="AV584" s="973"/>
      <c r="AW584" s="973"/>
      <c r="AX584" s="973"/>
      <c r="AY584" s="974"/>
      <c r="AZ584" s="1256">
        <f t="shared" si="2"/>
        <v>0</v>
      </c>
      <c r="BA584" s="973"/>
      <c r="BB584" s="973"/>
      <c r="BC584" s="973"/>
      <c r="BD584" s="974"/>
      <c r="BE584" s="1440">
        <f t="shared" si="3"/>
        <v>0</v>
      </c>
      <c r="BF584" s="973"/>
      <c r="BG584" s="973"/>
      <c r="BH584" s="973"/>
      <c r="BI584" s="974"/>
      <c r="BJ584" s="1255"/>
      <c r="BK584" s="973"/>
      <c r="BL584" s="973"/>
      <c r="BM584" s="973"/>
      <c r="BN584" s="974"/>
      <c r="BO584" s="1255"/>
      <c r="BP584" s="973"/>
      <c r="BQ584" s="973"/>
      <c r="BR584" s="973"/>
      <c r="BS584" s="974"/>
      <c r="BT584" s="1255"/>
      <c r="BU584" s="973"/>
      <c r="BV584" s="973"/>
      <c r="BW584" s="973"/>
      <c r="BX584" s="974"/>
      <c r="BY584" s="1255">
        <f>IF(AND(AND(AZ581+AZ582+AZ583=0,BO582+BT583+BJ581=0,AP594=1)),1,0)</f>
        <v>0</v>
      </c>
      <c r="BZ584" s="973"/>
      <c r="CA584" s="973"/>
      <c r="CB584" s="973"/>
      <c r="CC584" s="974"/>
      <c r="CD584" s="1255"/>
      <c r="CE584" s="973"/>
      <c r="CF584" s="973"/>
      <c r="CG584" s="973"/>
      <c r="CH584" s="974"/>
      <c r="CI584" s="1255"/>
      <c r="CJ584" s="973"/>
      <c r="CK584" s="973"/>
      <c r="CL584" s="973"/>
      <c r="CM584" s="974"/>
      <c r="CN584" s="21"/>
      <c r="CO584" s="21"/>
      <c r="CP584" s="21"/>
      <c r="CQ584" s="21"/>
      <c r="CR584" s="21"/>
    </row>
    <row r="585" spans="1:96" s="4" customFormat="1" ht="12.75" customHeight="1">
      <c r="B585" s="5"/>
      <c r="C585" s="5"/>
      <c r="D585" s="5"/>
      <c r="E585" s="1358" t="s">
        <v>2108</v>
      </c>
      <c r="F585" s="1073"/>
      <c r="G585" s="1073"/>
      <c r="H585" s="1073"/>
      <c r="I585" s="1073"/>
      <c r="J585" s="1073"/>
      <c r="K585" s="1073"/>
      <c r="L585" s="1073"/>
      <c r="M585" s="1073"/>
      <c r="N585" s="1073"/>
      <c r="O585" s="1073"/>
      <c r="P585" s="1073"/>
      <c r="Q585" s="1073"/>
      <c r="R585" s="1073"/>
      <c r="S585" s="1073"/>
      <c r="T585" s="1073"/>
      <c r="U585" s="1073"/>
      <c r="V585" s="1073"/>
      <c r="W585" s="1073"/>
      <c r="X585" s="1073"/>
      <c r="Y585" s="1073"/>
      <c r="Z585" s="1073"/>
      <c r="AA585" s="1073"/>
      <c r="AB585" s="1073"/>
      <c r="AC585" s="1073"/>
      <c r="AD585" s="1073"/>
      <c r="AE585" s="1073"/>
      <c r="AF585" s="1073"/>
      <c r="AG585" s="1073"/>
      <c r="AH585" s="1074"/>
      <c r="AK585" s="165"/>
      <c r="AL585" s="165"/>
      <c r="AM585" s="5"/>
      <c r="AN585" s="279"/>
      <c r="AP585" s="1391" t="str">
        <f t="shared" si="0"/>
        <v>1 BR</v>
      </c>
      <c r="AQ585" s="973"/>
      <c r="AR585" s="973"/>
      <c r="AS585" s="973"/>
      <c r="AT585" s="974"/>
      <c r="AU585" s="1256">
        <f t="shared" si="1"/>
        <v>0</v>
      </c>
      <c r="AV585" s="973"/>
      <c r="AW585" s="973"/>
      <c r="AX585" s="973"/>
      <c r="AY585" s="974"/>
      <c r="AZ585" s="1256">
        <f t="shared" si="2"/>
        <v>0</v>
      </c>
      <c r="BA585" s="973"/>
      <c r="BB585" s="973"/>
      <c r="BC585" s="973"/>
      <c r="BD585" s="974"/>
      <c r="BE585" s="1440">
        <f t="shared" si="3"/>
        <v>0</v>
      </c>
      <c r="BF585" s="973"/>
      <c r="BG585" s="973"/>
      <c r="BH585" s="973"/>
      <c r="BI585" s="974"/>
      <c r="BJ585" s="1255"/>
      <c r="BK585" s="973"/>
      <c r="BL585" s="973"/>
      <c r="BM585" s="973"/>
      <c r="BN585" s="974"/>
      <c r="BO585" s="1255"/>
      <c r="BP585" s="973"/>
      <c r="BQ585" s="973"/>
      <c r="BR585" s="973"/>
      <c r="BS585" s="974"/>
      <c r="BT585" s="1255"/>
      <c r="BU585" s="973"/>
      <c r="BV585" s="973"/>
      <c r="BW585" s="973"/>
      <c r="BX585" s="974"/>
      <c r="BY585" s="1255"/>
      <c r="BZ585" s="973"/>
      <c r="CA585" s="973"/>
      <c r="CB585" s="973"/>
      <c r="CC585" s="974"/>
      <c r="CD585" s="1255">
        <f>IF(AND(AND(BE582+BE583+BE584+BE581=0,BT583+BY584+BO582+BJ581=0,AP595=1)),1,0)</f>
        <v>0</v>
      </c>
      <c r="CE585" s="973"/>
      <c r="CF585" s="973"/>
      <c r="CG585" s="973"/>
      <c r="CH585" s="974"/>
      <c r="CI585" s="1255"/>
      <c r="CJ585" s="973"/>
      <c r="CK585" s="973"/>
      <c r="CL585" s="973"/>
      <c r="CM585" s="974"/>
      <c r="CN585" s="21"/>
      <c r="CO585" s="21"/>
      <c r="CP585" s="21"/>
      <c r="CQ585" s="21"/>
      <c r="CR585" s="21"/>
    </row>
    <row r="586" spans="1:96" s="4" customFormat="1" ht="12.75" customHeight="1">
      <c r="E586" s="1092"/>
      <c r="F586" s="1093"/>
      <c r="G586" s="1093"/>
      <c r="H586" s="1093"/>
      <c r="I586" s="1093"/>
      <c r="J586" s="1093"/>
      <c r="K586" s="1093"/>
      <c r="L586" s="1093"/>
      <c r="M586" s="1093"/>
      <c r="N586" s="1093"/>
      <c r="O586" s="1093"/>
      <c r="P586" s="1093"/>
      <c r="Q586" s="1093"/>
      <c r="R586" s="1093"/>
      <c r="S586" s="1093"/>
      <c r="T586" s="1093"/>
      <c r="U586" s="1093"/>
      <c r="V586" s="1093"/>
      <c r="W586" s="1093"/>
      <c r="X586" s="1093"/>
      <c r="Y586" s="1093"/>
      <c r="Z586" s="1093"/>
      <c r="AA586" s="1093"/>
      <c r="AB586" s="1093"/>
      <c r="AC586" s="1093"/>
      <c r="AD586" s="1093"/>
      <c r="AE586" s="1093"/>
      <c r="AF586" s="1093"/>
      <c r="AG586" s="1093"/>
      <c r="AH586" s="1094"/>
      <c r="AN586" s="279"/>
      <c r="AP586" s="1391" t="str">
        <f t="shared" si="0"/>
        <v>SRO</v>
      </c>
      <c r="AQ586" s="973"/>
      <c r="AR586" s="973"/>
      <c r="AS586" s="973"/>
      <c r="AT586" s="974"/>
      <c r="AU586" s="1256">
        <f t="shared" si="1"/>
        <v>38</v>
      </c>
      <c r="AV586" s="973"/>
      <c r="AW586" s="973"/>
      <c r="AX586" s="973"/>
      <c r="AY586" s="974"/>
      <c r="AZ586" s="1256">
        <f t="shared" si="2"/>
        <v>5</v>
      </c>
      <c r="BA586" s="973"/>
      <c r="BB586" s="973"/>
      <c r="BC586" s="973"/>
      <c r="BD586" s="974"/>
      <c r="BE586" s="1440">
        <f t="shared" si="3"/>
        <v>0.13157894736842105</v>
      </c>
      <c r="BF586" s="973"/>
      <c r="BG586" s="973"/>
      <c r="BH586" s="973"/>
      <c r="BI586" s="974"/>
      <c r="BJ586" s="1255"/>
      <c r="BK586" s="973"/>
      <c r="BL586" s="973"/>
      <c r="BM586" s="973"/>
      <c r="BN586" s="974"/>
      <c r="BO586" s="1255"/>
      <c r="BP586" s="973"/>
      <c r="BQ586" s="973"/>
      <c r="BR586" s="973"/>
      <c r="BS586" s="974"/>
      <c r="BT586" s="1255"/>
      <c r="BU586" s="973"/>
      <c r="BV586" s="973"/>
      <c r="BW586" s="973"/>
      <c r="BX586" s="974"/>
      <c r="BY586" s="1255"/>
      <c r="BZ586" s="973"/>
      <c r="CA586" s="973"/>
      <c r="CB586" s="973"/>
      <c r="CC586" s="974"/>
      <c r="CD586" s="1255"/>
      <c r="CE586" s="973"/>
      <c r="CF586" s="973"/>
      <c r="CG586" s="973"/>
      <c r="CH586" s="974"/>
      <c r="CI586" s="1255">
        <f>IF(AND(AND(AZ583+AZ584+AZ585+AZ582+AZ581=0,BY584+CD585+BT583+BO582+BJ581=0,AP596=1)),1,0)</f>
        <v>0</v>
      </c>
      <c r="CJ586" s="973"/>
      <c r="CK586" s="973"/>
      <c r="CL586" s="973"/>
      <c r="CM586" s="974"/>
      <c r="CN586" s="21"/>
      <c r="CO586" s="21"/>
      <c r="CP586" s="21"/>
      <c r="CQ586" s="21"/>
      <c r="CR586" s="21"/>
    </row>
    <row r="587" spans="1:96" s="4" customFormat="1" ht="12.75" customHeight="1">
      <c r="E587" s="1479" t="s">
        <v>2109</v>
      </c>
      <c r="F587" s="1073"/>
      <c r="G587" s="1073"/>
      <c r="H587" s="1073"/>
      <c r="I587" s="1073"/>
      <c r="J587" s="1074"/>
      <c r="K587" s="1479" t="s">
        <v>2110</v>
      </c>
      <c r="L587" s="1073"/>
      <c r="M587" s="1073"/>
      <c r="N587" s="1073"/>
      <c r="O587" s="1073"/>
      <c r="P587" s="1074"/>
      <c r="Q587" s="1465" t="s">
        <v>2111</v>
      </c>
      <c r="R587" s="1073"/>
      <c r="S587" s="1073"/>
      <c r="T587" s="1073"/>
      <c r="U587" s="1073"/>
      <c r="V587" s="1074"/>
      <c r="W587" s="1465" t="str">
        <f>I576</f>
        <v>Percent of Low-Income Units (exclusive of manager’s units)</v>
      </c>
      <c r="X587" s="1073"/>
      <c r="Y587" s="1073"/>
      <c r="Z587" s="1073"/>
      <c r="AA587" s="1073"/>
      <c r="AB587" s="1074"/>
      <c r="AC587" s="1465" t="s">
        <v>2112</v>
      </c>
      <c r="AD587" s="1073"/>
      <c r="AE587" s="1073"/>
      <c r="AF587" s="1073"/>
      <c r="AG587" s="1073"/>
      <c r="AH587" s="1074"/>
      <c r="AN587" s="279"/>
      <c r="AP587" s="1391" t="str">
        <f t="shared" si="0"/>
        <v>Total:</v>
      </c>
      <c r="AQ587" s="973"/>
      <c r="AR587" s="973"/>
      <c r="AS587" s="973"/>
      <c r="AT587" s="974"/>
      <c r="AU587" s="1391"/>
      <c r="AV587" s="973"/>
      <c r="AW587" s="973"/>
      <c r="AX587" s="973"/>
      <c r="AY587" s="974"/>
      <c r="AZ587" s="1391"/>
      <c r="BA587" s="973"/>
      <c r="BB587" s="973"/>
      <c r="BC587" s="973"/>
      <c r="BD587" s="974"/>
      <c r="BE587" s="1391"/>
      <c r="BF587" s="973"/>
      <c r="BG587" s="973"/>
      <c r="BH587" s="973"/>
      <c r="BI587" s="974"/>
      <c r="BJ587" s="1255">
        <f>SUM(BJ581:BN586)</f>
        <v>0</v>
      </c>
      <c r="BK587" s="973"/>
      <c r="BL587" s="973"/>
      <c r="BM587" s="973"/>
      <c r="BN587" s="974"/>
      <c r="BO587" s="1255">
        <f>SUM(BO581:BS586)</f>
        <v>0</v>
      </c>
      <c r="BP587" s="973"/>
      <c r="BQ587" s="973"/>
      <c r="BR587" s="973"/>
      <c r="BS587" s="974"/>
      <c r="BT587" s="1255">
        <f>SUM(BT581:BX586)</f>
        <v>0</v>
      </c>
      <c r="BU587" s="973"/>
      <c r="BV587" s="973"/>
      <c r="BW587" s="973"/>
      <c r="BX587" s="974"/>
      <c r="BY587" s="1255">
        <f>SUM(BY581:CC586)</f>
        <v>0</v>
      </c>
      <c r="BZ587" s="973"/>
      <c r="CA587" s="973"/>
      <c r="CB587" s="973"/>
      <c r="CC587" s="974"/>
      <c r="CD587" s="1255">
        <f>SUM(CD581:CH586)</f>
        <v>0</v>
      </c>
      <c r="CE587" s="973"/>
      <c r="CF587" s="973"/>
      <c r="CG587" s="973"/>
      <c r="CH587" s="974"/>
      <c r="CI587" s="1255">
        <f>SUM(CI581:CM586)</f>
        <v>0</v>
      </c>
      <c r="CJ587" s="973"/>
      <c r="CK587" s="973"/>
      <c r="CL587" s="973"/>
      <c r="CM587" s="974"/>
      <c r="CN587" s="1255">
        <f>SUM(BJ587:CM587)</f>
        <v>0</v>
      </c>
      <c r="CO587" s="973"/>
      <c r="CP587" s="973"/>
      <c r="CQ587" s="973"/>
      <c r="CR587" s="974"/>
    </row>
    <row r="588" spans="1:96" s="4" customFormat="1" ht="12.75" customHeight="1">
      <c r="E588" s="1091"/>
      <c r="F588" s="1376"/>
      <c r="G588" s="1376"/>
      <c r="H588" s="1376"/>
      <c r="I588" s="1376"/>
      <c r="J588" s="977"/>
      <c r="K588" s="1091"/>
      <c r="L588" s="1376"/>
      <c r="M588" s="1376"/>
      <c r="N588" s="1376"/>
      <c r="O588" s="1376"/>
      <c r="P588" s="977"/>
      <c r="Q588" s="1091"/>
      <c r="R588" s="1376"/>
      <c r="S588" s="1376"/>
      <c r="T588" s="1376"/>
      <c r="U588" s="1376"/>
      <c r="V588" s="977"/>
      <c r="W588" s="1091"/>
      <c r="X588" s="1376"/>
      <c r="Y588" s="1376"/>
      <c r="Z588" s="1376"/>
      <c r="AA588" s="1376"/>
      <c r="AB588" s="977"/>
      <c r="AC588" s="1091"/>
      <c r="AD588" s="1376"/>
      <c r="AE588" s="1376"/>
      <c r="AF588" s="1376"/>
      <c r="AG588" s="1376"/>
      <c r="AH588" s="977"/>
      <c r="AN588" s="279"/>
    </row>
    <row r="589" spans="1:96" s="4" customFormat="1" ht="12.75" customHeight="1">
      <c r="E589" s="1091"/>
      <c r="F589" s="1376"/>
      <c r="G589" s="1376"/>
      <c r="H589" s="1376"/>
      <c r="I589" s="1376"/>
      <c r="J589" s="977"/>
      <c r="K589" s="1091"/>
      <c r="L589" s="1376"/>
      <c r="M589" s="1376"/>
      <c r="N589" s="1376"/>
      <c r="O589" s="1376"/>
      <c r="P589" s="977"/>
      <c r="Q589" s="1091"/>
      <c r="R589" s="1376"/>
      <c r="S589" s="1376"/>
      <c r="T589" s="1376"/>
      <c r="U589" s="1376"/>
      <c r="V589" s="977"/>
      <c r="W589" s="1091"/>
      <c r="X589" s="1376"/>
      <c r="Y589" s="1376"/>
      <c r="Z589" s="1376"/>
      <c r="AA589" s="1376"/>
      <c r="AB589" s="977"/>
      <c r="AC589" s="1091"/>
      <c r="AD589" s="1376"/>
      <c r="AE589" s="1376"/>
      <c r="AF589" s="1376"/>
      <c r="AG589" s="1376"/>
      <c r="AH589" s="977"/>
      <c r="AN589" s="279"/>
    </row>
    <row r="590" spans="1:96" s="4" customFormat="1" ht="12.75" customHeight="1">
      <c r="E590" s="1091"/>
      <c r="F590" s="1376"/>
      <c r="G590" s="1376"/>
      <c r="H590" s="1376"/>
      <c r="I590" s="1376"/>
      <c r="J590" s="977"/>
      <c r="K590" s="1091"/>
      <c r="L590" s="1376"/>
      <c r="M590" s="1376"/>
      <c r="N590" s="1376"/>
      <c r="O590" s="1376"/>
      <c r="P590" s="977"/>
      <c r="Q590" s="1091"/>
      <c r="R590" s="1376"/>
      <c r="S590" s="1376"/>
      <c r="T590" s="1376"/>
      <c r="U590" s="1376"/>
      <c r="V590" s="977"/>
      <c r="W590" s="1091"/>
      <c r="X590" s="1376"/>
      <c r="Y590" s="1376"/>
      <c r="Z590" s="1376"/>
      <c r="AA590" s="1376"/>
      <c r="AB590" s="977"/>
      <c r="AC590" s="1091"/>
      <c r="AD590" s="1376"/>
      <c r="AE590" s="1376"/>
      <c r="AF590" s="1376"/>
      <c r="AG590" s="1376"/>
      <c r="AH590" s="977"/>
      <c r="AN590" s="279"/>
      <c r="AP590" s="3" t="s">
        <v>2113</v>
      </c>
      <c r="BH590" s="3" t="s">
        <v>2114</v>
      </c>
    </row>
    <row r="591" spans="1:96" s="4" customFormat="1" ht="12.75" customHeight="1">
      <c r="E591" s="1468"/>
      <c r="F591" s="1063"/>
      <c r="G591" s="1063"/>
      <c r="H591" s="1063"/>
      <c r="I591" s="1063"/>
      <c r="J591" s="1064"/>
      <c r="K591" s="1392">
        <v>20</v>
      </c>
      <c r="L591" s="973"/>
      <c r="M591" s="973"/>
      <c r="N591" s="973"/>
      <c r="O591" s="973"/>
      <c r="P591" s="974"/>
      <c r="Q591" s="1401">
        <f t="shared" ref="Q591:Q601" si="4">IF(ISERROR(IF((((E591/$BJ$538)*100)&gt;100),"EXCESSIVE VALUE",(E591/$BJ$538)*100)),0,IF((((E591/$BJ$538)*100)&gt;100),"EXCESSIVE VALUE",(E591/$BJ$538)*100))</f>
        <v>0</v>
      </c>
      <c r="R591" s="973"/>
      <c r="S591" s="973"/>
      <c r="T591" s="973"/>
      <c r="U591" s="973"/>
      <c r="V591" s="974"/>
      <c r="W591" s="1422">
        <f t="shared" ref="W591:W601" si="5">IF(FLOOR(Q591,5)&gt;80,80,FLOOR(Q591,5))</f>
        <v>0</v>
      </c>
      <c r="X591" s="973"/>
      <c r="Y591" s="973"/>
      <c r="Z591" s="973"/>
      <c r="AA591" s="973"/>
      <c r="AB591" s="974"/>
      <c r="AC591" s="1422">
        <f t="shared" ref="AC591:AC596" si="6">IFERROR(IF(W591&gt;0,INDEX($BI$517:$BP$531,MATCH(W591,$BH$517:$BH$531,0),MATCH(K591,$BI$516:$BP$516,0)),0),0)</f>
        <v>0</v>
      </c>
      <c r="AD591" s="973"/>
      <c r="AE591" s="973"/>
      <c r="AF591" s="973"/>
      <c r="AG591" s="973"/>
      <c r="AH591" s="974"/>
      <c r="AN591" s="279"/>
      <c r="AO591" s="4">
        <v>5</v>
      </c>
      <c r="AP591" s="1392">
        <f t="shared" ref="AP591:AP596" si="7">IF(OR(BE581&gt;=0.1,BE581=0),0,1)</f>
        <v>0</v>
      </c>
      <c r="AQ591" s="973"/>
      <c r="AR591" s="973"/>
      <c r="AS591" s="973"/>
      <c r="AT591" s="974"/>
      <c r="AX591" s="1412" t="s">
        <v>2115</v>
      </c>
      <c r="AY591" s="973"/>
      <c r="AZ591" s="973"/>
      <c r="BA591" s="973"/>
      <c r="BB591" s="973"/>
      <c r="BC591" s="973"/>
      <c r="BD591" s="973"/>
      <c r="BE591" s="973"/>
      <c r="BF591" s="973"/>
      <c r="BG591" s="973"/>
      <c r="BH591" s="973"/>
      <c r="BI591" s="973"/>
      <c r="BJ591" s="973"/>
      <c r="BK591" s="973"/>
      <c r="BL591" s="973"/>
      <c r="BM591" s="973"/>
      <c r="BN591" s="973"/>
      <c r="BO591" s="973"/>
      <c r="BP591" s="973"/>
      <c r="BQ591" s="974"/>
    </row>
    <row r="592" spans="1:96" s="4" customFormat="1" ht="12.75" customHeight="1">
      <c r="E592" s="1468">
        <v>5</v>
      </c>
      <c r="F592" s="1063"/>
      <c r="G592" s="1063"/>
      <c r="H592" s="1063"/>
      <c r="I592" s="1063"/>
      <c r="J592" s="1064"/>
      <c r="K592" s="1392">
        <v>30</v>
      </c>
      <c r="L592" s="973"/>
      <c r="M592" s="973"/>
      <c r="N592" s="973"/>
      <c r="O592" s="973"/>
      <c r="P592" s="974"/>
      <c r="Q592" s="1401">
        <f t="shared" si="4"/>
        <v>13.157894736842104</v>
      </c>
      <c r="R592" s="973"/>
      <c r="S592" s="973"/>
      <c r="T592" s="973"/>
      <c r="U592" s="973"/>
      <c r="V592" s="974"/>
      <c r="W592" s="1422">
        <f t="shared" si="5"/>
        <v>10</v>
      </c>
      <c r="X592" s="973"/>
      <c r="Y592" s="973"/>
      <c r="Z592" s="973"/>
      <c r="AA592" s="973"/>
      <c r="AB592" s="974"/>
      <c r="AC592" s="1422">
        <f t="shared" si="6"/>
        <v>15</v>
      </c>
      <c r="AD592" s="973"/>
      <c r="AE592" s="973"/>
      <c r="AF592" s="973"/>
      <c r="AG592" s="973"/>
      <c r="AH592" s="974"/>
      <c r="AN592" s="279"/>
      <c r="AO592" s="4">
        <v>4</v>
      </c>
      <c r="AP592" s="1392">
        <f t="shared" si="7"/>
        <v>0</v>
      </c>
      <c r="AQ592" s="973"/>
      <c r="AR592" s="973"/>
      <c r="AS592" s="973"/>
      <c r="AT592" s="974"/>
      <c r="AX592" s="1383" t="s">
        <v>2116</v>
      </c>
      <c r="AY592" s="974"/>
      <c r="AZ592" s="1076" t="s">
        <v>2116</v>
      </c>
      <c r="BA592" s="974"/>
      <c r="BB592" s="1383" t="s">
        <v>732</v>
      </c>
      <c r="BC592" s="974"/>
      <c r="BD592" s="1410" t="s">
        <v>732</v>
      </c>
      <c r="BE592" s="974"/>
      <c r="BF592" s="1383" t="s">
        <v>731</v>
      </c>
      <c r="BG592" s="974"/>
      <c r="BH592" s="1410" t="s">
        <v>731</v>
      </c>
      <c r="BI592" s="974"/>
      <c r="BJ592" s="1383" t="s">
        <v>730</v>
      </c>
      <c r="BK592" s="974"/>
      <c r="BL592" s="1410" t="s">
        <v>730</v>
      </c>
      <c r="BM592" s="974"/>
      <c r="BN592" s="1383" t="s">
        <v>168</v>
      </c>
      <c r="BO592" s="974"/>
      <c r="BP592" s="1410" t="s">
        <v>168</v>
      </c>
      <c r="BQ592" s="974"/>
    </row>
    <row r="593" spans="1:69" s="4" customFormat="1" ht="12.75" customHeight="1">
      <c r="E593" s="1468"/>
      <c r="F593" s="1063"/>
      <c r="G593" s="1063"/>
      <c r="H593" s="1063"/>
      <c r="I593" s="1063"/>
      <c r="J593" s="1064"/>
      <c r="K593" s="1392">
        <v>35</v>
      </c>
      <c r="L593" s="973"/>
      <c r="M593" s="973"/>
      <c r="N593" s="973"/>
      <c r="O593" s="973"/>
      <c r="P593" s="974"/>
      <c r="Q593" s="1401">
        <f t="shared" si="4"/>
        <v>0</v>
      </c>
      <c r="R593" s="973"/>
      <c r="S593" s="973"/>
      <c r="T593" s="973"/>
      <c r="U593" s="973"/>
      <c r="V593" s="974"/>
      <c r="W593" s="1422">
        <f t="shared" si="5"/>
        <v>0</v>
      </c>
      <c r="X593" s="973"/>
      <c r="Y593" s="973"/>
      <c r="Z593" s="973"/>
      <c r="AA593" s="973"/>
      <c r="AB593" s="974"/>
      <c r="AC593" s="1422">
        <f t="shared" si="6"/>
        <v>0</v>
      </c>
      <c r="AD593" s="973"/>
      <c r="AE593" s="973"/>
      <c r="AF593" s="973"/>
      <c r="AG593" s="973"/>
      <c r="AH593" s="974"/>
      <c r="AN593" s="279"/>
      <c r="AO593" s="4">
        <v>3</v>
      </c>
      <c r="AP593" s="1392">
        <f t="shared" si="7"/>
        <v>0</v>
      </c>
      <c r="AQ593" s="973"/>
      <c r="AR593" s="973"/>
      <c r="AS593" s="973"/>
      <c r="AT593" s="974"/>
      <c r="AX593" s="1383">
        <f>IF(AP543=1,1,0)</f>
        <v>0</v>
      </c>
      <c r="AY593" s="974"/>
      <c r="AZ593" s="1412"/>
      <c r="BA593" s="974"/>
      <c r="BB593" s="1396"/>
      <c r="BC593" s="974"/>
      <c r="BD593" s="1410">
        <f>IF(AND(T619&gt;0,AP543&gt;0),1,0)</f>
        <v>0</v>
      </c>
      <c r="BE593" s="974"/>
      <c r="BF593" s="1396"/>
      <c r="BG593" s="974"/>
      <c r="BH593" s="1410">
        <f>IF(AND(T619&gt;0,AP543&gt;0),1,0)</f>
        <v>0</v>
      </c>
      <c r="BI593" s="974"/>
      <c r="BJ593" s="1396"/>
      <c r="BK593" s="974"/>
      <c r="BL593" s="1410">
        <f>IF(AND(T619&gt;0,AP543&gt;0),1,0)</f>
        <v>0</v>
      </c>
      <c r="BM593" s="974"/>
      <c r="BN593" s="1396"/>
      <c r="BO593" s="974"/>
      <c r="BP593" s="1410">
        <f>IF(AND(T619&gt;0,AP543&gt;0),1,0)</f>
        <v>0</v>
      </c>
      <c r="BQ593" s="974"/>
    </row>
    <row r="594" spans="1:69" s="4" customFormat="1" ht="12.75" customHeight="1">
      <c r="E594" s="1468">
        <v>8</v>
      </c>
      <c r="F594" s="1063"/>
      <c r="G594" s="1063"/>
      <c r="H594" s="1063"/>
      <c r="I594" s="1063"/>
      <c r="J594" s="1064"/>
      <c r="K594" s="1392">
        <v>40</v>
      </c>
      <c r="L594" s="973"/>
      <c r="M594" s="973"/>
      <c r="N594" s="973"/>
      <c r="O594" s="973"/>
      <c r="P594" s="974"/>
      <c r="Q594" s="1401">
        <f t="shared" si="4"/>
        <v>21.052631578947366</v>
      </c>
      <c r="R594" s="973"/>
      <c r="S594" s="973"/>
      <c r="T594" s="973"/>
      <c r="U594" s="973"/>
      <c r="V594" s="974"/>
      <c r="W594" s="1422">
        <f t="shared" si="5"/>
        <v>20</v>
      </c>
      <c r="X594" s="973"/>
      <c r="Y594" s="973"/>
      <c r="Z594" s="973"/>
      <c r="AA594" s="973"/>
      <c r="AB594" s="974"/>
      <c r="AC594" s="1422">
        <f t="shared" si="6"/>
        <v>20</v>
      </c>
      <c r="AD594" s="973"/>
      <c r="AE594" s="973"/>
      <c r="AF594" s="973"/>
      <c r="AG594" s="973"/>
      <c r="AH594" s="974"/>
      <c r="AN594" s="279"/>
      <c r="AO594" s="4">
        <v>2</v>
      </c>
      <c r="AP594" s="1392">
        <f t="shared" si="7"/>
        <v>0</v>
      </c>
      <c r="AQ594" s="973"/>
      <c r="AR594" s="973"/>
      <c r="AS594" s="973"/>
      <c r="AT594" s="974"/>
      <c r="AX594" s="1396"/>
      <c r="AY594" s="974"/>
      <c r="AZ594" s="1412"/>
      <c r="BA594" s="974"/>
      <c r="BB594" s="1383">
        <f>IF(AP544=1,1,0)</f>
        <v>0</v>
      </c>
      <c r="BC594" s="974"/>
      <c r="BD594" s="1412"/>
      <c r="BE594" s="974"/>
      <c r="BF594" s="1396"/>
      <c r="BG594" s="974"/>
      <c r="BH594" s="1410">
        <f>IF(AND(T620&gt;0,AP544&gt;0),1,0)</f>
        <v>0</v>
      </c>
      <c r="BI594" s="974"/>
      <c r="BJ594" s="1396"/>
      <c r="BK594" s="974"/>
      <c r="BL594" s="1410">
        <f>IF(AND(T620&gt;0,AP544&gt;0),1,0)</f>
        <v>0</v>
      </c>
      <c r="BM594" s="974"/>
      <c r="BN594" s="1396"/>
      <c r="BO594" s="974"/>
      <c r="BP594" s="1410">
        <f>IF(AND(T620&gt;0,AP544&gt;0),1,0)</f>
        <v>0</v>
      </c>
      <c r="BQ594" s="974"/>
    </row>
    <row r="595" spans="1:69" s="4" customFormat="1" ht="12.75" customHeight="1">
      <c r="E595" s="1468"/>
      <c r="F595" s="1063"/>
      <c r="G595" s="1063"/>
      <c r="H595" s="1063"/>
      <c r="I595" s="1063"/>
      <c r="J595" s="1064"/>
      <c r="K595" s="1392">
        <v>45</v>
      </c>
      <c r="L595" s="973"/>
      <c r="M595" s="973"/>
      <c r="N595" s="973"/>
      <c r="O595" s="973"/>
      <c r="P595" s="974"/>
      <c r="Q595" s="1401">
        <f t="shared" si="4"/>
        <v>0</v>
      </c>
      <c r="R595" s="973"/>
      <c r="S595" s="973"/>
      <c r="T595" s="973"/>
      <c r="U595" s="973"/>
      <c r="V595" s="974"/>
      <c r="W595" s="1422">
        <f t="shared" si="5"/>
        <v>0</v>
      </c>
      <c r="X595" s="973"/>
      <c r="Y595" s="973"/>
      <c r="Z595" s="973"/>
      <c r="AA595" s="973"/>
      <c r="AB595" s="974"/>
      <c r="AC595" s="1422">
        <f t="shared" si="6"/>
        <v>0</v>
      </c>
      <c r="AD595" s="973"/>
      <c r="AE595" s="973"/>
      <c r="AF595" s="973"/>
      <c r="AG595" s="973"/>
      <c r="AH595" s="974"/>
      <c r="AN595" s="279"/>
      <c r="AO595" s="4">
        <v>1</v>
      </c>
      <c r="AP595" s="1392">
        <f t="shared" si="7"/>
        <v>0</v>
      </c>
      <c r="AQ595" s="973"/>
      <c r="AR595" s="973"/>
      <c r="AS595" s="973"/>
      <c r="AT595" s="974"/>
      <c r="AX595" s="1396"/>
      <c r="AY595" s="974"/>
      <c r="AZ595" s="1412"/>
      <c r="BA595" s="974"/>
      <c r="BB595" s="1396"/>
      <c r="BC595" s="974"/>
      <c r="BD595" s="1412"/>
      <c r="BE595" s="974"/>
      <c r="BF595" s="1383">
        <f>IF(AP545=1,1,0)</f>
        <v>0</v>
      </c>
      <c r="BG595" s="974"/>
      <c r="BH595" s="1412"/>
      <c r="BI595" s="974"/>
      <c r="BJ595" s="1396"/>
      <c r="BK595" s="974"/>
      <c r="BL595" s="1410">
        <f>IF(AND(T621&gt;0,AP545&gt;0),1,0)</f>
        <v>0</v>
      </c>
      <c r="BM595" s="974"/>
      <c r="BN595" s="1396"/>
      <c r="BO595" s="974"/>
      <c r="BP595" s="1410">
        <f>IF(AND(T621&gt;0,AP545&gt;0),1,0)</f>
        <v>0</v>
      </c>
      <c r="BQ595" s="974"/>
    </row>
    <row r="596" spans="1:69" s="4" customFormat="1" ht="12.75" customHeight="1">
      <c r="E596" s="1468">
        <v>13</v>
      </c>
      <c r="F596" s="1063"/>
      <c r="G596" s="1063"/>
      <c r="H596" s="1063"/>
      <c r="I596" s="1063"/>
      <c r="J596" s="1064"/>
      <c r="K596" s="1392">
        <f>IF(OR(Application!D211="Rural",Application!D211="Rural apportionment (Section 514)",Application!D211="Rural apportionment (Section 515)",Application!D211="Rural apportionment (CDBG-DR)",Application!D211="Rural apportionment (HOME)",Application!D211="Rural (Native American apportionment)"),"",50)</f>
        <v>50</v>
      </c>
      <c r="L596" s="973"/>
      <c r="M596" s="973"/>
      <c r="N596" s="973"/>
      <c r="O596" s="973"/>
      <c r="P596" s="974"/>
      <c r="Q596" s="1401">
        <f t="shared" si="4"/>
        <v>34.210526315789473</v>
      </c>
      <c r="R596" s="973"/>
      <c r="S596" s="973"/>
      <c r="T596" s="973"/>
      <c r="U596" s="973"/>
      <c r="V596" s="974"/>
      <c r="W596" s="1422">
        <f t="shared" si="5"/>
        <v>30</v>
      </c>
      <c r="X596" s="973"/>
      <c r="Y596" s="973"/>
      <c r="Z596" s="973"/>
      <c r="AA596" s="973"/>
      <c r="AB596" s="974"/>
      <c r="AC596" s="1422">
        <f t="shared" si="6"/>
        <v>15</v>
      </c>
      <c r="AD596" s="973"/>
      <c r="AE596" s="973"/>
      <c r="AF596" s="973"/>
      <c r="AG596" s="973"/>
      <c r="AH596" s="974"/>
      <c r="AN596" s="279"/>
      <c r="AO596" s="4">
        <v>0</v>
      </c>
      <c r="AP596" s="1392">
        <f t="shared" si="7"/>
        <v>0</v>
      </c>
      <c r="AQ596" s="973"/>
      <c r="AR596" s="973"/>
      <c r="AS596" s="973"/>
      <c r="AT596" s="974"/>
      <c r="AX596" s="1396"/>
      <c r="AY596" s="974"/>
      <c r="AZ596" s="1412"/>
      <c r="BA596" s="974"/>
      <c r="BB596" s="1396"/>
      <c r="BC596" s="974"/>
      <c r="BD596" s="1412"/>
      <c r="BE596" s="974"/>
      <c r="BF596" s="1396"/>
      <c r="BG596" s="974"/>
      <c r="BH596" s="1412"/>
      <c r="BI596" s="974"/>
      <c r="BJ596" s="1383">
        <f>IF(AP546=1,1,0)</f>
        <v>0</v>
      </c>
      <c r="BK596" s="974"/>
      <c r="BL596" s="1396"/>
      <c r="BM596" s="974"/>
      <c r="BN596" s="1396"/>
      <c r="BO596" s="974"/>
      <c r="BP596" s="1410">
        <f>IF(AND(T622&gt;0,AP546&gt;0),1,0)</f>
        <v>0</v>
      </c>
      <c r="BQ596" s="974"/>
    </row>
    <row r="597" spans="1:69" s="4" customFormat="1" ht="12.75" customHeight="1">
      <c r="E597" s="1424"/>
      <c r="F597" s="1063"/>
      <c r="G597" s="1063"/>
      <c r="H597" s="1063"/>
      <c r="I597" s="1063"/>
      <c r="J597" s="1064"/>
      <c r="K597" s="1455" t="str">
        <f>IF(OR(Application!D211="Rural",Application!D211="Rural apportionment (Section 514)",Application!D211="Rural apportionment (Section 515)",Application!D211="Rural apportionment (HOME)",Application!D211="Rural apportionment (CDBG-DR)",Application!D211="Rural (Native American apportionment)"),50,"")</f>
        <v/>
      </c>
      <c r="L597" s="973"/>
      <c r="M597" s="1463" t="s">
        <v>2117</v>
      </c>
      <c r="N597" s="973"/>
      <c r="O597" s="973"/>
      <c r="P597" s="974"/>
      <c r="Q597" s="1401">
        <f t="shared" si="4"/>
        <v>0</v>
      </c>
      <c r="R597" s="973"/>
      <c r="S597" s="973"/>
      <c r="T597" s="973"/>
      <c r="U597" s="973"/>
      <c r="V597" s="974"/>
      <c r="W597" s="1422">
        <f t="shared" si="5"/>
        <v>0</v>
      </c>
      <c r="X597" s="973"/>
      <c r="Y597" s="973"/>
      <c r="Z597" s="973"/>
      <c r="AA597" s="973"/>
      <c r="AB597" s="974"/>
      <c r="AC597" s="1422">
        <f>IFERROR(IF(W597&gt;0,INDEX($AT$517:$BA$531,MATCH(W597,$AS$517:$AS$531,0),MATCH(K597,$AT$516:$BA$516,0)),0),0)</f>
        <v>0</v>
      </c>
      <c r="AD597" s="973"/>
      <c r="AE597" s="973"/>
      <c r="AF597" s="973"/>
      <c r="AG597" s="973"/>
      <c r="AH597" s="974"/>
      <c r="AN597" s="279"/>
      <c r="AP597" s="1392"/>
      <c r="AQ597" s="973"/>
      <c r="AR597" s="973"/>
      <c r="AS597" s="973"/>
      <c r="AT597" s="974"/>
      <c r="AX597" s="1396"/>
      <c r="AY597" s="974"/>
      <c r="AZ597" s="1412"/>
      <c r="BA597" s="974"/>
      <c r="BB597" s="1396"/>
      <c r="BC597" s="974"/>
      <c r="BD597" s="1412"/>
      <c r="BE597" s="974"/>
      <c r="BF597" s="1396"/>
      <c r="BG597" s="974"/>
      <c r="BH597" s="1412"/>
      <c r="BI597" s="974"/>
      <c r="BJ597" s="1396"/>
      <c r="BK597" s="974"/>
      <c r="BL597" s="1396"/>
      <c r="BM597" s="974"/>
      <c r="BN597" s="1383">
        <f>IF(AP547=1,1,0)</f>
        <v>1</v>
      </c>
      <c r="BO597" s="974"/>
      <c r="BP597" s="1412"/>
      <c r="BQ597" s="974"/>
    </row>
    <row r="598" spans="1:69" s="4" customFormat="1" ht="12.75" customHeight="1">
      <c r="E598" s="1424"/>
      <c r="F598" s="1063"/>
      <c r="G598" s="1063"/>
      <c r="H598" s="1063"/>
      <c r="I598" s="1063"/>
      <c r="J598" s="1064"/>
      <c r="K598" s="1455" t="str">
        <f>IF(OR(Application!D211="Rural",Application!D211="Rural apportionment (Section 514)",Application!D211="Rural apportionment (Section 515)",Application!D211="Rural apportionment (HOME)",Application!D211="Rural apportionment (CDBG-DR)",Application!D211="Rural (Native American apportionment)"),55,"")</f>
        <v/>
      </c>
      <c r="L598" s="973"/>
      <c r="M598" s="1463" t="s">
        <v>2117</v>
      </c>
      <c r="N598" s="973"/>
      <c r="O598" s="973"/>
      <c r="P598" s="974"/>
      <c r="Q598" s="1401">
        <f t="shared" si="4"/>
        <v>0</v>
      </c>
      <c r="R598" s="973"/>
      <c r="S598" s="973"/>
      <c r="T598" s="973"/>
      <c r="U598" s="973"/>
      <c r="V598" s="974"/>
      <c r="W598" s="1422">
        <f t="shared" si="5"/>
        <v>0</v>
      </c>
      <c r="X598" s="973"/>
      <c r="Y598" s="973"/>
      <c r="Z598" s="973"/>
      <c r="AA598" s="973"/>
      <c r="AB598" s="974"/>
      <c r="AC598" s="1422">
        <f>IFERROR(IF(W598&gt;0,INDEX($AT$517:$BA$531,MATCH(W598,$AS$517:$AS$531,0),MATCH(K598,$AT$516:$BA$516,0)),0),0)</f>
        <v>0</v>
      </c>
      <c r="AD598" s="973"/>
      <c r="AE598" s="973"/>
      <c r="AF598" s="973"/>
      <c r="AG598" s="973"/>
      <c r="AH598" s="974"/>
      <c r="AN598" s="279"/>
      <c r="AX598" s="1383">
        <f>SUM(AX593:AY597)</f>
        <v>0</v>
      </c>
      <c r="AY598" s="974"/>
      <c r="AZ598" s="1410">
        <f>SUM(AZ594:BA597)</f>
        <v>0</v>
      </c>
      <c r="BA598" s="974"/>
      <c r="BB598" s="1383">
        <f>SUM(BB594:BC597)</f>
        <v>0</v>
      </c>
      <c r="BC598" s="974"/>
      <c r="BD598" s="1410">
        <f>SUM(BD593:BE597)</f>
        <v>0</v>
      </c>
      <c r="BE598" s="974"/>
      <c r="BF598" s="1383">
        <f>SUM(BF595:BG597)</f>
        <v>0</v>
      </c>
      <c r="BG598" s="974"/>
      <c r="BH598" s="1410">
        <f>SUM(BH593:BI597)</f>
        <v>0</v>
      </c>
      <c r="BI598" s="974"/>
      <c r="BJ598" s="1383">
        <f>SUM(BJ593:BK597)</f>
        <v>0</v>
      </c>
      <c r="BK598" s="974"/>
      <c r="BL598" s="1410">
        <f>SUM(BL593:BM597)</f>
        <v>0</v>
      </c>
      <c r="BM598" s="974"/>
      <c r="BN598" s="1383">
        <f>SUM(BN593:BO597)</f>
        <v>1</v>
      </c>
      <c r="BO598" s="974"/>
      <c r="BP598" s="1410">
        <f>SUM(BP593:BQ597)</f>
        <v>0</v>
      </c>
      <c r="BQ598" s="974"/>
    </row>
    <row r="599" spans="1:69" s="4" customFormat="1" ht="12.75" customHeight="1">
      <c r="E599" s="1468">
        <v>12</v>
      </c>
      <c r="F599" s="1063"/>
      <c r="G599" s="1063"/>
      <c r="H599" s="1063"/>
      <c r="I599" s="1063"/>
      <c r="J599" s="1064"/>
      <c r="K599" s="1392" t="s">
        <v>2118</v>
      </c>
      <c r="L599" s="973"/>
      <c r="M599" s="973"/>
      <c r="N599" s="973"/>
      <c r="O599" s="973"/>
      <c r="P599" s="974"/>
      <c r="Q599" s="1401">
        <f t="shared" si="4"/>
        <v>31.578947368421051</v>
      </c>
      <c r="R599" s="973"/>
      <c r="S599" s="973"/>
      <c r="T599" s="973"/>
      <c r="U599" s="973"/>
      <c r="V599" s="974"/>
      <c r="W599" s="1422">
        <f t="shared" si="5"/>
        <v>30</v>
      </c>
      <c r="X599" s="973"/>
      <c r="Y599" s="973"/>
      <c r="Z599" s="973"/>
      <c r="AA599" s="973"/>
      <c r="AB599" s="974"/>
      <c r="AC599" s="1422">
        <v>0</v>
      </c>
      <c r="AD599" s="973"/>
      <c r="AE599" s="973"/>
      <c r="AF599" s="973"/>
      <c r="AG599" s="973"/>
      <c r="AH599" s="974"/>
      <c r="AN599" s="279"/>
      <c r="AX599" s="1395">
        <f>IF(AND(AX598=1,AZ598&gt;1),1,0)</f>
        <v>0</v>
      </c>
      <c r="AY599" s="973"/>
      <c r="AZ599" s="973"/>
      <c r="BA599" s="974"/>
      <c r="BB599" s="1395">
        <f>IF(AND(BB598=1,BD598&gt;=1),1,0)</f>
        <v>0</v>
      </c>
      <c r="BC599" s="973"/>
      <c r="BD599" s="973"/>
      <c r="BE599" s="974"/>
      <c r="BF599" s="1395">
        <f>IF(AND(BF598=1,BH598&gt;=1),1,0)</f>
        <v>0</v>
      </c>
      <c r="BG599" s="973"/>
      <c r="BH599" s="973"/>
      <c r="BI599" s="974"/>
      <c r="BJ599" s="1395">
        <f>IF(AND(BJ598=1,BL598&gt;=1),1,0)</f>
        <v>0</v>
      </c>
      <c r="BK599" s="973"/>
      <c r="BL599" s="973"/>
      <c r="BM599" s="974"/>
      <c r="BN599" s="1395">
        <f>IF(AND(BN598=1,BP598&gt;=1),1,0)</f>
        <v>0</v>
      </c>
      <c r="BO599" s="973"/>
      <c r="BP599" s="973"/>
      <c r="BQ599" s="974"/>
    </row>
    <row r="600" spans="1:69" s="4" customFormat="1" ht="12.75" customHeight="1">
      <c r="E600" s="1468"/>
      <c r="F600" s="1063"/>
      <c r="G600" s="1063"/>
      <c r="H600" s="1063"/>
      <c r="I600" s="1063"/>
      <c r="J600" s="1064"/>
      <c r="K600" s="1392" t="s">
        <v>2119</v>
      </c>
      <c r="L600" s="973"/>
      <c r="M600" s="973"/>
      <c r="N600" s="973"/>
      <c r="O600" s="973"/>
      <c r="P600" s="974"/>
      <c r="Q600" s="1401">
        <f t="shared" si="4"/>
        <v>0</v>
      </c>
      <c r="R600" s="973"/>
      <c r="S600" s="973"/>
      <c r="T600" s="973"/>
      <c r="U600" s="973"/>
      <c r="V600" s="974"/>
      <c r="W600" s="1422">
        <f t="shared" si="5"/>
        <v>0</v>
      </c>
      <c r="X600" s="973"/>
      <c r="Y600" s="973"/>
      <c r="Z600" s="973"/>
      <c r="AA600" s="973"/>
      <c r="AB600" s="974"/>
      <c r="AC600" s="1422">
        <v>0</v>
      </c>
      <c r="AD600" s="973"/>
      <c r="AE600" s="973"/>
      <c r="AF600" s="973"/>
      <c r="AG600" s="973"/>
      <c r="AH600" s="974"/>
      <c r="AN600" s="279"/>
      <c r="BI600" s="34" t="s">
        <v>1944</v>
      </c>
      <c r="BJ600" s="1395">
        <f>AX599+BB599+BF599+BJ599+BN599</f>
        <v>0</v>
      </c>
      <c r="BK600" s="973"/>
      <c r="BL600" s="973"/>
      <c r="BM600" s="974"/>
    </row>
    <row r="601" spans="1:69" s="4" customFormat="1" ht="12.75" customHeight="1">
      <c r="E601" s="1468"/>
      <c r="F601" s="1063"/>
      <c r="G601" s="1063"/>
      <c r="H601" s="1063"/>
      <c r="I601" s="1063"/>
      <c r="J601" s="1064"/>
      <c r="K601" s="1392" t="s">
        <v>2120</v>
      </c>
      <c r="L601" s="973"/>
      <c r="M601" s="973"/>
      <c r="N601" s="973"/>
      <c r="O601" s="973"/>
      <c r="P601" s="974"/>
      <c r="Q601" s="1401">
        <f t="shared" si="4"/>
        <v>0</v>
      </c>
      <c r="R601" s="973"/>
      <c r="S601" s="973"/>
      <c r="T601" s="973"/>
      <c r="U601" s="973"/>
      <c r="V601" s="974"/>
      <c r="W601" s="1422">
        <f t="shared" si="5"/>
        <v>0</v>
      </c>
      <c r="X601" s="973"/>
      <c r="Y601" s="973"/>
      <c r="Z601" s="973"/>
      <c r="AA601" s="973"/>
      <c r="AB601" s="974"/>
      <c r="AC601" s="1422">
        <v>0</v>
      </c>
      <c r="AD601" s="973"/>
      <c r="AE601" s="973"/>
      <c r="AF601" s="973"/>
      <c r="AG601" s="973"/>
      <c r="AH601" s="974"/>
      <c r="AN601" s="279"/>
      <c r="BJ601" t="s">
        <v>2121</v>
      </c>
    </row>
    <row r="602" spans="1:69" s="4" customFormat="1" ht="12.75" customHeight="1">
      <c r="E602" s="1384">
        <f>SUM(E591:J601)</f>
        <v>38</v>
      </c>
      <c r="F602" s="973"/>
      <c r="G602" s="973"/>
      <c r="H602" s="973"/>
      <c r="I602" s="973"/>
      <c r="J602" s="974"/>
      <c r="K602" s="89"/>
      <c r="L602" s="89"/>
      <c r="M602" s="89"/>
      <c r="N602" s="89"/>
      <c r="O602" s="89"/>
      <c r="P602" s="89"/>
      <c r="Q602" s="89"/>
      <c r="R602" s="89"/>
      <c r="S602" s="89"/>
      <c r="T602" s="89"/>
      <c r="U602" s="93"/>
      <c r="V602" s="93"/>
      <c r="W602" s="93"/>
      <c r="X602" s="93"/>
      <c r="Y602" s="93"/>
      <c r="Z602" s="89"/>
      <c r="AA602" s="93"/>
      <c r="AB602" s="60" t="s">
        <v>2122</v>
      </c>
      <c r="AC602" s="1495">
        <f>IF(SUM(AC591:AH601)&gt;0,SUM(AC591:AH601),0)</f>
        <v>50</v>
      </c>
      <c r="AD602" s="973"/>
      <c r="AE602" s="973"/>
      <c r="AF602" s="973"/>
      <c r="AG602" s="973"/>
      <c r="AH602" s="97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48"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49" t="s">
        <v>2123</v>
      </c>
      <c r="AQ604" s="948"/>
      <c r="AR604" s="948"/>
      <c r="AS604" s="948"/>
      <c r="AT604" s="948"/>
      <c r="AU604" s="948"/>
      <c r="AV604" s="948"/>
      <c r="AW604" s="948"/>
      <c r="AX604" s="948"/>
      <c r="AY604" s="948"/>
      <c r="AZ604" s="948"/>
      <c r="BA604" s="948"/>
      <c r="BB604" s="948"/>
      <c r="BC604" s="948"/>
      <c r="BD604" s="948"/>
      <c r="BE604" s="948"/>
      <c r="BF604" s="948"/>
      <c r="BG604" s="948"/>
      <c r="BH604" s="948"/>
      <c r="BI604" s="948"/>
      <c r="BJ604" s="948"/>
      <c r="BK604" s="948"/>
      <c r="BL604" s="948"/>
    </row>
    <row r="605" spans="1:69" s="4" customFormat="1" ht="12.75" customHeight="1">
      <c r="AK605" s="5"/>
      <c r="AL605" s="5"/>
      <c r="AM605" s="5"/>
      <c r="AN605" s="279"/>
      <c r="AP605" s="948"/>
      <c r="AQ605" s="948"/>
      <c r="AR605" s="948"/>
      <c r="AS605" s="948"/>
      <c r="AT605" s="948"/>
      <c r="AU605" s="948"/>
      <c r="AV605" s="948"/>
      <c r="AW605" s="948"/>
      <c r="AX605" s="948"/>
      <c r="AY605" s="948"/>
      <c r="AZ605" s="948"/>
      <c r="BA605" s="948"/>
      <c r="BB605" s="948"/>
      <c r="BC605" s="948"/>
      <c r="BD605" s="948"/>
      <c r="BE605" s="948"/>
      <c r="BF605" s="948"/>
      <c r="BG605" s="948"/>
      <c r="BH605" s="948"/>
      <c r="BI605" s="948"/>
      <c r="BJ605" s="948"/>
      <c r="BK605" s="948"/>
      <c r="BL605" s="948"/>
    </row>
    <row r="606" spans="1:69" s="4" customFormat="1" ht="12.75" customHeight="1">
      <c r="B606" s="126" t="s">
        <v>2124</v>
      </c>
      <c r="AG606" s="1452" t="s">
        <v>1855</v>
      </c>
      <c r="AH606" s="1376"/>
      <c r="AI606" s="1376"/>
      <c r="AJ606" s="1376"/>
      <c r="AK606" s="5"/>
      <c r="AL606" s="5"/>
      <c r="AM606" s="5"/>
      <c r="AN606" s="279"/>
    </row>
    <row r="607" spans="1:69" s="4" customFormat="1" ht="12.75" customHeight="1">
      <c r="B607" s="1480" t="s">
        <v>2125</v>
      </c>
      <c r="C607" s="1376"/>
      <c r="D607" s="1376"/>
      <c r="E607" s="1376"/>
      <c r="F607" s="1376"/>
      <c r="G607" s="1376"/>
      <c r="H607" s="1376"/>
      <c r="I607" s="1376"/>
      <c r="J607" s="1376"/>
      <c r="K607" s="1376"/>
      <c r="L607" s="1376"/>
      <c r="M607" s="1376"/>
      <c r="N607" s="1376"/>
      <c r="O607" s="1376"/>
      <c r="P607" s="1376"/>
      <c r="Q607" s="1376"/>
      <c r="R607" s="1376"/>
      <c r="S607" s="1376"/>
      <c r="T607" s="1376"/>
      <c r="U607" s="1376"/>
      <c r="V607" s="1376"/>
      <c r="W607" s="1376"/>
      <c r="X607" s="1376"/>
      <c r="Y607" s="1376"/>
      <c r="Z607" s="1376"/>
      <c r="AA607" s="1376"/>
      <c r="AB607" s="1376"/>
      <c r="AC607" s="1376"/>
      <c r="AD607" s="1376"/>
      <c r="AE607" s="1376"/>
      <c r="AF607" s="1376"/>
      <c r="AG607" s="1376"/>
      <c r="AH607" s="1376"/>
      <c r="AI607" s="21"/>
      <c r="AJ607" s="21"/>
      <c r="AN607" s="279"/>
    </row>
    <row r="608" spans="1:69" s="4" customFormat="1" ht="12.75" customHeight="1">
      <c r="A608" s="21"/>
      <c r="B608" s="1376"/>
      <c r="C608" s="1376"/>
      <c r="D608" s="1376"/>
      <c r="E608" s="1376"/>
      <c r="F608" s="1376"/>
      <c r="G608" s="1376"/>
      <c r="H608" s="1376"/>
      <c r="I608" s="1376"/>
      <c r="J608" s="1376"/>
      <c r="K608" s="1376"/>
      <c r="L608" s="1376"/>
      <c r="M608" s="1376"/>
      <c r="N608" s="1376"/>
      <c r="O608" s="1376"/>
      <c r="P608" s="1376"/>
      <c r="Q608" s="1376"/>
      <c r="R608" s="1376"/>
      <c r="S608" s="1376"/>
      <c r="T608" s="1376"/>
      <c r="U608" s="1376"/>
      <c r="V608" s="1376"/>
      <c r="W608" s="1376"/>
      <c r="X608" s="1376"/>
      <c r="Y608" s="1376"/>
      <c r="Z608" s="1376"/>
      <c r="AA608" s="1376"/>
      <c r="AB608" s="1376"/>
      <c r="AC608" s="1376"/>
      <c r="AD608" s="1376"/>
      <c r="AE608" s="1376"/>
      <c r="AF608" s="1376"/>
      <c r="AG608" s="1376"/>
      <c r="AH608" s="1376"/>
      <c r="AI608" s="21"/>
      <c r="AJ608" s="21"/>
      <c r="AN608" s="279"/>
    </row>
    <row r="609" spans="1:60" s="4" customFormat="1" ht="12.75" customHeight="1">
      <c r="A609" s="21"/>
      <c r="B609" s="1376"/>
      <c r="C609" s="1376"/>
      <c r="D609" s="1376"/>
      <c r="E609" s="1376"/>
      <c r="F609" s="1376"/>
      <c r="G609" s="1376"/>
      <c r="H609" s="1376"/>
      <c r="I609" s="1376"/>
      <c r="J609" s="1376"/>
      <c r="K609" s="1376"/>
      <c r="L609" s="1376"/>
      <c r="M609" s="1376"/>
      <c r="N609" s="1376"/>
      <c r="O609" s="1376"/>
      <c r="P609" s="1376"/>
      <c r="Q609" s="1376"/>
      <c r="R609" s="1376"/>
      <c r="S609" s="1376"/>
      <c r="T609" s="1376"/>
      <c r="U609" s="1376"/>
      <c r="V609" s="1376"/>
      <c r="W609" s="1376"/>
      <c r="X609" s="1376"/>
      <c r="Y609" s="1376"/>
      <c r="Z609" s="1376"/>
      <c r="AA609" s="1376"/>
      <c r="AB609" s="1376"/>
      <c r="AC609" s="1376"/>
      <c r="AD609" s="1376"/>
      <c r="AE609" s="1376"/>
      <c r="AF609" s="1376"/>
      <c r="AG609" s="1376"/>
      <c r="AH609" s="1376"/>
      <c r="AI609" s="21"/>
      <c r="AJ609" s="21"/>
      <c r="AN609" s="279"/>
    </row>
    <row r="610" spans="1:60" s="4" customFormat="1" ht="12.75" customHeight="1">
      <c r="A610" s="21"/>
      <c r="B610" s="1376"/>
      <c r="C610" s="1376"/>
      <c r="D610" s="1376"/>
      <c r="E610" s="1376"/>
      <c r="F610" s="1376"/>
      <c r="G610" s="1376"/>
      <c r="H610" s="1376"/>
      <c r="I610" s="1376"/>
      <c r="J610" s="1376"/>
      <c r="K610" s="1376"/>
      <c r="L610" s="1376"/>
      <c r="M610" s="1376"/>
      <c r="N610" s="1376"/>
      <c r="O610" s="1376"/>
      <c r="P610" s="1376"/>
      <c r="Q610" s="1376"/>
      <c r="R610" s="1376"/>
      <c r="S610" s="1376"/>
      <c r="T610" s="1376"/>
      <c r="U610" s="1376"/>
      <c r="V610" s="1376"/>
      <c r="W610" s="1376"/>
      <c r="X610" s="1376"/>
      <c r="Y610" s="1376"/>
      <c r="Z610" s="1376"/>
      <c r="AA610" s="1376"/>
      <c r="AB610" s="1376"/>
      <c r="AC610" s="1376"/>
      <c r="AD610" s="1376"/>
      <c r="AE610" s="1376"/>
      <c r="AF610" s="1376"/>
      <c r="AG610" s="1376"/>
      <c r="AH610" s="1376"/>
      <c r="AI610" s="21"/>
      <c r="AJ610" s="21"/>
      <c r="AN610" s="663"/>
    </row>
    <row r="611" spans="1:60">
      <c r="B611" s="1184"/>
      <c r="C611" s="1184"/>
      <c r="D611" s="1184"/>
      <c r="E611" s="1184"/>
      <c r="F611" s="1184"/>
      <c r="G611" s="1184"/>
      <c r="H611" s="1184"/>
      <c r="I611" s="1184"/>
      <c r="J611" s="1184"/>
      <c r="K611" s="1184"/>
      <c r="L611" s="1184"/>
      <c r="M611" s="1184"/>
      <c r="N611" s="1184"/>
      <c r="O611" s="1184"/>
      <c r="P611" s="1184"/>
      <c r="Q611" s="1184"/>
      <c r="R611" s="1184"/>
      <c r="S611" s="1184"/>
      <c r="T611" s="1184"/>
      <c r="U611" s="1184"/>
      <c r="V611" s="1184"/>
      <c r="W611" s="1184"/>
      <c r="X611" s="1184"/>
      <c r="Y611" s="1184"/>
      <c r="Z611" s="1184"/>
      <c r="AA611" s="1184"/>
      <c r="AB611" s="1184"/>
      <c r="AC611" s="1184"/>
      <c r="AD611" s="1184"/>
      <c r="AE611" s="1184"/>
      <c r="AF611" s="1184"/>
      <c r="AG611" s="1184"/>
      <c r="AH611" s="1184"/>
      <c r="BD611" s="21"/>
      <c r="BE611" s="21"/>
      <c r="BF611" s="21"/>
      <c r="BG611" s="21"/>
      <c r="BH611" s="21"/>
    </row>
    <row r="612" spans="1:60" ht="12.75" customHeight="1">
      <c r="B612" s="1184"/>
      <c r="C612" s="1184"/>
      <c r="D612" s="1184"/>
      <c r="E612" s="1184"/>
      <c r="F612" s="1184"/>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184"/>
      <c r="AF612" s="1184"/>
      <c r="AG612" s="1184"/>
      <c r="AH612" s="1184"/>
    </row>
    <row r="613" spans="1:60" ht="12.75" customHeight="1">
      <c r="E613" s="160"/>
    </row>
    <row r="614" spans="1:60">
      <c r="J614" s="1494" t="s">
        <v>2126</v>
      </c>
      <c r="K614" s="1073"/>
      <c r="L614" s="1073"/>
      <c r="M614" s="1073"/>
      <c r="N614" s="1074"/>
      <c r="O614" s="1465" t="s">
        <v>2127</v>
      </c>
      <c r="P614" s="1073"/>
      <c r="Q614" s="1073"/>
      <c r="R614" s="1073"/>
      <c r="S614" s="1074"/>
      <c r="T614" s="1465" t="s">
        <v>2128</v>
      </c>
      <c r="U614" s="1073"/>
      <c r="V614" s="1073"/>
      <c r="W614" s="1073"/>
      <c r="X614" s="1074"/>
      <c r="Y614" s="1465" t="s">
        <v>2129</v>
      </c>
      <c r="Z614" s="1073"/>
      <c r="AA614" s="1073"/>
      <c r="AB614" s="1073"/>
      <c r="AC614" s="1074"/>
    </row>
    <row r="615" spans="1:60">
      <c r="J615" s="1091"/>
      <c r="K615" s="1184"/>
      <c r="L615" s="1184"/>
      <c r="M615" s="1184"/>
      <c r="N615" s="977"/>
      <c r="O615" s="1091"/>
      <c r="P615" s="1184"/>
      <c r="Q615" s="1184"/>
      <c r="R615" s="1184"/>
      <c r="S615" s="977"/>
      <c r="T615" s="1091"/>
      <c r="U615" s="1184"/>
      <c r="V615" s="1184"/>
      <c r="W615" s="1184"/>
      <c r="X615" s="977"/>
      <c r="Y615" s="1091"/>
      <c r="Z615" s="1184"/>
      <c r="AA615" s="1184"/>
      <c r="AB615" s="1184"/>
      <c r="AC615" s="977"/>
      <c r="AO615" s="38" t="s">
        <v>2130</v>
      </c>
      <c r="AR615" s="21" t="b">
        <f>$Y$624&gt;=10%</f>
        <v>1</v>
      </c>
    </row>
    <row r="616" spans="1:60">
      <c r="J616" s="1091"/>
      <c r="K616" s="1184"/>
      <c r="L616" s="1184"/>
      <c r="M616" s="1184"/>
      <c r="N616" s="977"/>
      <c r="O616" s="1091"/>
      <c r="P616" s="1184"/>
      <c r="Q616" s="1184"/>
      <c r="R616" s="1184"/>
      <c r="S616" s="977"/>
      <c r="T616" s="1091"/>
      <c r="U616" s="1184"/>
      <c r="V616" s="1184"/>
      <c r="W616" s="1184"/>
      <c r="X616" s="977"/>
      <c r="Y616" s="1091"/>
      <c r="Z616" s="1184"/>
      <c r="AA616" s="1184"/>
      <c r="AB616" s="1184"/>
      <c r="AC616" s="977"/>
      <c r="AO616" s="38" t="s">
        <v>2131</v>
      </c>
      <c r="AR616" s="946">
        <f>ROUNDUP(($O$624*10%),0)</f>
        <v>4</v>
      </c>
    </row>
    <row r="617" spans="1:60" ht="19.5" customHeight="1">
      <c r="J617" s="1091"/>
      <c r="K617" s="1184"/>
      <c r="L617" s="1184"/>
      <c r="M617" s="1184"/>
      <c r="N617" s="977"/>
      <c r="O617" s="1091"/>
      <c r="P617" s="1184"/>
      <c r="Q617" s="1184"/>
      <c r="R617" s="1184"/>
      <c r="S617" s="977"/>
      <c r="T617" s="1091"/>
      <c r="U617" s="1184"/>
      <c r="V617" s="1184"/>
      <c r="W617" s="1184"/>
      <c r="X617" s="977"/>
      <c r="Y617" s="1091"/>
      <c r="Z617" s="1184"/>
      <c r="AA617" s="1184"/>
      <c r="AB617" s="1184"/>
      <c r="AC617" s="977"/>
      <c r="AO617" s="38" t="s">
        <v>2132</v>
      </c>
      <c r="AR617" s="21" t="s">
        <v>2133</v>
      </c>
    </row>
    <row r="618" spans="1:60">
      <c r="J618" s="1400" t="s">
        <v>2134</v>
      </c>
      <c r="K618" s="973"/>
      <c r="L618" s="973"/>
      <c r="M618" s="973"/>
      <c r="N618" s="974"/>
      <c r="O618" s="1392">
        <f>Application!CM634</f>
        <v>0</v>
      </c>
      <c r="P618" s="973"/>
      <c r="Q618" s="973"/>
      <c r="R618" s="973"/>
      <c r="S618" s="974"/>
      <c r="T618" s="1392">
        <f>Application!DR635</f>
        <v>0</v>
      </c>
      <c r="U618" s="973"/>
      <c r="V618" s="973"/>
      <c r="W618" s="973"/>
      <c r="X618" s="974"/>
      <c r="Y618" s="1419">
        <f t="shared" ref="Y618:Y624" si="8">IF(T618&gt;0,T618/O618,0)</f>
        <v>0</v>
      </c>
      <c r="Z618" s="973"/>
      <c r="AA618" s="973"/>
      <c r="AB618" s="973"/>
      <c r="AC618" s="974"/>
      <c r="AO618" s="946">
        <f t="shared" ref="AO618:AO623" si="9">ROUNDUP((O618*10%),0)</f>
        <v>0</v>
      </c>
      <c r="AP618" s="204"/>
      <c r="AR618" s="947" t="b">
        <f>OR(SUM($T$618:T618)&gt;=$AR$616,T618&gt;=AO618)</f>
        <v>1</v>
      </c>
    </row>
    <row r="619" spans="1:60">
      <c r="J619" s="1400" t="s">
        <v>733</v>
      </c>
      <c r="K619" s="973"/>
      <c r="L619" s="973"/>
      <c r="M619" s="973"/>
      <c r="N619" s="974"/>
      <c r="O619" s="1392">
        <f>Application!CH634</f>
        <v>0</v>
      </c>
      <c r="P619" s="973"/>
      <c r="Q619" s="973"/>
      <c r="R619" s="973"/>
      <c r="S619" s="974"/>
      <c r="T619" s="1392">
        <f>Application!DM635</f>
        <v>0</v>
      </c>
      <c r="U619" s="973"/>
      <c r="V619" s="973"/>
      <c r="W619" s="973"/>
      <c r="X619" s="974"/>
      <c r="Y619" s="1419">
        <f t="shared" si="8"/>
        <v>0</v>
      </c>
      <c r="Z619" s="973"/>
      <c r="AA619" s="973"/>
      <c r="AB619" s="973"/>
      <c r="AC619" s="974"/>
      <c r="AO619" s="946">
        <f t="shared" si="9"/>
        <v>0</v>
      </c>
      <c r="AP619" s="204"/>
      <c r="AR619" s="947" t="b">
        <f>OR(SUM($T$618:T619)&gt;=$AR$616,T619&gt;=AO619)</f>
        <v>1</v>
      </c>
    </row>
    <row r="620" spans="1:60">
      <c r="J620" s="1400" t="s">
        <v>732</v>
      </c>
      <c r="K620" s="973"/>
      <c r="L620" s="973"/>
      <c r="M620" s="973"/>
      <c r="N620" s="974"/>
      <c r="O620" s="1392">
        <f>Application!CC634</f>
        <v>0</v>
      </c>
      <c r="P620" s="973"/>
      <c r="Q620" s="973"/>
      <c r="R620" s="973"/>
      <c r="S620" s="974"/>
      <c r="T620" s="1392">
        <f>Application!DH635</f>
        <v>0</v>
      </c>
      <c r="U620" s="973"/>
      <c r="V620" s="973"/>
      <c r="W620" s="973"/>
      <c r="X620" s="974"/>
      <c r="Y620" s="1419">
        <f t="shared" si="8"/>
        <v>0</v>
      </c>
      <c r="Z620" s="973"/>
      <c r="AA620" s="973"/>
      <c r="AB620" s="973"/>
      <c r="AC620" s="974"/>
      <c r="AO620" s="946">
        <f t="shared" si="9"/>
        <v>0</v>
      </c>
      <c r="AP620" s="204"/>
      <c r="AR620" s="947" t="b">
        <f>OR(SUM($T$618:T620)&gt;=$AR$616,T620&gt;=AO620)</f>
        <v>1</v>
      </c>
    </row>
    <row r="621" spans="1:60">
      <c r="J621" s="1400" t="s">
        <v>731</v>
      </c>
      <c r="K621" s="973"/>
      <c r="L621" s="973"/>
      <c r="M621" s="973"/>
      <c r="N621" s="974"/>
      <c r="O621" s="1392">
        <f>Application!BX634</f>
        <v>0</v>
      </c>
      <c r="P621" s="973"/>
      <c r="Q621" s="973"/>
      <c r="R621" s="973"/>
      <c r="S621" s="974"/>
      <c r="T621" s="1392">
        <f>Application!DC635</f>
        <v>0</v>
      </c>
      <c r="U621" s="973"/>
      <c r="V621" s="973"/>
      <c r="W621" s="973"/>
      <c r="X621" s="974"/>
      <c r="Y621" s="1419">
        <f t="shared" si="8"/>
        <v>0</v>
      </c>
      <c r="Z621" s="973"/>
      <c r="AA621" s="973"/>
      <c r="AB621" s="973"/>
      <c r="AC621" s="974"/>
      <c r="AO621" s="946">
        <f t="shared" si="9"/>
        <v>0</v>
      </c>
      <c r="AP621" s="204"/>
      <c r="AR621" s="947" t="b">
        <f>OR(SUM($T$618:T621)&gt;=$AR$616,T621&gt;=AO621)</f>
        <v>1</v>
      </c>
    </row>
    <row r="622" spans="1:60">
      <c r="J622" s="1400" t="s">
        <v>730</v>
      </c>
      <c r="K622" s="973"/>
      <c r="L622" s="973"/>
      <c r="M622" s="973"/>
      <c r="N622" s="974"/>
      <c r="O622" s="1392">
        <f>Application!BS634</f>
        <v>0</v>
      </c>
      <c r="P622" s="973"/>
      <c r="Q622" s="973"/>
      <c r="R622" s="973"/>
      <c r="S622" s="974"/>
      <c r="T622" s="1392">
        <f>Application!CX635</f>
        <v>0</v>
      </c>
      <c r="U622" s="973"/>
      <c r="V622" s="973"/>
      <c r="W622" s="973"/>
      <c r="X622" s="974"/>
      <c r="Y622" s="1419">
        <f t="shared" si="8"/>
        <v>0</v>
      </c>
      <c r="Z622" s="973"/>
      <c r="AA622" s="973"/>
      <c r="AB622" s="973"/>
      <c r="AC622" s="974"/>
      <c r="AO622" s="946">
        <f t="shared" si="9"/>
        <v>0</v>
      </c>
      <c r="AP622" s="204"/>
      <c r="AR622" s="947" t="b">
        <f>OR(SUM($T$618:T622)&gt;=$AR$616,T622&gt;=AO622)</f>
        <v>1</v>
      </c>
    </row>
    <row r="623" spans="1:60">
      <c r="J623" s="1400" t="s">
        <v>168</v>
      </c>
      <c r="K623" s="973"/>
      <c r="L623" s="973"/>
      <c r="M623" s="973"/>
      <c r="N623" s="974"/>
      <c r="O623" s="1392">
        <f>Application!BN634</f>
        <v>38</v>
      </c>
      <c r="P623" s="973"/>
      <c r="Q623" s="973"/>
      <c r="R623" s="973"/>
      <c r="S623" s="974"/>
      <c r="T623" s="1392">
        <f>Application!CS635</f>
        <v>5</v>
      </c>
      <c r="U623" s="973"/>
      <c r="V623" s="973"/>
      <c r="W623" s="973"/>
      <c r="X623" s="974"/>
      <c r="Y623" s="1419">
        <f t="shared" si="8"/>
        <v>0.13157894736842105</v>
      </c>
      <c r="Z623" s="973"/>
      <c r="AA623" s="973"/>
      <c r="AB623" s="973"/>
      <c r="AC623" s="974"/>
      <c r="AO623" s="946">
        <f t="shared" si="9"/>
        <v>4</v>
      </c>
      <c r="AP623" s="204"/>
      <c r="AR623" s="947" t="b">
        <f>OR(SUM($T$618:T623)&gt;=$AR$616,T623&gt;=AO623)</f>
        <v>1</v>
      </c>
    </row>
    <row r="624" spans="1:60">
      <c r="J624" s="1298" t="s">
        <v>699</v>
      </c>
      <c r="K624" s="973"/>
      <c r="L624" s="973"/>
      <c r="M624" s="973"/>
      <c r="N624" s="974"/>
      <c r="O624" s="1423">
        <f>SUM(O618:S623)</f>
        <v>38</v>
      </c>
      <c r="P624" s="973"/>
      <c r="Q624" s="973"/>
      <c r="R624" s="973"/>
      <c r="S624" s="974"/>
      <c r="T624" s="1423">
        <f>SUM(T618:X623)</f>
        <v>5</v>
      </c>
      <c r="U624" s="973"/>
      <c r="V624" s="973"/>
      <c r="W624" s="973"/>
      <c r="X624" s="974"/>
      <c r="Y624" s="1502">
        <f t="shared" si="8"/>
        <v>0.13157894736842105</v>
      </c>
      <c r="Z624" s="973"/>
      <c r="AA624" s="973"/>
      <c r="AB624" s="973"/>
      <c r="AC624" s="974"/>
    </row>
    <row r="625" spans="1:60"/>
    <row r="626" spans="1:60">
      <c r="A626" s="11"/>
      <c r="BD626" s="21"/>
      <c r="BE626" s="21"/>
      <c r="BF626" s="21"/>
      <c r="BG626" s="21"/>
      <c r="BH626" s="21"/>
    </row>
    <row r="627" spans="1:60">
      <c r="A627" s="1160" t="s">
        <v>2135</v>
      </c>
      <c r="B627" s="973"/>
      <c r="C627" s="973"/>
      <c r="D627" s="973"/>
      <c r="E627" s="973"/>
      <c r="F627" s="973"/>
      <c r="G627" s="973"/>
      <c r="H627" s="973"/>
      <c r="I627" s="973"/>
      <c r="J627" s="973"/>
      <c r="K627" s="973"/>
      <c r="L627" s="973"/>
      <c r="M627" s="973"/>
      <c r="N627" s="973"/>
      <c r="O627" s="973"/>
      <c r="P627" s="973"/>
      <c r="Q627" s="973"/>
      <c r="R627" s="973"/>
      <c r="S627" s="973"/>
      <c r="T627" s="973"/>
      <c r="U627" s="973"/>
      <c r="V627" s="973"/>
      <c r="W627" s="973"/>
      <c r="X627" s="973"/>
      <c r="Y627" s="973"/>
      <c r="Z627" s="973"/>
      <c r="AA627" s="973"/>
      <c r="AB627" s="973"/>
      <c r="AC627" s="973"/>
      <c r="AD627" s="973"/>
      <c r="AE627" s="973"/>
      <c r="AF627" s="973"/>
      <c r="AG627" s="973"/>
      <c r="AH627" s="973"/>
      <c r="AI627" s="974"/>
      <c r="AJ627" s="1511">
        <f>IF(AND(AR615,AR618,AR619,AR620,AR621,AR622,AR623),2,0)</f>
        <v>2</v>
      </c>
      <c r="AK627" s="97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60" t="s">
        <v>2136</v>
      </c>
      <c r="B629" s="973"/>
      <c r="C629" s="973"/>
      <c r="D629" s="973"/>
      <c r="E629" s="973"/>
      <c r="F629" s="973"/>
      <c r="G629" s="973"/>
      <c r="H629" s="973"/>
      <c r="I629" s="973"/>
      <c r="J629" s="973"/>
      <c r="K629" s="973"/>
      <c r="L629" s="973"/>
      <c r="M629" s="973"/>
      <c r="N629" s="973"/>
      <c r="O629" s="973"/>
      <c r="P629" s="973"/>
      <c r="Q629" s="973"/>
      <c r="R629" s="973"/>
      <c r="S629" s="973"/>
      <c r="T629" s="973"/>
      <c r="U629" s="973"/>
      <c r="V629" s="973"/>
      <c r="W629" s="973"/>
      <c r="X629" s="973"/>
      <c r="Y629" s="973"/>
      <c r="Z629" s="973"/>
      <c r="AA629" s="973"/>
      <c r="AB629" s="973"/>
      <c r="AC629" s="973"/>
      <c r="AD629" s="973"/>
      <c r="AE629" s="973"/>
      <c r="AF629" s="973"/>
      <c r="AG629" s="973"/>
      <c r="AH629" s="973"/>
      <c r="AI629" s="973"/>
      <c r="AJ629" s="974"/>
      <c r="AK629" s="1065">
        <f>IF($E$602=Application!G738,$AC$602+$AJ$627,0)</f>
        <v>52</v>
      </c>
      <c r="AL629" s="973"/>
      <c r="AM629" s="97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2137</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404" t="s">
        <v>2138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4"/>
      <c r="AL633" s="4"/>
      <c r="AM633" s="4"/>
    </row>
    <row r="634" spans="1:60">
      <c r="A634" s="4"/>
      <c r="B634" s="1184"/>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4"/>
      <c r="AL634" s="4"/>
      <c r="AM634" s="4"/>
    </row>
    <row r="635" spans="1:60" ht="13.7" customHeight="1">
      <c r="A635" s="4"/>
      <c r="B635" s="35"/>
      <c r="C635" s="172" t="s">
        <v>2139</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1776</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66" t="s">
        <v>71</v>
      </c>
      <c r="D637" s="1060"/>
      <c r="E637" s="183"/>
      <c r="F637" s="1498" t="s">
        <v>2140</v>
      </c>
      <c r="G637" s="1408"/>
      <c r="H637" s="1408"/>
      <c r="I637" s="1408"/>
      <c r="J637" s="1408"/>
      <c r="K637" s="1408"/>
      <c r="L637" s="1408"/>
      <c r="M637" s="1408"/>
      <c r="N637" s="1408"/>
      <c r="O637" s="1408"/>
      <c r="P637" s="1408"/>
      <c r="Q637" s="1408"/>
      <c r="R637" s="1408"/>
      <c r="S637" s="1408"/>
      <c r="T637" s="1408"/>
      <c r="U637" s="1408"/>
      <c r="V637" s="1408"/>
      <c r="W637" s="1408"/>
      <c r="X637" s="1408"/>
      <c r="Y637" s="1408"/>
      <c r="Z637" s="1408"/>
      <c r="AA637" s="1408"/>
      <c r="AB637" s="1408"/>
      <c r="AC637" s="1408"/>
      <c r="AD637" s="1408"/>
      <c r="AE637" s="1437"/>
      <c r="AF637" s="173"/>
      <c r="AG637" s="1011" t="s">
        <v>1807</v>
      </c>
      <c r="AH637" s="1184"/>
      <c r="AI637" s="1184"/>
      <c r="AJ637" s="1184"/>
      <c r="AK637" s="4"/>
      <c r="AL637" s="4"/>
      <c r="AM637" s="4"/>
      <c r="AO637" s="4"/>
      <c r="AP637" s="35"/>
    </row>
    <row r="638" spans="1:60">
      <c r="A638" s="4"/>
      <c r="B638" s="20"/>
      <c r="C638" s="45"/>
      <c r="D638" s="4"/>
      <c r="E638" s="183"/>
      <c r="F638" s="1499"/>
      <c r="G638" s="1184"/>
      <c r="H638" s="1184"/>
      <c r="I638" s="1184"/>
      <c r="J638" s="1184"/>
      <c r="K638" s="1184"/>
      <c r="L638" s="1184"/>
      <c r="M638" s="1184"/>
      <c r="N638" s="1184"/>
      <c r="O638" s="1184"/>
      <c r="P638" s="1184"/>
      <c r="Q638" s="1184"/>
      <c r="R638" s="1184"/>
      <c r="S638" s="1184"/>
      <c r="T638" s="1184"/>
      <c r="U638" s="1184"/>
      <c r="V638" s="1184"/>
      <c r="W638" s="1184"/>
      <c r="X638" s="1184"/>
      <c r="Y638" s="1184"/>
      <c r="Z638" s="1184"/>
      <c r="AA638" s="1184"/>
      <c r="AB638" s="1184"/>
      <c r="AC638" s="1184"/>
      <c r="AD638" s="1184"/>
      <c r="AE638" s="1417"/>
      <c r="AF638" s="173"/>
      <c r="AG638" s="173"/>
      <c r="AH638" s="173"/>
      <c r="AI638" s="173"/>
      <c r="AJ638" s="4"/>
      <c r="AK638" s="4"/>
      <c r="AL638" s="4"/>
      <c r="AM638" s="4"/>
    </row>
    <row r="639" spans="1:60" ht="13.7" customHeight="1">
      <c r="A639" s="4"/>
      <c r="B639" s="20"/>
      <c r="C639" s="45"/>
      <c r="D639" s="4"/>
      <c r="E639" s="183"/>
      <c r="F639" s="1500"/>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501"/>
      <c r="AF639" s="173"/>
      <c r="AG639" s="173"/>
      <c r="AH639" s="173"/>
      <c r="AI639" s="173"/>
      <c r="AJ639" s="4"/>
      <c r="AK639" s="4"/>
      <c r="AL639" s="4"/>
      <c r="AM639" s="4"/>
    </row>
    <row r="640" spans="1:60" ht="13.7" customHeight="1">
      <c r="A640" s="4"/>
      <c r="B640" s="20"/>
      <c r="C640" s="45"/>
      <c r="D640" s="4"/>
      <c r="E640" s="183"/>
      <c r="F640" s="820"/>
      <c r="G640" s="820"/>
      <c r="H640" s="820"/>
      <c r="I640" s="820"/>
      <c r="J640" s="820"/>
      <c r="K640" s="820"/>
      <c r="L640" s="820"/>
      <c r="M640" s="820"/>
      <c r="N640" s="820"/>
      <c r="O640" s="820"/>
      <c r="P640" s="820"/>
      <c r="Q640" s="820"/>
      <c r="R640" s="820"/>
      <c r="S640" s="820"/>
      <c r="T640" s="820"/>
      <c r="U640" s="820"/>
      <c r="V640" s="820"/>
      <c r="W640" s="820"/>
      <c r="X640" s="820"/>
      <c r="Y640" s="820"/>
      <c r="Z640" s="820"/>
      <c r="AA640" s="820"/>
      <c r="AB640" s="820"/>
      <c r="AC640" s="820"/>
      <c r="AD640" s="820"/>
      <c r="AE640" s="4"/>
      <c r="AF640" s="173"/>
      <c r="AG640" s="173"/>
      <c r="AH640" s="173"/>
      <c r="AI640" s="173"/>
      <c r="AJ640" s="4"/>
      <c r="AK640" s="4"/>
      <c r="AL640" s="4"/>
      <c r="AM640" s="4"/>
    </row>
    <row r="641" spans="1:60" ht="13.7" customHeight="1">
      <c r="A641" s="4"/>
      <c r="B641" s="1404" t="s">
        <v>2141</v>
      </c>
      <c r="C641" s="1184"/>
      <c r="D641" s="1184"/>
      <c r="E641" s="1184"/>
      <c r="F641" s="1184"/>
      <c r="G641" s="1184"/>
      <c r="H641" s="1184"/>
      <c r="I641" s="1184"/>
      <c r="J641" s="1184"/>
      <c r="K641" s="1184"/>
      <c r="L641" s="1184"/>
      <c r="M641" s="1184"/>
      <c r="N641" s="1184"/>
      <c r="O641" s="1184"/>
      <c r="P641" s="1184"/>
      <c r="Q641" s="1184"/>
      <c r="R641" s="1184"/>
      <c r="S641" s="1184"/>
      <c r="T641" s="1184"/>
      <c r="U641" s="1184"/>
      <c r="V641" s="1184"/>
      <c r="W641" s="1184"/>
      <c r="X641" s="1184"/>
      <c r="Y641" s="1184"/>
      <c r="Z641" s="1184"/>
      <c r="AA641" s="1184"/>
      <c r="AB641" s="1184"/>
      <c r="AC641" s="1184"/>
      <c r="AD641" s="1184"/>
      <c r="AE641" s="1184"/>
      <c r="AF641" s="1184"/>
      <c r="AG641" s="1184"/>
      <c r="AH641" s="1184"/>
      <c r="AI641" s="173"/>
      <c r="AJ641" s="4"/>
      <c r="AK641" s="4"/>
      <c r="AL641" s="4"/>
      <c r="AM641" s="4"/>
      <c r="AN641" s="79"/>
    </row>
    <row r="642" spans="1:60" ht="13.7" customHeight="1">
      <c r="B642" s="1184"/>
      <c r="C642" s="1184"/>
      <c r="D642" s="1184"/>
      <c r="E642" s="1184"/>
      <c r="F642" s="1184"/>
      <c r="G642" s="1184"/>
      <c r="H642" s="1184"/>
      <c r="I642" s="1184"/>
      <c r="J642" s="1184"/>
      <c r="K642" s="1184"/>
      <c r="L642" s="1184"/>
      <c r="M642" s="1184"/>
      <c r="N642" s="1184"/>
      <c r="O642" s="1184"/>
      <c r="P642" s="1184"/>
      <c r="Q642" s="1184"/>
      <c r="R642" s="1184"/>
      <c r="S642" s="1184"/>
      <c r="T642" s="1184"/>
      <c r="U642" s="1184"/>
      <c r="V642" s="1184"/>
      <c r="W642" s="1184"/>
      <c r="X642" s="1184"/>
      <c r="Y642" s="1184"/>
      <c r="Z642" s="1184"/>
      <c r="AA642" s="1184"/>
      <c r="AB642" s="1184"/>
      <c r="AC642" s="1184"/>
      <c r="AD642" s="1184"/>
      <c r="AE642" s="1184"/>
      <c r="AF642" s="1184"/>
      <c r="AG642" s="1184"/>
      <c r="AH642" s="1184"/>
      <c r="AI642" s="160"/>
      <c r="AJ642" s="4"/>
      <c r="AK642" s="4"/>
      <c r="AL642" s="4"/>
      <c r="AM642" s="4"/>
      <c r="AN642" s="79"/>
      <c r="AR642" s="41"/>
    </row>
    <row r="643" spans="1:60" ht="13.7" customHeight="1">
      <c r="A643" s="4"/>
      <c r="B643" s="1184"/>
      <c r="C643" s="1184"/>
      <c r="D643" s="1184"/>
      <c r="E643" s="1184"/>
      <c r="F643" s="1184"/>
      <c r="G643" s="1184"/>
      <c r="H643" s="1184"/>
      <c r="I643" s="1184"/>
      <c r="J643" s="1184"/>
      <c r="K643" s="1184"/>
      <c r="L643" s="1184"/>
      <c r="M643" s="1184"/>
      <c r="N643" s="1184"/>
      <c r="O643" s="1184"/>
      <c r="P643" s="1184"/>
      <c r="Q643" s="1184"/>
      <c r="R643" s="1184"/>
      <c r="S643" s="1184"/>
      <c r="T643" s="1184"/>
      <c r="U643" s="1184"/>
      <c r="V643" s="1184"/>
      <c r="W643" s="1184"/>
      <c r="X643" s="1184"/>
      <c r="Y643" s="1184"/>
      <c r="Z643" s="1184"/>
      <c r="AA643" s="1184"/>
      <c r="AB643" s="1184"/>
      <c r="AC643" s="1184"/>
      <c r="AD643" s="1184"/>
      <c r="AE643" s="1184"/>
      <c r="AF643" s="1184"/>
      <c r="AG643" s="1184"/>
      <c r="AH643" s="1184"/>
      <c r="AI643" s="160"/>
      <c r="AJ643" s="4"/>
      <c r="AK643" s="4"/>
      <c r="AL643" s="4"/>
      <c r="AM643" s="4"/>
      <c r="AN643" s="79"/>
    </row>
    <row r="644" spans="1:60" ht="13.7" customHeight="1">
      <c r="A644" s="4"/>
      <c r="B644" s="1184"/>
      <c r="C644" s="1184"/>
      <c r="D644" s="1184"/>
      <c r="E644" s="1184"/>
      <c r="F644" s="1184"/>
      <c r="G644" s="1184"/>
      <c r="H644" s="1184"/>
      <c r="I644" s="1184"/>
      <c r="J644" s="1184"/>
      <c r="K644" s="1184"/>
      <c r="L644" s="1184"/>
      <c r="M644" s="1184"/>
      <c r="N644" s="1184"/>
      <c r="O644" s="1184"/>
      <c r="P644" s="1184"/>
      <c r="Q644" s="1184"/>
      <c r="R644" s="1184"/>
      <c r="S644" s="1184"/>
      <c r="T644" s="1184"/>
      <c r="U644" s="1184"/>
      <c r="V644" s="1184"/>
      <c r="W644" s="1184"/>
      <c r="X644" s="1184"/>
      <c r="Y644" s="1184"/>
      <c r="Z644" s="1184"/>
      <c r="AA644" s="1184"/>
      <c r="AB644" s="1184"/>
      <c r="AC644" s="1184"/>
      <c r="AD644" s="1184"/>
      <c r="AE644" s="1184"/>
      <c r="AF644" s="1184"/>
      <c r="AG644" s="1184"/>
      <c r="AH644" s="1184"/>
      <c r="AI644" s="160"/>
      <c r="AJ644" s="4"/>
      <c r="AK644" s="4"/>
      <c r="AL644" s="4"/>
      <c r="AM644" s="4"/>
      <c r="AN644" s="79"/>
    </row>
    <row r="645" spans="1:60" ht="13.7" customHeight="1">
      <c r="A645" s="4"/>
      <c r="B645" s="1184"/>
      <c r="C645" s="1184"/>
      <c r="D645" s="1184"/>
      <c r="E645" s="1184"/>
      <c r="F645" s="1184"/>
      <c r="G645" s="1184"/>
      <c r="H645" s="1184"/>
      <c r="I645" s="1184"/>
      <c r="J645" s="1184"/>
      <c r="K645" s="1184"/>
      <c r="L645" s="1184"/>
      <c r="M645" s="1184"/>
      <c r="N645" s="1184"/>
      <c r="O645" s="1184"/>
      <c r="P645" s="1184"/>
      <c r="Q645" s="1184"/>
      <c r="R645" s="1184"/>
      <c r="S645" s="1184"/>
      <c r="T645" s="1184"/>
      <c r="U645" s="1184"/>
      <c r="V645" s="1184"/>
      <c r="W645" s="1184"/>
      <c r="X645" s="1184"/>
      <c r="Y645" s="1184"/>
      <c r="Z645" s="1184"/>
      <c r="AA645" s="1184"/>
      <c r="AB645" s="1184"/>
      <c r="AC645" s="1184"/>
      <c r="AD645" s="1184"/>
      <c r="AE645" s="1184"/>
      <c r="AF645" s="1184"/>
      <c r="AG645" s="1184"/>
      <c r="AH645" s="1184"/>
      <c r="AI645" s="160"/>
      <c r="AJ645" s="4"/>
      <c r="AK645" s="4"/>
      <c r="AL645" s="4"/>
      <c r="AM645" s="4"/>
      <c r="AN645" s="79"/>
    </row>
    <row r="646" spans="1:60" ht="13.7" customHeight="1">
      <c r="A646" s="4"/>
      <c r="B646" s="1184"/>
      <c r="C646" s="1184"/>
      <c r="D646" s="1184"/>
      <c r="E646" s="1184"/>
      <c r="F646" s="1184"/>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4"/>
      <c r="AF646" s="1184"/>
      <c r="AG646" s="1184"/>
      <c r="AH646" s="1184"/>
      <c r="AI646" s="160"/>
      <c r="AJ646" s="4"/>
      <c r="AK646" s="4"/>
      <c r="AL646" s="4"/>
      <c r="AM646" s="4"/>
      <c r="AN646" s="79"/>
    </row>
    <row r="647" spans="1:60" ht="13.7" customHeight="1">
      <c r="A647" s="4"/>
      <c r="B647" s="1184"/>
      <c r="C647" s="1184"/>
      <c r="D647" s="1184"/>
      <c r="E647" s="1184"/>
      <c r="F647" s="1184"/>
      <c r="G647" s="1184"/>
      <c r="H647" s="1184"/>
      <c r="I647" s="1184"/>
      <c r="J647" s="1184"/>
      <c r="K647" s="1184"/>
      <c r="L647" s="1184"/>
      <c r="M647" s="1184"/>
      <c r="N647" s="1184"/>
      <c r="O647" s="1184"/>
      <c r="P647" s="1184"/>
      <c r="Q647" s="1184"/>
      <c r="R647" s="1184"/>
      <c r="S647" s="1184"/>
      <c r="T647" s="1184"/>
      <c r="U647" s="1184"/>
      <c r="V647" s="1184"/>
      <c r="W647" s="1184"/>
      <c r="X647" s="1184"/>
      <c r="Y647" s="1184"/>
      <c r="Z647" s="1184"/>
      <c r="AA647" s="1184"/>
      <c r="AB647" s="1184"/>
      <c r="AC647" s="1184"/>
      <c r="AD647" s="1184"/>
      <c r="AE647" s="1184"/>
      <c r="AF647" s="1184"/>
      <c r="AG647" s="1184"/>
      <c r="AH647" s="1184"/>
      <c r="AI647" s="160"/>
      <c r="AJ647" s="4"/>
      <c r="AK647" s="4"/>
      <c r="AL647" s="4"/>
      <c r="AM647" s="4"/>
      <c r="AN647" s="79"/>
    </row>
    <row r="648" spans="1:60">
      <c r="A648" s="4"/>
      <c r="B648" s="1184"/>
      <c r="C648" s="1184"/>
      <c r="D648" s="1184"/>
      <c r="E648" s="1184"/>
      <c r="F648" s="1184"/>
      <c r="G648" s="1184"/>
      <c r="H648" s="1184"/>
      <c r="I648" s="1184"/>
      <c r="J648" s="1184"/>
      <c r="K648" s="1184"/>
      <c r="L648" s="1184"/>
      <c r="M648" s="1184"/>
      <c r="N648" s="1184"/>
      <c r="O648" s="1184"/>
      <c r="P648" s="1184"/>
      <c r="Q648" s="1184"/>
      <c r="R648" s="1184"/>
      <c r="S648" s="1184"/>
      <c r="T648" s="1184"/>
      <c r="U648" s="1184"/>
      <c r="V648" s="1184"/>
      <c r="W648" s="1184"/>
      <c r="X648" s="1184"/>
      <c r="Y648" s="1184"/>
      <c r="Z648" s="1184"/>
      <c r="AA648" s="1184"/>
      <c r="AB648" s="1184"/>
      <c r="AC648" s="1184"/>
      <c r="AD648" s="1184"/>
      <c r="AE648" s="1184"/>
      <c r="AF648" s="1184"/>
      <c r="AG648" s="1184"/>
      <c r="AH648" s="1184"/>
      <c r="AI648" s="160"/>
      <c r="AJ648" s="4"/>
      <c r="AK648" s="4"/>
      <c r="AL648" s="4"/>
      <c r="AM648" s="4"/>
      <c r="AN648" s="79"/>
    </row>
    <row r="649" spans="1:60">
      <c r="A649" s="4"/>
      <c r="B649" s="1184"/>
      <c r="C649" s="1184"/>
      <c r="D649" s="1184"/>
      <c r="E649" s="1184"/>
      <c r="F649" s="1184"/>
      <c r="G649" s="1184"/>
      <c r="H649" s="1184"/>
      <c r="I649" s="1184"/>
      <c r="J649" s="1184"/>
      <c r="K649" s="1184"/>
      <c r="L649" s="1184"/>
      <c r="M649" s="1184"/>
      <c r="N649" s="1184"/>
      <c r="O649" s="1184"/>
      <c r="P649" s="1184"/>
      <c r="Q649" s="1184"/>
      <c r="R649" s="1184"/>
      <c r="S649" s="1184"/>
      <c r="T649" s="1184"/>
      <c r="U649" s="1184"/>
      <c r="V649" s="1184"/>
      <c r="W649" s="1184"/>
      <c r="X649" s="1184"/>
      <c r="Y649" s="1184"/>
      <c r="Z649" s="1184"/>
      <c r="AA649" s="1184"/>
      <c r="AB649" s="1184"/>
      <c r="AC649" s="1184"/>
      <c r="AD649" s="1184"/>
      <c r="AE649" s="1184"/>
      <c r="AF649" s="1184"/>
      <c r="AG649" s="1184"/>
      <c r="AH649" s="1184"/>
      <c r="AI649" s="160"/>
      <c r="AJ649" s="4"/>
      <c r="AK649" s="4"/>
      <c r="AL649" s="4"/>
      <c r="AM649" s="4"/>
      <c r="AN649" s="79"/>
    </row>
    <row r="650" spans="1:60">
      <c r="A650" s="4"/>
      <c r="B650" s="1184"/>
      <c r="C650" s="1184"/>
      <c r="D650" s="1184"/>
      <c r="E650" s="1184"/>
      <c r="F650" s="1184"/>
      <c r="G650" s="1184"/>
      <c r="H650" s="1184"/>
      <c r="I650" s="1184"/>
      <c r="J650" s="1184"/>
      <c r="K650" s="1184"/>
      <c r="L650" s="1184"/>
      <c r="M650" s="1184"/>
      <c r="N650" s="1184"/>
      <c r="O650" s="1184"/>
      <c r="P650" s="1184"/>
      <c r="Q650" s="1184"/>
      <c r="R650" s="1184"/>
      <c r="S650" s="1184"/>
      <c r="T650" s="1184"/>
      <c r="U650" s="1184"/>
      <c r="V650" s="1184"/>
      <c r="W650" s="1184"/>
      <c r="X650" s="1184"/>
      <c r="Y650" s="1184"/>
      <c r="Z650" s="1184"/>
      <c r="AA650" s="1184"/>
      <c r="AB650" s="1184"/>
      <c r="AC650" s="1184"/>
      <c r="AD650" s="1184"/>
      <c r="AE650" s="1184"/>
      <c r="AF650" s="1184"/>
      <c r="AG650" s="1184"/>
      <c r="AH650" s="1184"/>
      <c r="AI650" s="160"/>
      <c r="AJ650" s="4"/>
      <c r="AK650" s="4"/>
      <c r="AL650" s="4"/>
      <c r="AM650" s="4"/>
      <c r="AN650" s="79"/>
    </row>
    <row r="651" spans="1:60">
      <c r="A651" s="4"/>
      <c r="B651" s="1184"/>
      <c r="C651" s="1184"/>
      <c r="D651" s="1184"/>
      <c r="E651" s="1184"/>
      <c r="F651" s="1184"/>
      <c r="G651" s="1184"/>
      <c r="H651" s="1184"/>
      <c r="I651" s="1184"/>
      <c r="J651" s="1184"/>
      <c r="K651" s="1184"/>
      <c r="L651" s="1184"/>
      <c r="M651" s="1184"/>
      <c r="N651" s="1184"/>
      <c r="O651" s="1184"/>
      <c r="P651" s="1184"/>
      <c r="Q651" s="1184"/>
      <c r="R651" s="1184"/>
      <c r="S651" s="1184"/>
      <c r="T651" s="1184"/>
      <c r="U651" s="1184"/>
      <c r="V651" s="1184"/>
      <c r="W651" s="1184"/>
      <c r="X651" s="1184"/>
      <c r="Y651" s="1184"/>
      <c r="Z651" s="1184"/>
      <c r="AA651" s="1184"/>
      <c r="AB651" s="1184"/>
      <c r="AC651" s="1184"/>
      <c r="AD651" s="1184"/>
      <c r="AE651" s="1184"/>
      <c r="AF651" s="1184"/>
      <c r="AG651" s="1184"/>
      <c r="AH651" s="1184"/>
      <c r="AI651" s="160"/>
      <c r="AJ651" s="4"/>
      <c r="AK651" s="4"/>
      <c r="AL651" s="4"/>
      <c r="AM651" s="4"/>
      <c r="AN651" s="79"/>
    </row>
    <row r="652" spans="1:60" s="639" customFormat="1" ht="12.4" customHeight="1">
      <c r="A652" s="4"/>
      <c r="B652" s="1510"/>
      <c r="C652" s="1510"/>
      <c r="D652" s="1510"/>
      <c r="E652" s="1510"/>
      <c r="F652" s="1510"/>
      <c r="G652" s="1510"/>
      <c r="H652" s="1510"/>
      <c r="I652" s="1510"/>
      <c r="J652" s="1510"/>
      <c r="K652" s="1510"/>
      <c r="L652" s="1510"/>
      <c r="M652" s="1510"/>
      <c r="N652" s="1510"/>
      <c r="O652" s="1510"/>
      <c r="P652" s="1510"/>
      <c r="Q652" s="1510"/>
      <c r="R652" s="1510"/>
      <c r="S652" s="1510"/>
      <c r="T652" s="1510"/>
      <c r="U652" s="1510"/>
      <c r="V652" s="1510"/>
      <c r="W652" s="1510"/>
      <c r="X652" s="1510"/>
      <c r="Y652" s="1510"/>
      <c r="Z652" s="1510"/>
      <c r="AA652" s="1510"/>
      <c r="AB652" s="1510"/>
      <c r="AC652" s="1510"/>
      <c r="AD652" s="1510"/>
      <c r="AE652" s="1510"/>
      <c r="AF652" s="1510"/>
      <c r="AG652" s="1510"/>
      <c r="AH652" s="1510"/>
      <c r="AI652" s="160"/>
      <c r="AJ652" s="4"/>
      <c r="AK652" s="4"/>
      <c r="AL652" s="4"/>
      <c r="AM652" s="4"/>
      <c r="AN652" s="672"/>
      <c r="BD652" s="641"/>
      <c r="BE652" s="641"/>
      <c r="BF652" s="641"/>
      <c r="BG652" s="641"/>
      <c r="BH652" s="641"/>
    </row>
    <row r="653" spans="1:60">
      <c r="A653" s="4"/>
      <c r="B653" s="1184"/>
      <c r="C653" s="1184"/>
      <c r="D653" s="1184"/>
      <c r="E653" s="1184"/>
      <c r="F653" s="1184"/>
      <c r="G653" s="1184"/>
      <c r="H653" s="1184"/>
      <c r="I653" s="1184"/>
      <c r="J653" s="1184"/>
      <c r="K653" s="1184"/>
      <c r="L653" s="1184"/>
      <c r="M653" s="1184"/>
      <c r="N653" s="1184"/>
      <c r="O653" s="1184"/>
      <c r="P653" s="1184"/>
      <c r="Q653" s="1184"/>
      <c r="R653" s="1184"/>
      <c r="S653" s="1184"/>
      <c r="T653" s="1184"/>
      <c r="U653" s="1184"/>
      <c r="V653" s="1184"/>
      <c r="W653" s="1184"/>
      <c r="X653" s="1184"/>
      <c r="Y653" s="1184"/>
      <c r="Z653" s="1184"/>
      <c r="AA653" s="1184"/>
      <c r="AB653" s="1184"/>
      <c r="AC653" s="1184"/>
      <c r="AD653" s="1184"/>
      <c r="AE653" s="1184"/>
      <c r="AF653" s="1184"/>
      <c r="AG653" s="1184"/>
      <c r="AH653" s="118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2142</v>
      </c>
      <c r="AK655" s="1065">
        <f>IF($C$637="yes",10,0)</f>
        <v>10</v>
      </c>
      <c r="AL655" s="973"/>
      <c r="AM655" s="974"/>
      <c r="AN655" s="79"/>
      <c r="AO655" s="4"/>
    </row>
    <row r="656" spans="1:60" ht="13.5" customHeight="1"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customHeight="1" thickTop="1">
      <c r="AN657" s="79"/>
      <c r="AO657" s="21"/>
      <c r="AQ657" s="637"/>
      <c r="AV657" s="40"/>
      <c r="AW657" s="40"/>
    </row>
    <row r="658" spans="1:49">
      <c r="A658" s="126" t="s">
        <v>2143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2144</v>
      </c>
      <c r="AI658" s="3"/>
      <c r="AJ658" s="3"/>
      <c r="AK658" s="4"/>
      <c r="AL658" s="4"/>
      <c r="AM658" s="4"/>
      <c r="AN658" s="79"/>
      <c r="AO658" s="4">
        <f>IF($C$660="yes",2,0)</f>
        <v>2</v>
      </c>
      <c r="AQ658" s="637"/>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V659" s="40"/>
      <c r="AW659" s="40"/>
    </row>
    <row r="660" spans="1:49">
      <c r="C660" s="1066" t="s">
        <v>71</v>
      </c>
      <c r="D660" s="1060"/>
      <c r="E660" s="183" t="s">
        <v>907</v>
      </c>
      <c r="F660" s="19" t="s">
        <v>2145</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1855</v>
      </c>
      <c r="AH660" s="4"/>
      <c r="AI660" s="4"/>
      <c r="AJ660" s="4"/>
      <c r="AK660" s="4"/>
      <c r="AL660" s="4"/>
      <c r="AM660" s="4"/>
      <c r="AN660" s="79"/>
      <c r="AO660" s="4">
        <f>IF($C$669="yes",2,0)</f>
        <v>0</v>
      </c>
      <c r="AV660" s="40"/>
      <c r="AW660" s="40"/>
    </row>
    <row r="661" spans="1:49">
      <c r="A661" s="126"/>
      <c r="B661" s="20"/>
      <c r="F661" s="19" t="s">
        <v>2146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V661" s="40"/>
      <c r="AW661" s="40"/>
    </row>
    <row r="662" spans="1:49">
      <c r="A662" s="4"/>
      <c r="B662" s="19"/>
      <c r="C662" s="4"/>
      <c r="D662" s="19"/>
      <c r="E662" s="4"/>
      <c r="F662" s="19" t="s">
        <v>2147</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V662" s="40"/>
      <c r="AW662" s="40"/>
    </row>
    <row r="663" spans="1:49">
      <c r="A663" s="4"/>
      <c r="B663" s="19"/>
      <c r="C663" s="19"/>
      <c r="D663" s="19"/>
      <c r="E663" s="19"/>
      <c r="F663" s="19" t="s">
        <v>2148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3"/>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66" t="s">
        <v>155</v>
      </c>
      <c r="D665" s="1060"/>
      <c r="E665" s="183" t="s">
        <v>956</v>
      </c>
      <c r="F665" s="19" t="s">
        <v>2149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1855</v>
      </c>
      <c r="AH665" s="19"/>
      <c r="AI665" s="19"/>
      <c r="AJ665" s="4"/>
      <c r="AK665" s="4"/>
      <c r="AL665" s="4"/>
      <c r="AM665" s="4"/>
      <c r="AO665" s="26">
        <f>SUM(AO658:AO664)</f>
        <v>2</v>
      </c>
      <c r="AP665" s="640" t="s">
        <v>2150</v>
      </c>
    </row>
    <row r="666" spans="1:49">
      <c r="A666" s="4"/>
      <c r="B666" s="19"/>
      <c r="C666" s="4"/>
      <c r="D666" s="19"/>
      <c r="E666" s="4"/>
      <c r="F666" s="19" t="s">
        <v>2151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2152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66" t="s">
        <v>155</v>
      </c>
      <c r="D669" s="1060"/>
      <c r="E669" s="183" t="s">
        <v>973</v>
      </c>
      <c r="F669" s="498" t="s">
        <v>2153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1855</v>
      </c>
      <c r="AH669" s="19"/>
      <c r="AI669" s="19"/>
      <c r="AJ669" s="4"/>
      <c r="AK669" s="4"/>
      <c r="AL669" s="4"/>
      <c r="AM669" s="4"/>
      <c r="AN669" s="79"/>
      <c r="AO669" s="21"/>
    </row>
    <row r="670" spans="1:49">
      <c r="A670" s="4"/>
      <c r="B670" s="19"/>
      <c r="C670" s="4"/>
      <c r="D670" s="19"/>
      <c r="E670" s="4"/>
      <c r="F670" s="19" t="s">
        <v>2154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2155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66" t="s">
        <v>155</v>
      </c>
      <c r="D673" s="1060"/>
      <c r="E673" s="183" t="s">
        <v>1830</v>
      </c>
      <c r="F673" s="19" t="s">
        <v>2156</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1874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66" t="s">
        <v>155</v>
      </c>
      <c r="D675" s="1060"/>
      <c r="E675" s="183" t="s">
        <v>1832</v>
      </c>
      <c r="F675" s="19" t="s">
        <v>2157</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1855</v>
      </c>
      <c r="AH675" s="19"/>
      <c r="AI675" s="19"/>
      <c r="AJ675" s="4"/>
      <c r="AK675" s="4"/>
      <c r="AL675" s="4"/>
      <c r="AM675" s="4"/>
    </row>
    <row r="676" spans="1:41">
      <c r="A676" s="4"/>
      <c r="B676" s="19"/>
      <c r="C676" s="4"/>
      <c r="D676" s="19"/>
      <c r="E676" s="4"/>
      <c r="F676" s="499" t="s">
        <v>2158</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499" t="s">
        <v>2159</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2160</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66" t="s">
        <v>155</v>
      </c>
      <c r="D680" s="1060"/>
      <c r="E680" s="183" t="s">
        <v>1870</v>
      </c>
      <c r="F680" s="19" t="s">
        <v>2161</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1874</v>
      </c>
      <c r="AH680" s="19"/>
      <c r="AI680" s="19"/>
      <c r="AJ680" s="4"/>
      <c r="AK680" s="4"/>
      <c r="AL680" s="4"/>
      <c r="AM680" s="4"/>
      <c r="AN680" s="79"/>
      <c r="AO680" s="21"/>
    </row>
    <row r="681" spans="1:41">
      <c r="A681" s="4"/>
      <c r="B681" s="19"/>
      <c r="C681" s="19"/>
      <c r="D681" s="19"/>
      <c r="E681" s="19"/>
      <c r="F681" s="19" t="s">
        <v>2162</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66" t="s">
        <v>155</v>
      </c>
      <c r="D683" s="1060"/>
      <c r="E683" s="183" t="s">
        <v>1872</v>
      </c>
      <c r="F683" s="1404" t="s">
        <v>2163</v>
      </c>
      <c r="G683" s="1184"/>
      <c r="H683" s="1184"/>
      <c r="I683" s="1184"/>
      <c r="J683" s="1184"/>
      <c r="K683" s="1184"/>
      <c r="L683" s="1184"/>
      <c r="M683" s="1184"/>
      <c r="N683" s="1184"/>
      <c r="O683" s="1184"/>
      <c r="P683" s="1184"/>
      <c r="Q683" s="1184"/>
      <c r="R683" s="1184"/>
      <c r="S683" s="1184"/>
      <c r="T683" s="1184"/>
      <c r="U683" s="1184"/>
      <c r="V683" s="1184"/>
      <c r="W683" s="1184"/>
      <c r="X683" s="1184"/>
      <c r="Y683" s="1184"/>
      <c r="Z683" s="1184"/>
      <c r="AA683" s="1184"/>
      <c r="AB683" s="1184"/>
      <c r="AC683" s="1184"/>
      <c r="AD683" s="1184"/>
      <c r="AE683" s="19"/>
      <c r="AF683" s="19"/>
      <c r="AG683" s="3" t="s">
        <v>1855</v>
      </c>
      <c r="AH683" s="19"/>
      <c r="AI683" s="19"/>
      <c r="AJ683" s="4"/>
      <c r="AK683" s="4"/>
      <c r="AL683" s="4"/>
      <c r="AM683" s="4"/>
      <c r="AN683" s="79"/>
      <c r="AO683" s="21"/>
    </row>
    <row r="684" spans="1:41">
      <c r="A684" s="4"/>
      <c r="B684" s="19"/>
      <c r="C684" s="19"/>
      <c r="D684" s="19"/>
      <c r="E684" s="19"/>
      <c r="F684" s="1184"/>
      <c r="G684" s="1184"/>
      <c r="H684" s="1184"/>
      <c r="I684" s="1184"/>
      <c r="J684" s="1184"/>
      <c r="K684" s="1184"/>
      <c r="L684" s="1184"/>
      <c r="M684" s="1184"/>
      <c r="N684" s="1184"/>
      <c r="O684" s="1184"/>
      <c r="P684" s="1184"/>
      <c r="Q684" s="1184"/>
      <c r="R684" s="1184"/>
      <c r="S684" s="1184"/>
      <c r="T684" s="1184"/>
      <c r="U684" s="1184"/>
      <c r="V684" s="1184"/>
      <c r="W684" s="1184"/>
      <c r="X684" s="1184"/>
      <c r="Y684" s="1184"/>
      <c r="Z684" s="1184"/>
      <c r="AA684" s="1184"/>
      <c r="AB684" s="1184"/>
      <c r="AC684" s="1184"/>
      <c r="AD684" s="1184"/>
      <c r="AE684" s="19"/>
      <c r="AF684" s="19"/>
      <c r="AG684" s="19"/>
      <c r="AH684" s="19"/>
      <c r="AI684" s="19"/>
      <c r="AJ684" s="4"/>
      <c r="AK684" s="4"/>
      <c r="AL684" s="4"/>
      <c r="AM684" s="4"/>
      <c r="AN684" s="79"/>
      <c r="AO684" s="21"/>
    </row>
    <row r="685" spans="1:41" ht="0.75" customHeight="1">
      <c r="A685" s="4"/>
      <c r="B685" s="19"/>
      <c r="C685" s="19"/>
      <c r="D685" s="19"/>
      <c r="E685" s="19"/>
      <c r="F685" s="1184"/>
      <c r="G685" s="1184"/>
      <c r="H685" s="1184"/>
      <c r="I685" s="1184"/>
      <c r="J685" s="1184"/>
      <c r="K685" s="1184"/>
      <c r="L685" s="1184"/>
      <c r="M685" s="1184"/>
      <c r="N685" s="1184"/>
      <c r="O685" s="1184"/>
      <c r="P685" s="1184"/>
      <c r="Q685" s="1184"/>
      <c r="R685" s="1184"/>
      <c r="S685" s="1184"/>
      <c r="T685" s="1184"/>
      <c r="U685" s="1184"/>
      <c r="V685" s="1184"/>
      <c r="W685" s="1184"/>
      <c r="X685" s="1184"/>
      <c r="Y685" s="1184"/>
      <c r="Z685" s="1184"/>
      <c r="AA685" s="1184"/>
      <c r="AB685" s="1184"/>
      <c r="AC685" s="1184"/>
      <c r="AD685" s="1184"/>
      <c r="AE685" s="19"/>
      <c r="AF685" s="19"/>
      <c r="AG685" s="19"/>
      <c r="AH685" s="19"/>
      <c r="AI685" s="19"/>
      <c r="AJ685" s="4"/>
      <c r="AK685" s="4"/>
      <c r="AL685" s="4"/>
      <c r="AM685" s="4"/>
      <c r="AN685" s="79"/>
      <c r="AO685" s="21"/>
    </row>
    <row r="686" spans="1:41" ht="12.75" customHeight="1">
      <c r="A686" s="4"/>
      <c r="B686" s="19"/>
      <c r="C686" s="19"/>
      <c r="D686" s="19"/>
      <c r="F686" s="1184"/>
      <c r="G686" s="1184"/>
      <c r="H686" s="1184"/>
      <c r="I686" s="1184"/>
      <c r="J686" s="1184"/>
      <c r="K686" s="1184"/>
      <c r="L686" s="1184"/>
      <c r="M686" s="1184"/>
      <c r="N686" s="1184"/>
      <c r="O686" s="1184"/>
      <c r="P686" s="1184"/>
      <c r="Q686" s="1184"/>
      <c r="R686" s="1184"/>
      <c r="S686" s="1184"/>
      <c r="T686" s="1184"/>
      <c r="U686" s="1184"/>
      <c r="V686" s="1184"/>
      <c r="W686" s="1184"/>
      <c r="X686" s="1184"/>
      <c r="Y686" s="1184"/>
      <c r="Z686" s="1184"/>
      <c r="AA686" s="1184"/>
      <c r="AB686" s="1184"/>
      <c r="AC686" s="1184"/>
      <c r="AD686" s="1184"/>
      <c r="AE686" s="27"/>
      <c r="AF686" s="27"/>
      <c r="AG686" s="19"/>
      <c r="AH686" s="19"/>
      <c r="AI686" s="19"/>
      <c r="AJ686" s="4"/>
      <c r="AK686" s="4"/>
      <c r="AL686" s="4"/>
      <c r="AM686" s="4"/>
      <c r="AN686" s="79"/>
      <c r="AO686" s="21"/>
    </row>
    <row r="687" spans="1:41" ht="7.5" customHeight="1">
      <c r="A687" s="4"/>
      <c r="B687" s="19"/>
      <c r="C687" s="19"/>
      <c r="D687" s="19"/>
      <c r="E687" s="19"/>
      <c r="F687" s="1184"/>
      <c r="G687" s="1184"/>
      <c r="H687" s="1184"/>
      <c r="I687" s="1184"/>
      <c r="J687" s="1184"/>
      <c r="K687" s="1184"/>
      <c r="L687" s="1184"/>
      <c r="M687" s="1184"/>
      <c r="N687" s="1184"/>
      <c r="O687" s="1184"/>
      <c r="P687" s="1184"/>
      <c r="Q687" s="1184"/>
      <c r="R687" s="1184"/>
      <c r="S687" s="1184"/>
      <c r="T687" s="1184"/>
      <c r="U687" s="1184"/>
      <c r="V687" s="1184"/>
      <c r="W687" s="1184"/>
      <c r="X687" s="1184"/>
      <c r="Y687" s="1184"/>
      <c r="Z687" s="1184"/>
      <c r="AA687" s="1184"/>
      <c r="AB687" s="1184"/>
      <c r="AC687" s="1184"/>
      <c r="AD687" s="118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2164</v>
      </c>
      <c r="AK698" s="1065">
        <f>$AO$665</f>
        <v>2</v>
      </c>
      <c r="AL698" s="973"/>
      <c r="AM698" s="97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497" t="s">
        <v>2165</v>
      </c>
      <c r="B701" s="1073"/>
      <c r="C701" s="1073"/>
      <c r="D701" s="1073"/>
      <c r="E701" s="1073"/>
      <c r="F701" s="1073"/>
      <c r="G701" s="1073"/>
      <c r="H701" s="1073"/>
      <c r="I701" s="1073"/>
      <c r="J701" s="1073"/>
      <c r="K701" s="1073"/>
      <c r="L701" s="1073"/>
      <c r="M701" s="1073"/>
      <c r="N701" s="1073"/>
      <c r="O701" s="1073"/>
      <c r="P701" s="1073"/>
      <c r="Q701" s="1073"/>
      <c r="R701" s="1073"/>
      <c r="S701" s="1073"/>
      <c r="T701" s="1073"/>
      <c r="U701" s="1073"/>
      <c r="V701" s="1073"/>
      <c r="W701" s="1073"/>
      <c r="X701" s="1073"/>
      <c r="Y701" s="1073"/>
      <c r="Z701" s="1073"/>
      <c r="AA701" s="1073"/>
      <c r="AB701" s="1073"/>
      <c r="AC701" s="1073"/>
      <c r="AD701" s="1073"/>
      <c r="AE701" s="1073"/>
      <c r="AF701" s="1073"/>
      <c r="AG701" s="1073"/>
      <c r="AH701" s="1073"/>
      <c r="AI701" s="1073"/>
      <c r="AJ701" s="1073"/>
      <c r="AK701" s="1073"/>
      <c r="AL701" s="1073"/>
      <c r="AM701" s="1073"/>
      <c r="AO701" s="204"/>
      <c r="AP701" s="204"/>
      <c r="AQ701" s="204"/>
    </row>
    <row r="702" spans="1:60">
      <c r="A702" s="1184"/>
      <c r="B702" s="1184"/>
      <c r="C702" s="1184"/>
      <c r="D702" s="1184"/>
      <c r="E702" s="1184"/>
      <c r="F702" s="1184"/>
      <c r="G702" s="1184"/>
      <c r="H702" s="1184"/>
      <c r="I702" s="1184"/>
      <c r="J702" s="1184"/>
      <c r="K702" s="1184"/>
      <c r="L702" s="1184"/>
      <c r="M702" s="1184"/>
      <c r="N702" s="1184"/>
      <c r="O702" s="1184"/>
      <c r="P702" s="1184"/>
      <c r="Q702" s="1184"/>
      <c r="R702" s="1184"/>
      <c r="S702" s="1184"/>
      <c r="T702" s="1184"/>
      <c r="U702" s="1184"/>
      <c r="V702" s="1184"/>
      <c r="W702" s="1184"/>
      <c r="X702" s="1184"/>
      <c r="Y702" s="1184"/>
      <c r="Z702" s="1184"/>
      <c r="AA702" s="1184"/>
      <c r="AB702" s="1184"/>
      <c r="AC702" s="1184"/>
      <c r="AD702" s="1184"/>
      <c r="AE702" s="1184"/>
      <c r="AF702" s="1184"/>
      <c r="AG702" s="1184"/>
      <c r="AH702" s="1184"/>
      <c r="AI702" s="1184"/>
      <c r="AJ702" s="1184"/>
      <c r="AK702" s="1184"/>
      <c r="AL702" s="1184"/>
      <c r="AM702" s="118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85" t="s">
        <v>2166</v>
      </c>
      <c r="B704" s="1184"/>
      <c r="C704" s="1184"/>
      <c r="D704" s="1184"/>
      <c r="E704" s="1184"/>
      <c r="F704" s="1184"/>
      <c r="G704" s="1184"/>
      <c r="H704" s="1184"/>
      <c r="I704" s="1184"/>
      <c r="J704" s="1184"/>
      <c r="K704" s="1184"/>
      <c r="L704" s="1184"/>
      <c r="M704" s="1184"/>
      <c r="N704" s="1184"/>
      <c r="O704" s="1184"/>
      <c r="P704" s="1184"/>
      <c r="Q704" s="1184"/>
      <c r="R704" s="1184"/>
      <c r="S704" s="1184"/>
      <c r="T704" s="1184"/>
      <c r="U704" s="1184"/>
      <c r="V704" s="1184"/>
      <c r="W704" s="1184"/>
      <c r="X704" s="1184"/>
      <c r="Y704" s="1184"/>
      <c r="Z704" s="1184"/>
      <c r="AA704" s="1184"/>
      <c r="AB704" s="1184"/>
      <c r="AC704" s="1184"/>
      <c r="AD704" s="1184"/>
      <c r="AE704" s="1184"/>
      <c r="AF704" s="1184"/>
      <c r="AG704" s="1184"/>
      <c r="AH704" s="1184"/>
      <c r="AI704" s="1184"/>
      <c r="AJ704" s="1184"/>
      <c r="AK704" s="1184"/>
      <c r="AL704" s="1184"/>
      <c r="AM704" s="1184"/>
      <c r="AO704" s="204">
        <f>IF(T713&gt;15,15,T713)</f>
        <v>15</v>
      </c>
      <c r="AP704" s="204"/>
      <c r="AQ704" s="204"/>
    </row>
    <row r="705" spans="1:43">
      <c r="A705" s="1185" t="s">
        <v>2167</v>
      </c>
      <c r="B705" s="1184"/>
      <c r="C705" s="1184"/>
      <c r="D705" s="1184"/>
      <c r="E705" s="1184"/>
      <c r="F705" s="1184"/>
      <c r="G705" s="1184"/>
      <c r="H705" s="1184"/>
      <c r="I705" s="1184"/>
      <c r="J705" s="1184"/>
      <c r="K705" s="1184"/>
      <c r="L705" s="1184"/>
      <c r="M705" s="1184"/>
      <c r="N705" s="1184"/>
      <c r="O705" s="1184"/>
      <c r="P705" s="1184"/>
      <c r="Q705" s="1184"/>
      <c r="R705" s="1184"/>
      <c r="S705" s="1184"/>
      <c r="T705" s="1184"/>
      <c r="U705" s="1184"/>
      <c r="V705" s="1184"/>
      <c r="W705" s="1184"/>
      <c r="X705" s="1184"/>
      <c r="Y705" s="1184"/>
      <c r="Z705" s="1184"/>
      <c r="AA705" s="1184"/>
      <c r="AB705" s="1184"/>
      <c r="AC705" s="1184"/>
      <c r="AD705" s="1184"/>
      <c r="AE705" s="1184"/>
      <c r="AF705" s="1184"/>
      <c r="AG705" s="1184"/>
      <c r="AH705" s="1184"/>
      <c r="AI705" s="1184"/>
      <c r="AJ705" s="1184"/>
      <c r="AK705" s="1184"/>
      <c r="AL705" s="1184"/>
      <c r="AM705" s="11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358" t="s">
        <v>2168</v>
      </c>
      <c r="U706" s="1073"/>
      <c r="V706" s="1073"/>
      <c r="W706" s="1073"/>
      <c r="X706" s="1073"/>
      <c r="Y706" s="1074"/>
      <c r="Z706" s="1358" t="s">
        <v>2169</v>
      </c>
      <c r="AA706" s="1073"/>
      <c r="AB706" s="1073"/>
      <c r="AC706" s="1073"/>
      <c r="AD706" s="1073"/>
      <c r="AE706" s="1074"/>
      <c r="AF706" s="1358" t="s">
        <v>2170</v>
      </c>
      <c r="AG706" s="1073"/>
      <c r="AH706" s="1073"/>
      <c r="AI706" s="1073"/>
      <c r="AJ706" s="1073"/>
      <c r="AK706" s="1074"/>
      <c r="AL706" s="772"/>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92"/>
      <c r="U707" s="1093"/>
      <c r="V707" s="1093"/>
      <c r="W707" s="1093"/>
      <c r="X707" s="1093"/>
      <c r="Y707" s="1094"/>
      <c r="Z707" s="1092"/>
      <c r="AA707" s="1093"/>
      <c r="AB707" s="1093"/>
      <c r="AC707" s="1093"/>
      <c r="AD707" s="1093"/>
      <c r="AE707" s="1094"/>
      <c r="AF707" s="1092"/>
      <c r="AG707" s="1093"/>
      <c r="AH707" s="1093"/>
      <c r="AI707" s="1093"/>
      <c r="AJ707" s="1093"/>
      <c r="AK707" s="1094"/>
      <c r="AL707" s="772"/>
      <c r="AM707" s="20"/>
    </row>
    <row r="708" spans="1:43">
      <c r="A708" s="589" t="s">
        <v>97</v>
      </c>
      <c r="B708" s="1420" t="s">
        <v>2171</v>
      </c>
      <c r="C708" s="973"/>
      <c r="D708" s="973"/>
      <c r="E708" s="973"/>
      <c r="F708" s="973"/>
      <c r="G708" s="973"/>
      <c r="H708" s="973"/>
      <c r="I708" s="973"/>
      <c r="J708" s="973"/>
      <c r="K708" s="973"/>
      <c r="L708" s="973"/>
      <c r="M708" s="973"/>
      <c r="N708" s="973"/>
      <c r="O708" s="973"/>
      <c r="P708" s="973"/>
      <c r="Q708" s="973"/>
      <c r="R708" s="973"/>
      <c r="S708" s="974"/>
      <c r="T708" s="1490">
        <f>SUM(T709:Y710)</f>
        <v>10</v>
      </c>
      <c r="U708" s="973"/>
      <c r="V708" s="973"/>
      <c r="W708" s="973"/>
      <c r="X708" s="973"/>
      <c r="Y708" s="974"/>
      <c r="Z708" s="1198">
        <v>10</v>
      </c>
      <c r="AA708" s="973"/>
      <c r="AB708" s="973"/>
      <c r="AC708" s="973"/>
      <c r="AD708" s="973"/>
      <c r="AE708" s="974"/>
      <c r="AF708" s="1198">
        <f>IF(T708&gt;Z708,Z708,T708)</f>
        <v>10</v>
      </c>
      <c r="AG708" s="973"/>
      <c r="AH708" s="973"/>
      <c r="AI708" s="973"/>
      <c r="AJ708" s="973"/>
      <c r="AK708" s="974"/>
      <c r="AL708" s="772"/>
      <c r="AM708" s="20"/>
      <c r="AO708" s="4">
        <f>IF(T717&gt;50,50,T717)</f>
        <v>50</v>
      </c>
    </row>
    <row r="709" spans="1:43">
      <c r="A709" s="609"/>
      <c r="B709" s="610"/>
      <c r="C709" s="615"/>
      <c r="D709" s="304" t="s">
        <v>2172</v>
      </c>
      <c r="E709" s="1385" t="s">
        <v>2173</v>
      </c>
      <c r="F709" s="973"/>
      <c r="G709" s="973"/>
      <c r="H709" s="973"/>
      <c r="I709" s="973"/>
      <c r="J709" s="973"/>
      <c r="K709" s="973"/>
      <c r="L709" s="973"/>
      <c r="M709" s="973"/>
      <c r="N709" s="973"/>
      <c r="O709" s="973"/>
      <c r="P709" s="973"/>
      <c r="Q709" s="973"/>
      <c r="R709" s="973"/>
      <c r="S709" s="974"/>
      <c r="T709" s="1384">
        <f>AJ31</f>
        <v>7</v>
      </c>
      <c r="U709" s="973"/>
      <c r="V709" s="973"/>
      <c r="W709" s="973"/>
      <c r="X709" s="973"/>
      <c r="Y709" s="974"/>
      <c r="Z709" s="1065">
        <v>7</v>
      </c>
      <c r="AA709" s="973"/>
      <c r="AB709" s="973"/>
      <c r="AC709" s="973"/>
      <c r="AD709" s="973"/>
      <c r="AE709" s="974"/>
      <c r="AF709" s="1394"/>
      <c r="AG709" s="973"/>
      <c r="AH709" s="973"/>
      <c r="AI709" s="973"/>
      <c r="AJ709" s="973"/>
      <c r="AK709" s="974"/>
      <c r="AL709" s="772"/>
      <c r="AM709" s="20"/>
    </row>
    <row r="710" spans="1:43">
      <c r="A710" s="611"/>
      <c r="B710" s="610"/>
      <c r="C710" s="610"/>
      <c r="D710" s="304" t="s">
        <v>2174</v>
      </c>
      <c r="E710" s="1385" t="s">
        <v>2175</v>
      </c>
      <c r="F710" s="973"/>
      <c r="G710" s="973"/>
      <c r="H710" s="973"/>
      <c r="I710" s="973"/>
      <c r="J710" s="973"/>
      <c r="K710" s="973"/>
      <c r="L710" s="973"/>
      <c r="M710" s="973"/>
      <c r="N710" s="973"/>
      <c r="O710" s="973"/>
      <c r="P710" s="973"/>
      <c r="Q710" s="973"/>
      <c r="R710" s="973"/>
      <c r="S710" s="974"/>
      <c r="T710" s="1384">
        <f>AJ47</f>
        <v>3</v>
      </c>
      <c r="U710" s="973"/>
      <c r="V710" s="973"/>
      <c r="W710" s="973"/>
      <c r="X710" s="973"/>
      <c r="Y710" s="974"/>
      <c r="Z710" s="1065">
        <v>3</v>
      </c>
      <c r="AA710" s="973"/>
      <c r="AB710" s="973"/>
      <c r="AC710" s="973"/>
      <c r="AD710" s="973"/>
      <c r="AE710" s="974"/>
      <c r="AF710" s="1394"/>
      <c r="AG710" s="973"/>
      <c r="AH710" s="973"/>
      <c r="AI710" s="973"/>
      <c r="AJ710" s="973"/>
      <c r="AK710" s="974"/>
      <c r="AL710" s="772"/>
      <c r="AM710" s="20"/>
    </row>
    <row r="711" spans="1:43">
      <c r="A711" s="589" t="s">
        <v>133</v>
      </c>
      <c r="B711" s="1420" t="s">
        <v>2176</v>
      </c>
      <c r="C711" s="973"/>
      <c r="D711" s="973"/>
      <c r="E711" s="973"/>
      <c r="F711" s="973"/>
      <c r="G711" s="973"/>
      <c r="H711" s="973"/>
      <c r="I711" s="973"/>
      <c r="J711" s="973"/>
      <c r="K711" s="973"/>
      <c r="L711" s="973"/>
      <c r="M711" s="973"/>
      <c r="N711" s="973"/>
      <c r="O711" s="973"/>
      <c r="P711" s="973"/>
      <c r="Q711" s="973"/>
      <c r="R711" s="973"/>
      <c r="S711" s="974"/>
      <c r="T711" s="1490">
        <f>AK68</f>
        <v>10</v>
      </c>
      <c r="U711" s="973"/>
      <c r="V711" s="973"/>
      <c r="W711" s="973"/>
      <c r="X711" s="973"/>
      <c r="Y711" s="974"/>
      <c r="Z711" s="1198">
        <v>10</v>
      </c>
      <c r="AA711" s="973"/>
      <c r="AB711" s="973"/>
      <c r="AC711" s="973"/>
      <c r="AD711" s="973"/>
      <c r="AE711" s="974"/>
      <c r="AF711" s="1198">
        <f>IF(T711&gt;Z711,Z711,T711)</f>
        <v>10</v>
      </c>
      <c r="AG711" s="973"/>
      <c r="AH711" s="973"/>
      <c r="AI711" s="973"/>
      <c r="AJ711" s="973"/>
      <c r="AK711" s="974"/>
      <c r="AL711" s="772"/>
      <c r="AM711" s="20"/>
    </row>
    <row r="712" spans="1:43">
      <c r="A712" s="589" t="s">
        <v>213</v>
      </c>
      <c r="B712" s="1420" t="s">
        <v>2177</v>
      </c>
      <c r="C712" s="973"/>
      <c r="D712" s="973"/>
      <c r="E712" s="973"/>
      <c r="F712" s="973"/>
      <c r="G712" s="973"/>
      <c r="H712" s="973"/>
      <c r="I712" s="973"/>
      <c r="J712" s="973"/>
      <c r="K712" s="973"/>
      <c r="L712" s="973"/>
      <c r="M712" s="973"/>
      <c r="N712" s="973"/>
      <c r="O712" s="973"/>
      <c r="P712" s="973"/>
      <c r="Q712" s="973"/>
      <c r="R712" s="973"/>
      <c r="S712" s="974"/>
      <c r="T712" s="1490">
        <f>AO703</f>
        <v>25</v>
      </c>
      <c r="U712" s="973"/>
      <c r="V712" s="973"/>
      <c r="W712" s="973"/>
      <c r="X712" s="973"/>
      <c r="Y712" s="974"/>
      <c r="Z712" s="1198">
        <v>25</v>
      </c>
      <c r="AA712" s="973"/>
      <c r="AB712" s="973"/>
      <c r="AC712" s="973"/>
      <c r="AD712" s="973"/>
      <c r="AE712" s="974"/>
      <c r="AF712" s="1198">
        <f>IF(T712&gt;Z712,Z712,T712)</f>
        <v>25</v>
      </c>
      <c r="AG712" s="973"/>
      <c r="AH712" s="973"/>
      <c r="AI712" s="973"/>
      <c r="AJ712" s="973"/>
      <c r="AK712" s="974"/>
      <c r="AL712" s="772"/>
      <c r="AM712" s="20"/>
    </row>
    <row r="713" spans="1:43">
      <c r="A713" s="589"/>
      <c r="B713" s="610"/>
      <c r="C713" s="610"/>
      <c r="D713" s="304" t="s">
        <v>315</v>
      </c>
      <c r="E713" s="1385" t="s">
        <v>2178</v>
      </c>
      <c r="F713" s="973"/>
      <c r="G713" s="973"/>
      <c r="H713" s="973"/>
      <c r="I713" s="973"/>
      <c r="J713" s="973"/>
      <c r="K713" s="973"/>
      <c r="L713" s="973"/>
      <c r="M713" s="973"/>
      <c r="N713" s="973"/>
      <c r="O713" s="973"/>
      <c r="P713" s="973"/>
      <c r="Q713" s="973"/>
      <c r="R713" s="973"/>
      <c r="S713" s="974"/>
      <c r="T713" s="1384">
        <f>AK293</f>
        <v>18</v>
      </c>
      <c r="U713" s="973"/>
      <c r="V713" s="973"/>
      <c r="W713" s="973"/>
      <c r="X713" s="973"/>
      <c r="Y713" s="974"/>
      <c r="Z713" s="1065">
        <v>15</v>
      </c>
      <c r="AA713" s="973"/>
      <c r="AB713" s="973"/>
      <c r="AC713" s="973"/>
      <c r="AD713" s="973"/>
      <c r="AE713" s="974"/>
      <c r="AF713" s="1394"/>
      <c r="AG713" s="973"/>
      <c r="AH713" s="973"/>
      <c r="AI713" s="973"/>
      <c r="AJ713" s="973"/>
      <c r="AK713" s="974"/>
      <c r="AL713" s="772"/>
      <c r="AM713" s="20"/>
    </row>
    <row r="714" spans="1:43">
      <c r="A714" s="612"/>
      <c r="B714" s="90"/>
      <c r="C714" s="90"/>
      <c r="D714" s="613" t="s">
        <v>329</v>
      </c>
      <c r="E714" s="1385" t="s">
        <v>2179</v>
      </c>
      <c r="F714" s="973"/>
      <c r="G714" s="973"/>
      <c r="H714" s="973"/>
      <c r="I714" s="973"/>
      <c r="J714" s="973"/>
      <c r="K714" s="973"/>
      <c r="L714" s="973"/>
      <c r="M714" s="973"/>
      <c r="N714" s="973"/>
      <c r="O714" s="973"/>
      <c r="P714" s="973"/>
      <c r="Q714" s="973"/>
      <c r="R714" s="973"/>
      <c r="S714" s="974"/>
      <c r="T714" s="1384">
        <f>AK484</f>
        <v>10</v>
      </c>
      <c r="U714" s="973"/>
      <c r="V714" s="973"/>
      <c r="W714" s="973"/>
      <c r="X714" s="973"/>
      <c r="Y714" s="974"/>
      <c r="Z714" s="1065">
        <v>10</v>
      </c>
      <c r="AA714" s="973"/>
      <c r="AB714" s="973"/>
      <c r="AC714" s="973"/>
      <c r="AD714" s="973"/>
      <c r="AE714" s="974"/>
      <c r="AF714" s="1394"/>
      <c r="AG714" s="973"/>
      <c r="AH714" s="973"/>
      <c r="AI714" s="973"/>
      <c r="AJ714" s="973"/>
      <c r="AK714" s="974"/>
      <c r="AL714" s="772"/>
      <c r="AM714" s="20"/>
    </row>
    <row r="715" spans="1:43" hidden="1">
      <c r="A715" s="589" t="s">
        <v>235</v>
      </c>
      <c r="B715" s="1420" t="s">
        <v>2180</v>
      </c>
      <c r="C715" s="973"/>
      <c r="D715" s="973"/>
      <c r="E715" s="973"/>
      <c r="F715" s="973"/>
      <c r="G715" s="973"/>
      <c r="H715" s="973"/>
      <c r="I715" s="973"/>
      <c r="J715" s="973"/>
      <c r="K715" s="973"/>
      <c r="L715" s="973"/>
      <c r="M715" s="973"/>
      <c r="N715" s="973"/>
      <c r="O715" s="973"/>
      <c r="P715" s="973"/>
      <c r="Q715" s="973"/>
      <c r="R715" s="973"/>
      <c r="S715" s="974"/>
      <c r="T715" s="1490"/>
      <c r="U715" s="973"/>
      <c r="V715" s="973"/>
      <c r="W715" s="973"/>
      <c r="X715" s="973"/>
      <c r="Y715" s="974"/>
      <c r="Z715" s="1198"/>
      <c r="AA715" s="973"/>
      <c r="AB715" s="973"/>
      <c r="AC715" s="973"/>
      <c r="AD715" s="973"/>
      <c r="AE715" s="974"/>
      <c r="AF715" s="1198"/>
      <c r="AG715" s="973"/>
      <c r="AH715" s="973"/>
      <c r="AI715" s="973"/>
      <c r="AJ715" s="973"/>
      <c r="AK715" s="974"/>
      <c r="AL715" s="772"/>
      <c r="AM715" s="20"/>
    </row>
    <row r="716" spans="1:43">
      <c r="A716" s="589" t="s">
        <v>235</v>
      </c>
      <c r="B716" s="1420" t="s">
        <v>2181</v>
      </c>
      <c r="C716" s="973"/>
      <c r="D716" s="973"/>
      <c r="E716" s="973"/>
      <c r="F716" s="973"/>
      <c r="G716" s="973"/>
      <c r="H716" s="973"/>
      <c r="I716" s="973"/>
      <c r="J716" s="973"/>
      <c r="K716" s="973"/>
      <c r="L716" s="973"/>
      <c r="M716" s="973"/>
      <c r="N716" s="973"/>
      <c r="O716" s="973"/>
      <c r="P716" s="973"/>
      <c r="Q716" s="973"/>
      <c r="R716" s="973"/>
      <c r="S716" s="974"/>
      <c r="T716" s="1491">
        <f>IF(SUM(T717:Y718)&gt;52,52,SUM(T717:Y718))</f>
        <v>52</v>
      </c>
      <c r="U716" s="973"/>
      <c r="V716" s="973"/>
      <c r="W716" s="973"/>
      <c r="X716" s="973"/>
      <c r="Y716" s="974"/>
      <c r="Z716" s="1493">
        <v>52</v>
      </c>
      <c r="AA716" s="973"/>
      <c r="AB716" s="973"/>
      <c r="AC716" s="973"/>
      <c r="AD716" s="973"/>
      <c r="AE716" s="974"/>
      <c r="AF716" s="1493">
        <f>$AO$708+$T$718</f>
        <v>52</v>
      </c>
      <c r="AG716" s="973"/>
      <c r="AH716" s="973"/>
      <c r="AI716" s="973"/>
      <c r="AJ716" s="973"/>
      <c r="AK716" s="974"/>
      <c r="AL716" s="772"/>
      <c r="AM716" s="20"/>
    </row>
    <row r="717" spans="1:43">
      <c r="A717" s="614"/>
      <c r="B717" s="616"/>
      <c r="C717" s="616"/>
      <c r="D717" s="617" t="s">
        <v>2182</v>
      </c>
      <c r="E717" s="1385" t="s">
        <v>2183</v>
      </c>
      <c r="F717" s="973"/>
      <c r="G717" s="973"/>
      <c r="H717" s="973"/>
      <c r="I717" s="973"/>
      <c r="J717" s="973"/>
      <c r="K717" s="973"/>
      <c r="L717" s="973"/>
      <c r="M717" s="973"/>
      <c r="N717" s="973"/>
      <c r="O717" s="973"/>
      <c r="P717" s="973"/>
      <c r="Q717" s="973"/>
      <c r="R717" s="973"/>
      <c r="S717" s="974"/>
      <c r="T717" s="1492">
        <f>AC602</f>
        <v>50</v>
      </c>
      <c r="U717" s="1093"/>
      <c r="V717" s="1093"/>
      <c r="W717" s="1093"/>
      <c r="X717" s="1093"/>
      <c r="Y717" s="1094"/>
      <c r="Z717" s="1492">
        <v>50</v>
      </c>
      <c r="AA717" s="1093"/>
      <c r="AB717" s="1093"/>
      <c r="AC717" s="1093"/>
      <c r="AD717" s="1093"/>
      <c r="AE717" s="1094"/>
      <c r="AF717" s="1496"/>
      <c r="AG717" s="1093"/>
      <c r="AH717" s="1093"/>
      <c r="AI717" s="1093"/>
      <c r="AJ717" s="1093"/>
      <c r="AK717" s="1094"/>
      <c r="AL717" s="772"/>
      <c r="AM717" s="4"/>
    </row>
    <row r="718" spans="1:43">
      <c r="A718" s="618"/>
      <c r="B718" s="610"/>
      <c r="C718" s="610"/>
      <c r="D718" s="304" t="s">
        <v>2184</v>
      </c>
      <c r="E718" s="1385" t="s">
        <v>2185</v>
      </c>
      <c r="F718" s="973"/>
      <c r="G718" s="973"/>
      <c r="H718" s="973"/>
      <c r="I718" s="973"/>
      <c r="J718" s="973"/>
      <c r="K718" s="973"/>
      <c r="L718" s="973"/>
      <c r="M718" s="973"/>
      <c r="N718" s="973"/>
      <c r="O718" s="973"/>
      <c r="P718" s="973"/>
      <c r="Q718" s="973"/>
      <c r="R718" s="973"/>
      <c r="S718" s="974"/>
      <c r="T718" s="1384">
        <f>IF(AJ627&gt;0,2,0)</f>
        <v>2</v>
      </c>
      <c r="U718" s="973"/>
      <c r="V718" s="973"/>
      <c r="W718" s="973"/>
      <c r="X718" s="973"/>
      <c r="Y718" s="974"/>
      <c r="Z718" s="1065">
        <v>2</v>
      </c>
      <c r="AA718" s="973"/>
      <c r="AB718" s="973"/>
      <c r="AC718" s="973"/>
      <c r="AD718" s="973"/>
      <c r="AE718" s="974"/>
      <c r="AF718" s="1394"/>
      <c r="AG718" s="973"/>
      <c r="AH718" s="973"/>
      <c r="AI718" s="973"/>
      <c r="AJ718" s="973"/>
      <c r="AK718" s="974"/>
      <c r="AL718" s="772"/>
      <c r="AM718" s="4"/>
    </row>
    <row r="719" spans="1:43">
      <c r="A719" s="614" t="s">
        <v>247</v>
      </c>
      <c r="B719" s="1420" t="s">
        <v>2186</v>
      </c>
      <c r="C719" s="973"/>
      <c r="D719" s="973"/>
      <c r="E719" s="973"/>
      <c r="F719" s="973"/>
      <c r="G719" s="973"/>
      <c r="H719" s="973"/>
      <c r="I719" s="973"/>
      <c r="J719" s="973"/>
      <c r="K719" s="973"/>
      <c r="L719" s="973"/>
      <c r="M719" s="973"/>
      <c r="N719" s="973"/>
      <c r="O719" s="973"/>
      <c r="P719" s="973"/>
      <c r="Q719" s="973"/>
      <c r="R719" s="973"/>
      <c r="S719" s="974"/>
      <c r="T719" s="1490">
        <f>AK655</f>
        <v>10</v>
      </c>
      <c r="U719" s="973"/>
      <c r="V719" s="973"/>
      <c r="W719" s="973"/>
      <c r="X719" s="973"/>
      <c r="Y719" s="974"/>
      <c r="Z719" s="1198">
        <v>10</v>
      </c>
      <c r="AA719" s="973"/>
      <c r="AB719" s="973"/>
      <c r="AC719" s="973"/>
      <c r="AD719" s="973"/>
      <c r="AE719" s="974"/>
      <c r="AF719" s="1198">
        <f>IF(T719&gt;Z719,Z719,T719)</f>
        <v>10</v>
      </c>
      <c r="AG719" s="973"/>
      <c r="AH719" s="973"/>
      <c r="AI719" s="973"/>
      <c r="AJ719" s="973"/>
      <c r="AK719" s="974"/>
      <c r="AL719" s="772"/>
      <c r="AM719" s="20"/>
    </row>
    <row r="720" spans="1:43">
      <c r="A720" s="614" t="s">
        <v>256</v>
      </c>
      <c r="B720" s="1420" t="s">
        <v>2187</v>
      </c>
      <c r="C720" s="973"/>
      <c r="D720" s="973"/>
      <c r="E720" s="973"/>
      <c r="F720" s="973"/>
      <c r="G720" s="973"/>
      <c r="H720" s="973"/>
      <c r="I720" s="973"/>
      <c r="J720" s="973"/>
      <c r="K720" s="973"/>
      <c r="L720" s="973"/>
      <c r="M720" s="973"/>
      <c r="N720" s="973"/>
      <c r="O720" s="973"/>
      <c r="P720" s="973"/>
      <c r="Q720" s="973"/>
      <c r="R720" s="973"/>
      <c r="S720" s="974"/>
      <c r="T720" s="1490">
        <f>IF(AK698&gt;2,2,AK698)</f>
        <v>2</v>
      </c>
      <c r="U720" s="973"/>
      <c r="V720" s="973"/>
      <c r="W720" s="973"/>
      <c r="X720" s="973"/>
      <c r="Y720" s="974"/>
      <c r="Z720" s="1198">
        <v>2</v>
      </c>
      <c r="AA720" s="973"/>
      <c r="AB720" s="973"/>
      <c r="AC720" s="973"/>
      <c r="AD720" s="973"/>
      <c r="AE720" s="974"/>
      <c r="AF720" s="1198">
        <f>IF(T720&gt;Z720,Z720,T720)</f>
        <v>2</v>
      </c>
      <c r="AG720" s="973"/>
      <c r="AH720" s="973"/>
      <c r="AI720" s="973"/>
      <c r="AJ720" s="973"/>
      <c r="AK720" s="974"/>
      <c r="AL720" s="3"/>
      <c r="AM720" s="20"/>
    </row>
    <row r="721" spans="1:39">
      <c r="A721" s="1450" t="s">
        <v>2188</v>
      </c>
      <c r="B721" s="973"/>
      <c r="C721" s="973"/>
      <c r="D721" s="973"/>
      <c r="E721" s="973"/>
      <c r="F721" s="973"/>
      <c r="G721" s="973"/>
      <c r="H721" s="973"/>
      <c r="I721" s="973"/>
      <c r="J721" s="973"/>
      <c r="K721" s="973"/>
      <c r="L721" s="973"/>
      <c r="M721" s="973"/>
      <c r="N721" s="973"/>
      <c r="O721" s="973"/>
      <c r="P721" s="973"/>
      <c r="Q721" s="973"/>
      <c r="R721" s="973"/>
      <c r="S721" s="974"/>
      <c r="T721" s="1139"/>
      <c r="U721" s="1063"/>
      <c r="V721" s="1063"/>
      <c r="W721" s="1063"/>
      <c r="X721" s="1063"/>
      <c r="Y721" s="1064"/>
      <c r="Z721" s="1065" t="s">
        <v>2189</v>
      </c>
      <c r="AA721" s="973"/>
      <c r="AB721" s="973"/>
      <c r="AC721" s="973"/>
      <c r="AD721" s="973"/>
      <c r="AE721" s="974"/>
      <c r="AF721" s="1198">
        <f>IF(T721&gt;0,T721,0)</f>
        <v>0</v>
      </c>
      <c r="AG721" s="973"/>
      <c r="AH721" s="973"/>
      <c r="AI721" s="973"/>
      <c r="AJ721" s="973"/>
      <c r="AK721" s="974"/>
      <c r="AL721" s="18"/>
      <c r="AM721" s="20"/>
    </row>
    <row r="722" spans="1:39" ht="15.75" customHeight="1">
      <c r="A722" s="1514" t="s">
        <v>2190</v>
      </c>
      <c r="B722" s="1073"/>
      <c r="C722" s="1073"/>
      <c r="D722" s="1073"/>
      <c r="E722" s="1073"/>
      <c r="F722" s="1073"/>
      <c r="G722" s="1073"/>
      <c r="H722" s="1073"/>
      <c r="I722" s="1073"/>
      <c r="J722" s="1073"/>
      <c r="K722" s="1073"/>
      <c r="L722" s="1073"/>
      <c r="M722" s="1073"/>
      <c r="N722" s="1073"/>
      <c r="O722" s="1073"/>
      <c r="P722" s="1073"/>
      <c r="Q722" s="1073"/>
      <c r="R722" s="1073"/>
      <c r="S722" s="1073"/>
      <c r="T722" s="1073"/>
      <c r="U722" s="1073"/>
      <c r="V722" s="1073"/>
      <c r="W722" s="1073"/>
      <c r="X722" s="1073"/>
      <c r="Y722" s="1073"/>
      <c r="Z722" s="1073"/>
      <c r="AA722" s="1073"/>
      <c r="AB722" s="1073"/>
      <c r="AC722" s="1073"/>
      <c r="AD722" s="1073"/>
      <c r="AE722" s="1074"/>
      <c r="AF722" s="1512">
        <f>SUM(AF708:AK720)-AF721</f>
        <v>109</v>
      </c>
      <c r="AG722" s="1073"/>
      <c r="AH722" s="1073"/>
      <c r="AI722" s="1073"/>
      <c r="AJ722" s="1073"/>
      <c r="AK722" s="1074"/>
      <c r="AL722" s="773"/>
      <c r="AM722" s="4"/>
    </row>
    <row r="723" spans="1:39" ht="12.4" customHeight="1">
      <c r="A723" s="1092"/>
      <c r="B723" s="1093"/>
      <c r="C723" s="1093"/>
      <c r="D723" s="1093"/>
      <c r="E723" s="1093"/>
      <c r="F723" s="1093"/>
      <c r="G723" s="1093"/>
      <c r="H723" s="1093"/>
      <c r="I723" s="1093"/>
      <c r="J723" s="1093"/>
      <c r="K723" s="1093"/>
      <c r="L723" s="1093"/>
      <c r="M723" s="1093"/>
      <c r="N723" s="1093"/>
      <c r="O723" s="1093"/>
      <c r="P723" s="1093"/>
      <c r="Q723" s="1093"/>
      <c r="R723" s="1093"/>
      <c r="S723" s="1093"/>
      <c r="T723" s="1093"/>
      <c r="U723" s="1093"/>
      <c r="V723" s="1093"/>
      <c r="W723" s="1093"/>
      <c r="X723" s="1093"/>
      <c r="Y723" s="1093"/>
      <c r="Z723" s="1093"/>
      <c r="AA723" s="1093"/>
      <c r="AB723" s="1093"/>
      <c r="AC723" s="1093"/>
      <c r="AD723" s="1093"/>
      <c r="AE723" s="1094"/>
      <c r="AF723" s="1092"/>
      <c r="AG723" s="1093"/>
      <c r="AH723" s="1093"/>
      <c r="AI723" s="1093"/>
      <c r="AJ723" s="1093"/>
      <c r="AK723" s="1094"/>
      <c r="AL723" s="773"/>
      <c r="AM723" s="4"/>
    </row>
    <row r="724" spans="1:39" ht="56.25" customHeight="1">
      <c r="A724" s="1380" t="s">
        <v>2191</v>
      </c>
      <c r="B724" s="1184"/>
      <c r="C724" s="1184"/>
      <c r="D724" s="1184"/>
      <c r="E724" s="1184"/>
      <c r="F724" s="1184"/>
      <c r="G724" s="1184"/>
      <c r="H724" s="1184"/>
      <c r="I724" s="1184"/>
      <c r="J724" s="1184"/>
      <c r="K724" s="1184"/>
      <c r="L724" s="1184"/>
      <c r="M724" s="1184"/>
      <c r="N724" s="1184"/>
      <c r="O724" s="1184"/>
      <c r="P724" s="1184"/>
      <c r="Q724" s="1184"/>
      <c r="R724" s="1184"/>
      <c r="S724" s="1184"/>
      <c r="T724" s="1184"/>
      <c r="U724" s="1184"/>
      <c r="V724" s="1184"/>
      <c r="W724" s="1184"/>
      <c r="X724" s="1184"/>
      <c r="Y724" s="1184"/>
      <c r="Z724" s="1184"/>
      <c r="AA724" s="1184"/>
      <c r="AB724" s="1184"/>
      <c r="AC724" s="1184"/>
      <c r="AD724" s="1184"/>
      <c r="AE724" s="1184"/>
      <c r="AF724" s="1184"/>
      <c r="AG724" s="1184"/>
      <c r="AH724" s="1184"/>
      <c r="AI724" s="1184"/>
      <c r="AJ724" s="1184"/>
      <c r="AK724" s="1184"/>
      <c r="AL724" s="1184"/>
      <c r="AM724" s="977"/>
    </row>
    <row r="725" spans="1:39" ht="12.4" customHeight="1">
      <c r="A725" s="1184"/>
      <c r="B725" s="1184"/>
      <c r="C725" s="1184"/>
      <c r="D725" s="1184"/>
      <c r="E725" s="1184"/>
      <c r="F725" s="1184"/>
      <c r="G725" s="1184"/>
      <c r="H725" s="1184"/>
      <c r="I725" s="1184"/>
      <c r="J725" s="1184"/>
      <c r="K725" s="1184"/>
      <c r="L725" s="1184"/>
      <c r="M725" s="1184"/>
      <c r="N725" s="1184"/>
      <c r="O725" s="1184"/>
      <c r="P725" s="1184"/>
      <c r="Q725" s="1184"/>
      <c r="R725" s="1184"/>
      <c r="S725" s="1184"/>
      <c r="T725" s="1184"/>
      <c r="U725" s="1184"/>
      <c r="V725" s="1184"/>
      <c r="W725" s="1184"/>
      <c r="X725" s="1184"/>
      <c r="Y725" s="1184"/>
      <c r="Z725" s="1184"/>
      <c r="AA725" s="1184"/>
      <c r="AB725" s="1184"/>
      <c r="AC725" s="1184"/>
      <c r="AD725" s="1184"/>
      <c r="AE725" s="1184"/>
      <c r="AF725" s="1184"/>
      <c r="AG725" s="1184"/>
      <c r="AH725" s="1184"/>
      <c r="AI725" s="1184"/>
      <c r="AJ725" s="1184"/>
      <c r="AK725" s="1184"/>
      <c r="AL725" s="1184"/>
      <c r="AM725" s="977"/>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3"/>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3"/>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3"/>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3"/>
    </row>
  </sheetData>
  <sheetProtection algorithmName="SHA-512" hashValue="vgX/e9w6J9BWYt71vw3/d+JpCGPYkzFSq4F/ezq4a0FrZqCbqxvSjpe3vqoRNetHTW1Du4XeOVLt/8WdGdgikw==" saltValue="NyyQKuH+6eiQzI+GIBCdrQ==" spinCount="100000" sheet="1" objects="1" scenarios="1"/>
  <mergeCells count="935">
    <mergeCell ref="B720:S720"/>
    <mergeCell ref="AC583:AD583"/>
    <mergeCell ref="Q597:V597"/>
    <mergeCell ref="T720:Y720"/>
    <mergeCell ref="Z709:AE709"/>
    <mergeCell ref="T712:Y712"/>
    <mergeCell ref="O621:S621"/>
    <mergeCell ref="AA583:AB583"/>
    <mergeCell ref="Y577:Z577"/>
    <mergeCell ref="AA577:AB577"/>
    <mergeCell ref="E714:S714"/>
    <mergeCell ref="C637:D637"/>
    <mergeCell ref="Z714:AE714"/>
    <mergeCell ref="B716:S716"/>
    <mergeCell ref="T717:Y717"/>
    <mergeCell ref="B715:S715"/>
    <mergeCell ref="BH598:BI598"/>
    <mergeCell ref="AX595:AY595"/>
    <mergeCell ref="AX598:AY598"/>
    <mergeCell ref="AZ592:BA592"/>
    <mergeCell ref="BN596:BO596"/>
    <mergeCell ref="T718:Y718"/>
    <mergeCell ref="T721:Y721"/>
    <mergeCell ref="AF713:AK713"/>
    <mergeCell ref="AF715:AK715"/>
    <mergeCell ref="Z706:AE707"/>
    <mergeCell ref="AF714:AK714"/>
    <mergeCell ref="T719:Y719"/>
    <mergeCell ref="BN599:BQ599"/>
    <mergeCell ref="BF594:BG594"/>
    <mergeCell ref="BE585:BI585"/>
    <mergeCell ref="BF599:BI599"/>
    <mergeCell ref="BF598:BG598"/>
    <mergeCell ref="BP595:BQ595"/>
    <mergeCell ref="BJ594:BK594"/>
    <mergeCell ref="BL594:BM594"/>
    <mergeCell ref="BB599:BE599"/>
    <mergeCell ref="BL598:BM598"/>
    <mergeCell ref="BJ597:BK597"/>
    <mergeCell ref="BL592:BM592"/>
    <mergeCell ref="BJ599:BM599"/>
    <mergeCell ref="BL595:BM595"/>
    <mergeCell ref="BD598:BE598"/>
    <mergeCell ref="BB594:BC594"/>
    <mergeCell ref="BF595:BG595"/>
    <mergeCell ref="BN598:BO598"/>
    <mergeCell ref="BP598:BQ598"/>
    <mergeCell ref="BB598:BC598"/>
    <mergeCell ref="BJ596:BK596"/>
    <mergeCell ref="BH595:BI595"/>
    <mergeCell ref="BN593:BO593"/>
    <mergeCell ref="BF593:BG593"/>
    <mergeCell ref="AP597:AT597"/>
    <mergeCell ref="AP544:AT544"/>
    <mergeCell ref="BT581:BX581"/>
    <mergeCell ref="BO585:BS585"/>
    <mergeCell ref="BM538:BN538"/>
    <mergeCell ref="BT583:BX583"/>
    <mergeCell ref="BO587:BS587"/>
    <mergeCell ref="BM540:BN540"/>
    <mergeCell ref="BH593:BI593"/>
    <mergeCell ref="BJ585:BN585"/>
    <mergeCell ref="BF592:BG592"/>
    <mergeCell ref="BT584:BX584"/>
    <mergeCell ref="BN597:BO597"/>
    <mergeCell ref="BT585:BX585"/>
    <mergeCell ref="BP593:BQ593"/>
    <mergeCell ref="BN595:BO595"/>
    <mergeCell ref="AU584:AY584"/>
    <mergeCell ref="BL593:BM593"/>
    <mergeCell ref="AX597:AY597"/>
    <mergeCell ref="AX592:AY592"/>
    <mergeCell ref="BO584:BS584"/>
    <mergeCell ref="BT580:BX580"/>
    <mergeCell ref="BN592:BO592"/>
    <mergeCell ref="AF706:AK707"/>
    <mergeCell ref="A705:AM705"/>
    <mergeCell ref="H309:R309"/>
    <mergeCell ref="AK629:AM629"/>
    <mergeCell ref="H339:R339"/>
    <mergeCell ref="H311:R311"/>
    <mergeCell ref="Y576:Z576"/>
    <mergeCell ref="AF421:AL421"/>
    <mergeCell ref="AA340:AK340"/>
    <mergeCell ref="E593:J593"/>
    <mergeCell ref="P319:R319"/>
    <mergeCell ref="W582:X582"/>
    <mergeCell ref="C493:D493"/>
    <mergeCell ref="C454:D454"/>
    <mergeCell ref="V513:X513"/>
    <mergeCell ref="AA319:AF319"/>
    <mergeCell ref="G528:AF528"/>
    <mergeCell ref="Q593:V593"/>
    <mergeCell ref="AC597:AH597"/>
    <mergeCell ref="AC595:AH595"/>
    <mergeCell ref="U574:V574"/>
    <mergeCell ref="AC571:AD571"/>
    <mergeCell ref="AC593:AH593"/>
    <mergeCell ref="AC594:AH594"/>
    <mergeCell ref="AF176:AL176"/>
    <mergeCell ref="H182:I182"/>
    <mergeCell ref="AF160:AL160"/>
    <mergeCell ref="AA329:AK329"/>
    <mergeCell ref="AA304:AK304"/>
    <mergeCell ref="F495:Z495"/>
    <mergeCell ref="H317:R317"/>
    <mergeCell ref="AA335:AK335"/>
    <mergeCell ref="AA317:AK317"/>
    <mergeCell ref="E222:AB223"/>
    <mergeCell ref="H321:R321"/>
    <mergeCell ref="AF234:AL234"/>
    <mergeCell ref="AA298:AK298"/>
    <mergeCell ref="F465:AE467"/>
    <mergeCell ref="AA338:AK338"/>
    <mergeCell ref="H330:R330"/>
    <mergeCell ref="E238:AA240"/>
    <mergeCell ref="AF260:AL260"/>
    <mergeCell ref="AA328:AF328"/>
    <mergeCell ref="AA312:AK312"/>
    <mergeCell ref="H289:I289"/>
    <mergeCell ref="AA301:AF301"/>
    <mergeCell ref="AA316:AK316"/>
    <mergeCell ref="BJ593:BK593"/>
    <mergeCell ref="AJ281:AK281"/>
    <mergeCell ref="H304:R304"/>
    <mergeCell ref="BE557:BH557"/>
    <mergeCell ref="AJ256:AK256"/>
    <mergeCell ref="AP218:AQ218"/>
    <mergeCell ref="W599:AB599"/>
    <mergeCell ref="BJ537:BK537"/>
    <mergeCell ref="F516:AE517"/>
    <mergeCell ref="AZ598:BA598"/>
    <mergeCell ref="C369:AJ375"/>
    <mergeCell ref="H298:R298"/>
    <mergeCell ref="U579:V579"/>
    <mergeCell ref="AC576:AD576"/>
    <mergeCell ref="AE576:AF576"/>
    <mergeCell ref="AC596:AH596"/>
    <mergeCell ref="AC570:AD570"/>
    <mergeCell ref="H322:R322"/>
    <mergeCell ref="W574:X574"/>
    <mergeCell ref="Y574:Z574"/>
    <mergeCell ref="E595:J595"/>
    <mergeCell ref="C497:D497"/>
    <mergeCell ref="C435:D435"/>
    <mergeCell ref="C465:D465"/>
    <mergeCell ref="AF722:AK723"/>
    <mergeCell ref="Q569:R569"/>
    <mergeCell ref="AE584:AF584"/>
    <mergeCell ref="AP596:AT596"/>
    <mergeCell ref="V500:X500"/>
    <mergeCell ref="BB596:BC596"/>
    <mergeCell ref="BJ598:BK598"/>
    <mergeCell ref="BD597:BE597"/>
    <mergeCell ref="AU582:AY582"/>
    <mergeCell ref="AZ595:BA595"/>
    <mergeCell ref="Q599:V599"/>
    <mergeCell ref="Y619:AC619"/>
    <mergeCell ref="T619:X619"/>
    <mergeCell ref="O618:S618"/>
    <mergeCell ref="T614:X617"/>
    <mergeCell ref="O614:S617"/>
    <mergeCell ref="O620:S620"/>
    <mergeCell ref="T710:Y710"/>
    <mergeCell ref="A722:AE723"/>
    <mergeCell ref="AE570:AF570"/>
    <mergeCell ref="K596:P596"/>
    <mergeCell ref="S583:T583"/>
    <mergeCell ref="AP595:AT595"/>
    <mergeCell ref="AE582:AF582"/>
    <mergeCell ref="AC601:AH601"/>
    <mergeCell ref="AF712:AK712"/>
    <mergeCell ref="T706:Y707"/>
    <mergeCell ref="AF710:AK710"/>
    <mergeCell ref="O623:S623"/>
    <mergeCell ref="AC584:AD584"/>
    <mergeCell ref="W596:AB596"/>
    <mergeCell ref="K595:P595"/>
    <mergeCell ref="AK655:AM655"/>
    <mergeCell ref="Y623:AC623"/>
    <mergeCell ref="AG637:AJ637"/>
    <mergeCell ref="B641:AH653"/>
    <mergeCell ref="AJ627:AK627"/>
    <mergeCell ref="T708:Y708"/>
    <mergeCell ref="E599:J599"/>
    <mergeCell ref="E600:J600"/>
    <mergeCell ref="J618:N618"/>
    <mergeCell ref="E594:J594"/>
    <mergeCell ref="E592:J592"/>
    <mergeCell ref="AC592:AH592"/>
    <mergeCell ref="W595:AB595"/>
    <mergeCell ref="W600:AB600"/>
    <mergeCell ref="Q601:V601"/>
    <mergeCell ref="Y614:AC617"/>
    <mergeCell ref="AF721:AK721"/>
    <mergeCell ref="CI587:CM587"/>
    <mergeCell ref="C665:D665"/>
    <mergeCell ref="E601:J601"/>
    <mergeCell ref="W593:AB593"/>
    <mergeCell ref="AU547:AY547"/>
    <mergeCell ref="AJ206:AK206"/>
    <mergeCell ref="AE574:AF574"/>
    <mergeCell ref="BP596:BQ596"/>
    <mergeCell ref="CI580:CM580"/>
    <mergeCell ref="CH551:CK555"/>
    <mergeCell ref="CI585:CM585"/>
    <mergeCell ref="BK575:BO575"/>
    <mergeCell ref="BY582:CC582"/>
    <mergeCell ref="Q580:R580"/>
    <mergeCell ref="H269:I269"/>
    <mergeCell ref="CC560:CF560"/>
    <mergeCell ref="BO541:BP541"/>
    <mergeCell ref="BI554:BL554"/>
    <mergeCell ref="H333:R333"/>
    <mergeCell ref="Q581:R581"/>
    <mergeCell ref="CI584:CM584"/>
    <mergeCell ref="AC591:AH591"/>
    <mergeCell ref="V502:X502"/>
    <mergeCell ref="AU587:AY587"/>
    <mergeCell ref="Q582:R582"/>
    <mergeCell ref="AW572:AY572"/>
    <mergeCell ref="AF478:AL478"/>
    <mergeCell ref="AZ586:BD586"/>
    <mergeCell ref="AC581:AD581"/>
    <mergeCell ref="BT582:BX582"/>
    <mergeCell ref="F385:AF388"/>
    <mergeCell ref="H335:R335"/>
    <mergeCell ref="Y571:Z571"/>
    <mergeCell ref="C360:AJ368"/>
    <mergeCell ref="F445:AE453"/>
    <mergeCell ref="BU560:BX560"/>
    <mergeCell ref="BU554:BX554"/>
    <mergeCell ref="C520:D520"/>
    <mergeCell ref="AQ378:AR378"/>
    <mergeCell ref="O579:P579"/>
    <mergeCell ref="E587:J590"/>
    <mergeCell ref="BW538:BX538"/>
    <mergeCell ref="AP585:AT585"/>
    <mergeCell ref="BD535:BE535"/>
    <mergeCell ref="C516:D516"/>
    <mergeCell ref="AE573:AF573"/>
    <mergeCell ref="O580:P580"/>
    <mergeCell ref="AU585:AY585"/>
    <mergeCell ref="AZ581:BD581"/>
    <mergeCell ref="BU556:BX556"/>
    <mergeCell ref="AX591:BQ591"/>
    <mergeCell ref="BE556:BH556"/>
    <mergeCell ref="AY551:AZ551"/>
    <mergeCell ref="AZ594:BA594"/>
    <mergeCell ref="BT586:BX586"/>
    <mergeCell ref="AC582:AD582"/>
    <mergeCell ref="Q594:V594"/>
    <mergeCell ref="AA579:AB579"/>
    <mergeCell ref="AA573:AB573"/>
    <mergeCell ref="Q577:R577"/>
    <mergeCell ref="AZ584:BD584"/>
    <mergeCell ref="S578:T578"/>
    <mergeCell ref="BM555:BP555"/>
    <mergeCell ref="S581:T581"/>
    <mergeCell ref="AP578:BJ579"/>
    <mergeCell ref="Q583:R583"/>
    <mergeCell ref="AC587:AH590"/>
    <mergeCell ref="O582:P582"/>
    <mergeCell ref="AZ583:BD583"/>
    <mergeCell ref="A1:AM2"/>
    <mergeCell ref="Y582:Z582"/>
    <mergeCell ref="W598:AB598"/>
    <mergeCell ref="CA539:CB539"/>
    <mergeCell ref="CC539:CD539"/>
    <mergeCell ref="CH558:CK558"/>
    <mergeCell ref="AE553:AK553"/>
    <mergeCell ref="AE487:AK487"/>
    <mergeCell ref="AP547:AT547"/>
    <mergeCell ref="AK293:AM293"/>
    <mergeCell ref="H336:R336"/>
    <mergeCell ref="Y581:Z581"/>
    <mergeCell ref="AA581:AB581"/>
    <mergeCell ref="AA575:AB575"/>
    <mergeCell ref="AC575:AD575"/>
    <mergeCell ref="Q596:V596"/>
    <mergeCell ref="E264:AD267"/>
    <mergeCell ref="BH594:BI594"/>
    <mergeCell ref="CI581:CM581"/>
    <mergeCell ref="B43:AC43"/>
    <mergeCell ref="AB13:AC13"/>
    <mergeCell ref="AF172:AL172"/>
    <mergeCell ref="Y580:Z580"/>
    <mergeCell ref="AE581:AF581"/>
    <mergeCell ref="AF716:AK716"/>
    <mergeCell ref="Y621:AC621"/>
    <mergeCell ref="AG606:AJ606"/>
    <mergeCell ref="J614:N617"/>
    <mergeCell ref="AC602:AH602"/>
    <mergeCell ref="T618:X618"/>
    <mergeCell ref="AF717:AK717"/>
    <mergeCell ref="J623:N623"/>
    <mergeCell ref="A701:AM702"/>
    <mergeCell ref="C669:D669"/>
    <mergeCell ref="Z716:AE716"/>
    <mergeCell ref="C680:D680"/>
    <mergeCell ref="J621:N621"/>
    <mergeCell ref="T620:X620"/>
    <mergeCell ref="T623:X623"/>
    <mergeCell ref="O622:S622"/>
    <mergeCell ref="B607:AH612"/>
    <mergeCell ref="E709:S709"/>
    <mergeCell ref="J622:N622"/>
    <mergeCell ref="F637:AE639"/>
    <mergeCell ref="O624:S624"/>
    <mergeCell ref="AF708:AK708"/>
    <mergeCell ref="A627:AI627"/>
    <mergeCell ref="Y624:AC624"/>
    <mergeCell ref="T622:X622"/>
    <mergeCell ref="Z719:AE719"/>
    <mergeCell ref="F683:AD687"/>
    <mergeCell ref="Z710:AE710"/>
    <mergeCell ref="T713:Y713"/>
    <mergeCell ref="E717:S717"/>
    <mergeCell ref="C683:D683"/>
    <mergeCell ref="J624:N624"/>
    <mergeCell ref="Z712:AE712"/>
    <mergeCell ref="T715:Y715"/>
    <mergeCell ref="T714:Y714"/>
    <mergeCell ref="T716:Y716"/>
    <mergeCell ref="Z713:AE713"/>
    <mergeCell ref="B719:S719"/>
    <mergeCell ref="B712:S712"/>
    <mergeCell ref="C675:D675"/>
    <mergeCell ref="E718:S718"/>
    <mergeCell ref="T711:Y711"/>
    <mergeCell ref="E710:S710"/>
    <mergeCell ref="Z717:AE717"/>
    <mergeCell ref="AP591:AT591"/>
    <mergeCell ref="AP586:AT586"/>
    <mergeCell ref="BJ595:BK595"/>
    <mergeCell ref="BP597:BQ597"/>
    <mergeCell ref="BP592:BQ592"/>
    <mergeCell ref="BO586:BS586"/>
    <mergeCell ref="BH592:BI592"/>
    <mergeCell ref="BY580:CC580"/>
    <mergeCell ref="BM557:BP557"/>
    <mergeCell ref="BI559:BL559"/>
    <mergeCell ref="BF597:BG597"/>
    <mergeCell ref="AZ593:BA593"/>
    <mergeCell ref="BB593:BC593"/>
    <mergeCell ref="BJ592:BK592"/>
    <mergeCell ref="BD596:BE596"/>
    <mergeCell ref="AZ596:BA596"/>
    <mergeCell ref="BB595:BC595"/>
    <mergeCell ref="BF596:BG596"/>
    <mergeCell ref="BD594:BE594"/>
    <mergeCell ref="BD593:BE593"/>
    <mergeCell ref="BD595:BE595"/>
    <mergeCell ref="BD592:BE592"/>
    <mergeCell ref="AP592:AT592"/>
    <mergeCell ref="AX594:AY594"/>
    <mergeCell ref="CI586:CM586"/>
    <mergeCell ref="Q579:R579"/>
    <mergeCell ref="S579:T579"/>
    <mergeCell ref="CN587:CR587"/>
    <mergeCell ref="S584:T584"/>
    <mergeCell ref="U584:V584"/>
    <mergeCell ref="CD585:CH585"/>
    <mergeCell ref="AA576:AB576"/>
    <mergeCell ref="CD583:CH583"/>
    <mergeCell ref="CI582:CM582"/>
    <mergeCell ref="AP583:AT583"/>
    <mergeCell ref="BE582:BI582"/>
    <mergeCell ref="BJ587:BN587"/>
    <mergeCell ref="CD580:CH580"/>
    <mergeCell ref="CD587:CH587"/>
    <mergeCell ref="BJ584:BN584"/>
    <mergeCell ref="BE586:BI586"/>
    <mergeCell ref="BE584:BI584"/>
    <mergeCell ref="BE587:BI587"/>
    <mergeCell ref="AU586:AY586"/>
    <mergeCell ref="Q587:V590"/>
    <mergeCell ref="AC579:AD579"/>
    <mergeCell ref="AE579:AF579"/>
    <mergeCell ref="BY587:CC587"/>
    <mergeCell ref="CH557:CK557"/>
    <mergeCell ref="S575:T575"/>
    <mergeCell ref="U575:V575"/>
    <mergeCell ref="BY585:CC585"/>
    <mergeCell ref="CD581:CH581"/>
    <mergeCell ref="CI583:CM583"/>
    <mergeCell ref="CD586:CH586"/>
    <mergeCell ref="C530:D530"/>
    <mergeCell ref="AF179:AL179"/>
    <mergeCell ref="H328:M328"/>
    <mergeCell ref="H312:R312"/>
    <mergeCell ref="H319:M319"/>
    <mergeCell ref="C478:D478"/>
    <mergeCell ref="CH556:CK556"/>
    <mergeCell ref="BQ556:BT556"/>
    <mergeCell ref="BM558:BP558"/>
    <mergeCell ref="CD584:CH584"/>
    <mergeCell ref="BI560:BL560"/>
    <mergeCell ref="AC578:AD578"/>
    <mergeCell ref="W576:X576"/>
    <mergeCell ref="AC573:AD573"/>
    <mergeCell ref="U581:V581"/>
    <mergeCell ref="W581:X581"/>
    <mergeCell ref="AU543:AY543"/>
    <mergeCell ref="AF95:AL95"/>
    <mergeCell ref="C389:D389"/>
    <mergeCell ref="E176:AC177"/>
    <mergeCell ref="AF264:AL264"/>
    <mergeCell ref="AA325:AK325"/>
    <mergeCell ref="E164:AC166"/>
    <mergeCell ref="AI328:AK328"/>
    <mergeCell ref="AF401:AL401"/>
    <mergeCell ref="AA320:AK320"/>
    <mergeCell ref="AF168:AL168"/>
    <mergeCell ref="H338:R338"/>
    <mergeCell ref="H242:I242"/>
    <mergeCell ref="AF210:AL210"/>
    <mergeCell ref="P328:R328"/>
    <mergeCell ref="AJ124:AK124"/>
    <mergeCell ref="H118:AE118"/>
    <mergeCell ref="AI319:AK319"/>
    <mergeCell ref="AA322:AK322"/>
    <mergeCell ref="AF109:AL109"/>
    <mergeCell ref="R112:W112"/>
    <mergeCell ref="AJ151:AK151"/>
    <mergeCell ref="AA337:AF337"/>
    <mergeCell ref="E168:AC170"/>
    <mergeCell ref="AF213:AL213"/>
    <mergeCell ref="Z40:AA40"/>
    <mergeCell ref="AF90:AL90"/>
    <mergeCell ref="B67:S67"/>
    <mergeCell ref="B75:AK85"/>
    <mergeCell ref="C401:D401"/>
    <mergeCell ref="T67:AC67"/>
    <mergeCell ref="AF425:AL425"/>
    <mergeCell ref="H297:R297"/>
    <mergeCell ref="AF33:AL33"/>
    <mergeCell ref="U381:W381"/>
    <mergeCell ref="AF128:AL128"/>
    <mergeCell ref="AE73:AK73"/>
    <mergeCell ref="AF100:AL100"/>
    <mergeCell ref="H137:I137"/>
    <mergeCell ref="AJ47:AK47"/>
    <mergeCell ref="AJ139:AK139"/>
    <mergeCell ref="H327:R327"/>
    <mergeCell ref="AE64:AK64"/>
    <mergeCell ref="C409:D409"/>
    <mergeCell ref="F415:AF418"/>
    <mergeCell ref="H306:R306"/>
    <mergeCell ref="F394:AF398"/>
    <mergeCell ref="AF143:AL143"/>
    <mergeCell ref="H313:R313"/>
    <mergeCell ref="AJ31:AK31"/>
    <mergeCell ref="AG554:AJ554"/>
    <mergeCell ref="BQ559:BT559"/>
    <mergeCell ref="BQ546:BT546"/>
    <mergeCell ref="BU547:BX547"/>
    <mergeCell ref="BY546:CB546"/>
    <mergeCell ref="BE583:BI583"/>
    <mergeCell ref="AK550:AM550"/>
    <mergeCell ref="BO580:BS580"/>
    <mergeCell ref="BO582:BS582"/>
    <mergeCell ref="BO581:BS581"/>
    <mergeCell ref="BO583:BS583"/>
    <mergeCell ref="BQ560:BT560"/>
    <mergeCell ref="BU559:BX559"/>
    <mergeCell ref="BM547:BP547"/>
    <mergeCell ref="BJ583:BN583"/>
    <mergeCell ref="B57:AK59"/>
    <mergeCell ref="H299:R299"/>
    <mergeCell ref="F424:AE427"/>
    <mergeCell ref="Q573:R573"/>
    <mergeCell ref="B563:AF564"/>
    <mergeCell ref="B555:AG560"/>
    <mergeCell ref="AU581:AY581"/>
    <mergeCell ref="S572:T572"/>
    <mergeCell ref="U580:V580"/>
    <mergeCell ref="K597:L597"/>
    <mergeCell ref="S577:T577"/>
    <mergeCell ref="AA578:AB578"/>
    <mergeCell ref="U578:V578"/>
    <mergeCell ref="B561:AG562"/>
    <mergeCell ref="AE583:AF583"/>
    <mergeCell ref="AE577:AF577"/>
    <mergeCell ref="Q591:V591"/>
    <mergeCell ref="W597:AB597"/>
    <mergeCell ref="S576:T576"/>
    <mergeCell ref="U576:V576"/>
    <mergeCell ref="U572:V572"/>
    <mergeCell ref="W569:X569"/>
    <mergeCell ref="Y569:Z569"/>
    <mergeCell ref="I576:N584"/>
    <mergeCell ref="W592:AB592"/>
    <mergeCell ref="AA584:AB584"/>
    <mergeCell ref="K587:P590"/>
    <mergeCell ref="S580:T580"/>
    <mergeCell ref="Q567:AF568"/>
    <mergeCell ref="Q570:R570"/>
    <mergeCell ref="S570:T570"/>
    <mergeCell ref="E591:J591"/>
    <mergeCell ref="E172:AC174"/>
    <mergeCell ref="S571:T571"/>
    <mergeCell ref="AF411:AL411"/>
    <mergeCell ref="O576:P576"/>
    <mergeCell ref="AA330:AK330"/>
    <mergeCell ref="E210:AB212"/>
    <mergeCell ref="H149:I149"/>
    <mergeCell ref="AC574:AD574"/>
    <mergeCell ref="AA574:AB574"/>
    <mergeCell ref="O575:P575"/>
    <mergeCell ref="Q575:R575"/>
    <mergeCell ref="AF156:AL156"/>
    <mergeCell ref="AF164:AL164"/>
    <mergeCell ref="E196:AB199"/>
    <mergeCell ref="AF222:AL222"/>
    <mergeCell ref="C376:AJ378"/>
    <mergeCell ref="H308:R308"/>
    <mergeCell ref="E275:AD277"/>
    <mergeCell ref="AA303:AK303"/>
    <mergeCell ref="C421:D421"/>
    <mergeCell ref="C461:D461"/>
    <mergeCell ref="AA309:AK309"/>
    <mergeCell ref="AA339:AK339"/>
    <mergeCell ref="AC569:AD569"/>
    <mergeCell ref="H112:I112"/>
    <mergeCell ref="AC577:AD577"/>
    <mergeCell ref="W580:X580"/>
    <mergeCell ref="W579:X579"/>
    <mergeCell ref="E248:AB249"/>
    <mergeCell ref="H318:R318"/>
    <mergeCell ref="H254:I254"/>
    <mergeCell ref="AA310:AF310"/>
    <mergeCell ref="E596:J596"/>
    <mergeCell ref="K592:P592"/>
    <mergeCell ref="Q576:R576"/>
    <mergeCell ref="F493:AE494"/>
    <mergeCell ref="AF469:AL469"/>
    <mergeCell ref="U573:V573"/>
    <mergeCell ref="E156:AC158"/>
    <mergeCell ref="F457:AE460"/>
    <mergeCell ref="D510:E510"/>
    <mergeCell ref="C344:AJ351"/>
    <mergeCell ref="C469:D469"/>
    <mergeCell ref="E160:AC162"/>
    <mergeCell ref="AE165:AK165"/>
    <mergeCell ref="C534:D534"/>
    <mergeCell ref="C433:D433"/>
    <mergeCell ref="D116:AH117"/>
    <mergeCell ref="M598:P598"/>
    <mergeCell ref="AC598:AH598"/>
    <mergeCell ref="K599:P599"/>
    <mergeCell ref="AC600:AH600"/>
    <mergeCell ref="K600:P600"/>
    <mergeCell ref="AK484:AM484"/>
    <mergeCell ref="Q598:V598"/>
    <mergeCell ref="Q592:V592"/>
    <mergeCell ref="W594:AB594"/>
    <mergeCell ref="F518:Z518"/>
    <mergeCell ref="E585:AH586"/>
    <mergeCell ref="W587:AB590"/>
    <mergeCell ref="M597:P597"/>
    <mergeCell ref="F523:H523"/>
    <mergeCell ref="S573:T573"/>
    <mergeCell ref="O572:P572"/>
    <mergeCell ref="Q572:R572"/>
    <mergeCell ref="W572:X572"/>
    <mergeCell ref="O583:P583"/>
    <mergeCell ref="O578:P578"/>
    <mergeCell ref="Q578:R578"/>
    <mergeCell ref="AA582:AB582"/>
    <mergeCell ref="O577:P577"/>
    <mergeCell ref="W578:X578"/>
    <mergeCell ref="AS367:AT367"/>
    <mergeCell ref="E179:AC180"/>
    <mergeCell ref="H326:R326"/>
    <mergeCell ref="AS365:AT365"/>
    <mergeCell ref="AA308:AK308"/>
    <mergeCell ref="H315:R315"/>
    <mergeCell ref="AA333:AK333"/>
    <mergeCell ref="AJ271:AK271"/>
    <mergeCell ref="AF248:AL248"/>
    <mergeCell ref="AA318:AK318"/>
    <mergeCell ref="AA326:AK326"/>
    <mergeCell ref="AF275:AL275"/>
    <mergeCell ref="AF188:AL189"/>
    <mergeCell ref="H303:R303"/>
    <mergeCell ref="H301:M301"/>
    <mergeCell ref="AA297:AK297"/>
    <mergeCell ref="AA306:AK306"/>
    <mergeCell ref="AA307:AK307"/>
    <mergeCell ref="AI301:AK301"/>
    <mergeCell ref="H324:R324"/>
    <mergeCell ref="AF238:AL238"/>
    <mergeCell ref="H320:R320"/>
    <mergeCell ref="AJ291:AK291"/>
    <mergeCell ref="H337:M337"/>
    <mergeCell ref="AF6:AL6"/>
    <mergeCell ref="C411:D411"/>
    <mergeCell ref="B11:AI11"/>
    <mergeCell ref="C538:D538"/>
    <mergeCell ref="AF66:AL66"/>
    <mergeCell ref="B35:AC35"/>
    <mergeCell ref="B38:AC38"/>
    <mergeCell ref="H279:I279"/>
    <mergeCell ref="AE343:AK343"/>
    <mergeCell ref="AF389:AL389"/>
    <mergeCell ref="AF454:AL454"/>
    <mergeCell ref="AA324:AK324"/>
    <mergeCell ref="H302:R302"/>
    <mergeCell ref="AJ218:AK218"/>
    <mergeCell ref="E225:AB226"/>
    <mergeCell ref="AA311:AK311"/>
    <mergeCell ref="AF419:AL419"/>
    <mergeCell ref="E234:AB236"/>
    <mergeCell ref="H228:I228"/>
    <mergeCell ref="AA300:AK300"/>
    <mergeCell ref="AJ184:AK184"/>
    <mergeCell ref="AF105:AL105"/>
    <mergeCell ref="E120:AG123"/>
    <mergeCell ref="B16:AJ16"/>
    <mergeCell ref="AI337:AK337"/>
    <mergeCell ref="H316:R316"/>
    <mergeCell ref="AA331:AK331"/>
    <mergeCell ref="AF433:AL433"/>
    <mergeCell ref="S569:T569"/>
    <mergeCell ref="U569:V569"/>
    <mergeCell ref="AE569:AF569"/>
    <mergeCell ref="E191:AB194"/>
    <mergeCell ref="H307:R307"/>
    <mergeCell ref="H325:R325"/>
    <mergeCell ref="H340:R340"/>
    <mergeCell ref="H334:R334"/>
    <mergeCell ref="E260:AD262"/>
    <mergeCell ref="AA302:AK302"/>
    <mergeCell ref="AA327:AK327"/>
    <mergeCell ref="AF409:AL409"/>
    <mergeCell ref="AA299:AK299"/>
    <mergeCell ref="F520:AE521"/>
    <mergeCell ref="V511:X511"/>
    <mergeCell ref="AF442:AL442"/>
    <mergeCell ref="F469:AE472"/>
    <mergeCell ref="U380:W380"/>
    <mergeCell ref="BN594:BO594"/>
    <mergeCell ref="CC541:CD541"/>
    <mergeCell ref="CE541:CF541"/>
    <mergeCell ref="BL596:BM596"/>
    <mergeCell ref="G534:AF535"/>
    <mergeCell ref="BW541:BX541"/>
    <mergeCell ref="CE538:CF538"/>
    <mergeCell ref="Y622:AC622"/>
    <mergeCell ref="Z715:AE715"/>
    <mergeCell ref="BU543:BX543"/>
    <mergeCell ref="BM543:BP543"/>
    <mergeCell ref="BY586:CC586"/>
    <mergeCell ref="BL597:BM597"/>
    <mergeCell ref="AE580:AF580"/>
    <mergeCell ref="BU545:BX545"/>
    <mergeCell ref="BM545:BP545"/>
    <mergeCell ref="Y583:Z583"/>
    <mergeCell ref="BE559:BH559"/>
    <mergeCell ref="U571:V571"/>
    <mergeCell ref="K598:L598"/>
    <mergeCell ref="BU544:BX544"/>
    <mergeCell ref="BY542:CB542"/>
    <mergeCell ref="BY544:CB544"/>
    <mergeCell ref="AC572:AD572"/>
    <mergeCell ref="BY558:CB558"/>
    <mergeCell ref="BU558:BX558"/>
    <mergeCell ref="AU545:AY545"/>
    <mergeCell ref="A721:S721"/>
    <mergeCell ref="E188:AB189"/>
    <mergeCell ref="AA313:AK313"/>
    <mergeCell ref="CC540:CD540"/>
    <mergeCell ref="C357:AJ359"/>
    <mergeCell ref="AP594:AT594"/>
    <mergeCell ref="BY560:CB560"/>
    <mergeCell ref="BJ600:BM600"/>
    <mergeCell ref="Z718:AE718"/>
    <mergeCell ref="AF225:AL225"/>
    <mergeCell ref="BE554:BH554"/>
    <mergeCell ref="AA315:AK315"/>
    <mergeCell ref="O581:P581"/>
    <mergeCell ref="C424:D424"/>
    <mergeCell ref="AF461:AL461"/>
    <mergeCell ref="BJ538:BK538"/>
    <mergeCell ref="AE575:AF575"/>
    <mergeCell ref="AP593:AT593"/>
    <mergeCell ref="AF251:AL251"/>
    <mergeCell ref="Y578:Z578"/>
    <mergeCell ref="AU583:AY583"/>
    <mergeCell ref="CC538:CD538"/>
    <mergeCell ref="CC545:CF545"/>
    <mergeCell ref="BY555:CB555"/>
    <mergeCell ref="BY557:CB557"/>
    <mergeCell ref="BW539:BX539"/>
    <mergeCell ref="BY539:BZ539"/>
    <mergeCell ref="BU540:BV540"/>
    <mergeCell ref="BU538:BV538"/>
    <mergeCell ref="CC544:CF544"/>
    <mergeCell ref="BY543:CB543"/>
    <mergeCell ref="BU541:BV541"/>
    <mergeCell ref="BU555:BX555"/>
    <mergeCell ref="BU539:BV539"/>
    <mergeCell ref="BY545:CB545"/>
    <mergeCell ref="BY540:BZ540"/>
    <mergeCell ref="BU546:BX546"/>
    <mergeCell ref="BW540:BX540"/>
    <mergeCell ref="BU542:BX542"/>
    <mergeCell ref="CC547:CF547"/>
    <mergeCell ref="CC546:CF546"/>
    <mergeCell ref="BY538:BZ538"/>
    <mergeCell ref="BQ541:BR541"/>
    <mergeCell ref="BQ555:BT555"/>
    <mergeCell ref="BS539:BT539"/>
    <mergeCell ref="BQ557:BT557"/>
    <mergeCell ref="CA540:CB540"/>
    <mergeCell ref="BY554:CB554"/>
    <mergeCell ref="BY541:BZ541"/>
    <mergeCell ref="CA541:CB541"/>
    <mergeCell ref="BS538:BT538"/>
    <mergeCell ref="BY584:CC584"/>
    <mergeCell ref="F539:AF540"/>
    <mergeCell ref="O619:S619"/>
    <mergeCell ref="AF709:AK709"/>
    <mergeCell ref="AZ587:BD587"/>
    <mergeCell ref="K593:P593"/>
    <mergeCell ref="AF711:AK711"/>
    <mergeCell ref="BP594:BQ594"/>
    <mergeCell ref="BY583:CC583"/>
    <mergeCell ref="BT587:BX587"/>
    <mergeCell ref="W601:AB601"/>
    <mergeCell ref="AK698:AM698"/>
    <mergeCell ref="BM544:BP544"/>
    <mergeCell ref="BM541:BN541"/>
    <mergeCell ref="AA571:AB571"/>
    <mergeCell ref="AV564:AY564"/>
    <mergeCell ref="AP587:AT587"/>
    <mergeCell ref="AZ582:BD582"/>
    <mergeCell ref="CC543:CF543"/>
    <mergeCell ref="BQ554:BT554"/>
    <mergeCell ref="BS540:BT540"/>
    <mergeCell ref="CC542:CF542"/>
    <mergeCell ref="CE539:CF539"/>
    <mergeCell ref="AE571:AF571"/>
    <mergeCell ref="AE4:AK4"/>
    <mergeCell ref="B633:AJ634"/>
    <mergeCell ref="BJ586:BN586"/>
    <mergeCell ref="F429:AE432"/>
    <mergeCell ref="AF465:AL465"/>
    <mergeCell ref="C352:AJ356"/>
    <mergeCell ref="Y579:Z579"/>
    <mergeCell ref="H331:R331"/>
    <mergeCell ref="AQ391:AR391"/>
    <mergeCell ref="AZ585:BD585"/>
    <mergeCell ref="BE581:BI581"/>
    <mergeCell ref="Q584:R584"/>
    <mergeCell ref="Y570:Z570"/>
    <mergeCell ref="O584:P584"/>
    <mergeCell ref="AA334:AK334"/>
    <mergeCell ref="AA570:AB570"/>
    <mergeCell ref="E201:AB203"/>
    <mergeCell ref="F404:AF408"/>
    <mergeCell ref="AE578:AF578"/>
    <mergeCell ref="O574:P574"/>
    <mergeCell ref="Q574:R574"/>
    <mergeCell ref="AP545:AT545"/>
    <mergeCell ref="BM554:BP554"/>
    <mergeCell ref="AU542:AY542"/>
    <mergeCell ref="CE540:CF540"/>
    <mergeCell ref="BF575:BJ575"/>
    <mergeCell ref="BU557:BX557"/>
    <mergeCell ref="BE558:BH558"/>
    <mergeCell ref="CH559:CK559"/>
    <mergeCell ref="BY556:CB556"/>
    <mergeCell ref="CH560:CK560"/>
    <mergeCell ref="BQ542:BT542"/>
    <mergeCell ref="CD582:CH582"/>
    <mergeCell ref="BE560:BH560"/>
    <mergeCell ref="BK578:BO579"/>
    <mergeCell ref="BY581:CC581"/>
    <mergeCell ref="BE555:BH555"/>
    <mergeCell ref="BO540:BP540"/>
    <mergeCell ref="BQ540:BR540"/>
    <mergeCell ref="BQ544:BT544"/>
    <mergeCell ref="BM560:BP560"/>
    <mergeCell ref="BI556:BL556"/>
    <mergeCell ref="BI555:BL555"/>
    <mergeCell ref="BM556:BP556"/>
    <mergeCell ref="BQ558:BT558"/>
    <mergeCell ref="BI557:BL557"/>
    <mergeCell ref="BY559:CB559"/>
    <mergeCell ref="BM559:BP559"/>
    <mergeCell ref="BJ536:BK536"/>
    <mergeCell ref="BQ547:BT547"/>
    <mergeCell ref="V507:X507"/>
    <mergeCell ref="BJ514:BP515"/>
    <mergeCell ref="BM539:BN539"/>
    <mergeCell ref="AP558:AT558"/>
    <mergeCell ref="BO539:BP539"/>
    <mergeCell ref="BQ539:BR539"/>
    <mergeCell ref="AS552:AU552"/>
    <mergeCell ref="BI558:BL558"/>
    <mergeCell ref="BD534:BE534"/>
    <mergeCell ref="BQ538:BR538"/>
    <mergeCell ref="BQ545:BT545"/>
    <mergeCell ref="BE517:BG531"/>
    <mergeCell ref="AU514:BA515"/>
    <mergeCell ref="AU544:AY544"/>
    <mergeCell ref="BO538:BP538"/>
    <mergeCell ref="BM546:BP546"/>
    <mergeCell ref="BM542:BP542"/>
    <mergeCell ref="AP542:AT542"/>
    <mergeCell ref="AP517:AR531"/>
    <mergeCell ref="AU546:AY546"/>
    <mergeCell ref="AU556:AV556"/>
    <mergeCell ref="AP546:AT546"/>
    <mergeCell ref="AA572:AB572"/>
    <mergeCell ref="W577:X577"/>
    <mergeCell ref="Z711:AE711"/>
    <mergeCell ref="K594:P594"/>
    <mergeCell ref="J620:N620"/>
    <mergeCell ref="Z708:AE708"/>
    <mergeCell ref="A629:AJ629"/>
    <mergeCell ref="AC599:AH599"/>
    <mergeCell ref="B708:S708"/>
    <mergeCell ref="T624:X624"/>
    <mergeCell ref="A704:AM704"/>
    <mergeCell ref="Y618:AC618"/>
    <mergeCell ref="C673:D673"/>
    <mergeCell ref="E597:J597"/>
    <mergeCell ref="U582:V582"/>
    <mergeCell ref="Q595:V595"/>
    <mergeCell ref="W591:AB591"/>
    <mergeCell ref="Y575:Z575"/>
    <mergeCell ref="AT570:AX570"/>
    <mergeCell ref="O573:P573"/>
    <mergeCell ref="AE572:AF572"/>
    <mergeCell ref="E602:J602"/>
    <mergeCell ref="E598:J598"/>
    <mergeCell ref="B8:AC8"/>
    <mergeCell ref="H216:I216"/>
    <mergeCell ref="CG547:CJ547"/>
    <mergeCell ref="BY547:CB547"/>
    <mergeCell ref="K591:P591"/>
    <mergeCell ref="AI310:AK310"/>
    <mergeCell ref="AK68:AM68"/>
    <mergeCell ref="AZ597:BA597"/>
    <mergeCell ref="BB597:BC597"/>
    <mergeCell ref="AU559:AW559"/>
    <mergeCell ref="AA569:AB569"/>
    <mergeCell ref="BH596:BI596"/>
    <mergeCell ref="BJ580:BN580"/>
    <mergeCell ref="CA538:CB538"/>
    <mergeCell ref="BS541:BT541"/>
    <mergeCell ref="BQ543:BT543"/>
    <mergeCell ref="BJ582:BN582"/>
    <mergeCell ref="BH597:BI597"/>
    <mergeCell ref="BJ581:BN581"/>
    <mergeCell ref="S133:T133"/>
    <mergeCell ref="P310:R310"/>
    <mergeCell ref="AJ244:AK244"/>
    <mergeCell ref="AF435:AL435"/>
    <mergeCell ref="S582:T582"/>
    <mergeCell ref="B20:AK30"/>
    <mergeCell ref="W584:X584"/>
    <mergeCell ref="J619:N619"/>
    <mergeCell ref="Y584:Z584"/>
    <mergeCell ref="Q600:V600"/>
    <mergeCell ref="U570:V570"/>
    <mergeCell ref="E251:AB252"/>
    <mergeCell ref="W570:X570"/>
    <mergeCell ref="B66:K66"/>
    <mergeCell ref="AK61:AM61"/>
    <mergeCell ref="AA580:AB580"/>
    <mergeCell ref="AC580:AD580"/>
    <mergeCell ref="U583:V583"/>
    <mergeCell ref="S574:T574"/>
    <mergeCell ref="W583:X583"/>
    <mergeCell ref="B49:AK55"/>
    <mergeCell ref="P301:R301"/>
    <mergeCell ref="AJ230:AK230"/>
    <mergeCell ref="E213:AB215"/>
    <mergeCell ref="F474:AF477"/>
    <mergeCell ref="F439:AE441"/>
    <mergeCell ref="W571:X571"/>
    <mergeCell ref="K601:P601"/>
    <mergeCell ref="W575:X575"/>
    <mergeCell ref="Y112:AM113"/>
    <mergeCell ref="BB592:BC592"/>
    <mergeCell ref="T709:Y709"/>
    <mergeCell ref="E713:S713"/>
    <mergeCell ref="C660:D660"/>
    <mergeCell ref="AF720:AK720"/>
    <mergeCell ref="AF719:AK719"/>
    <mergeCell ref="C525:D525"/>
    <mergeCell ref="W573:X573"/>
    <mergeCell ref="BA575:BE575"/>
    <mergeCell ref="Y573:Z573"/>
    <mergeCell ref="AP582:AT582"/>
    <mergeCell ref="AP581:AT581"/>
    <mergeCell ref="AX593:AY593"/>
    <mergeCell ref="T621:X621"/>
    <mergeCell ref="AP543:AT543"/>
    <mergeCell ref="AF718:AK718"/>
    <mergeCell ref="AX599:BA599"/>
    <mergeCell ref="AX596:AY596"/>
    <mergeCell ref="Y620:AC620"/>
    <mergeCell ref="B711:S711"/>
    <mergeCell ref="AP584:AT584"/>
    <mergeCell ref="Y572:Z572"/>
    <mergeCell ref="U577:V577"/>
    <mergeCell ref="E128:AD132"/>
    <mergeCell ref="H300:R300"/>
    <mergeCell ref="C399:D399"/>
    <mergeCell ref="O571:P571"/>
    <mergeCell ref="Q571:R571"/>
    <mergeCell ref="AA321:AK321"/>
    <mergeCell ref="A724:AM725"/>
    <mergeCell ref="O570:P570"/>
    <mergeCell ref="B120:C120"/>
    <mergeCell ref="Z721:AE721"/>
    <mergeCell ref="AF399:AL399"/>
    <mergeCell ref="H204:I204"/>
    <mergeCell ref="AF196:AL197"/>
    <mergeCell ref="Z720:AE720"/>
    <mergeCell ref="C442:D442"/>
    <mergeCell ref="AF191:AL192"/>
    <mergeCell ref="C527:D527"/>
    <mergeCell ref="AF135:AL135"/>
    <mergeCell ref="AF146:AL146"/>
    <mergeCell ref="C419:D419"/>
    <mergeCell ref="H310:M310"/>
    <mergeCell ref="P337:R337"/>
    <mergeCell ref="H329:R329"/>
    <mergeCell ref="AA336:AK336"/>
  </mergeCells>
  <conditionalFormatting sqref="D116:AH117">
    <cfRule type="expression" dxfId="11" priority="3">
      <formula>AND($AP$94,$R$112="Van service",NOT($H$118="N/A"))</formula>
    </cfRule>
  </conditionalFormatting>
  <conditionalFormatting sqref="E596:J596">
    <cfRule type="expression" dxfId="10"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389:D389 C399:D399 C409:D409 C411:D411 C419:D419 C421:D421 C424:D424 C433:D433 C435:D435 C442:D442 C454:D454 C461:D461 C465:D465 C469:D469 C478:D478 C493:D493 C497:D497 C516:D516 C520:D520 C525:D525 C530:D530 C534:D534 C538:D538 C637:D637 C660:D660 C665:D665 C669:D669 C673:D673 C675:D675 C680:D680 C683:D683 S133:T13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137:I137 H149:I149 H216:I216 H228:I228 H242:I242 H254:I254 H289:I28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B120 Z40 AB13:AC13"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502:X502" xr:uid="{00000000-0002-0000-0700-000008000000}">
      <formula1>$AO$476:$AO$478</formula1>
    </dataValidation>
    <dataValidation type="list" allowBlank="1" showInputMessage="1" showErrorMessage="1" sqref="V511:X511" xr:uid="{00000000-0002-0000-0700-000009000000}">
      <formula1>$AW$476:$AW$479</formula1>
    </dataValidation>
    <dataValidation type="list" allowBlank="1" showInputMessage="1" showErrorMessage="1" sqref="V513:X513" xr:uid="{00000000-0002-0000-0700-00000A000000}">
      <formula1>$BA$476:$BA$478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95:Z495" xr:uid="{00000000-0002-0000-0700-00000E000000}">
      <formula1>$AO$466:$AO$474</formula1>
    </dataValidation>
    <dataValidation type="list" allowBlank="1" showInputMessage="1" showErrorMessage="1" sqref="F518:Z518" xr:uid="{00000000-0002-0000-0700-00000F000000}">
      <formula1>$AO$486:$AO$494</formula1>
    </dataValidation>
    <dataValidation type="list" allowBlank="1" showInputMessage="1" showErrorMessage="1" sqref="F523:H523" xr:uid="{00000000-0002-0000-0700-000010000000}">
      <formula1>$AO$496:$AO$498</formula1>
    </dataValidation>
    <dataValidation type="list" allowBlank="1" showInputMessage="1" showErrorMessage="1" sqref="V507:X507" xr:uid="{00000000-0002-0000-0700-000011000000}">
      <formula1>$AO$480:$AO$482</formula1>
    </dataValidation>
    <dataValidation type="whole" allowBlank="1" showInputMessage="1" showErrorMessage="1" sqref="AJ627:AK627" xr:uid="{00000000-0002-0000-0700-000012000000}">
      <formula1>0</formula1>
      <formula2>2</formula2>
    </dataValidation>
    <dataValidation type="list" allowBlank="1" showInputMessage="1" showErrorMessage="1" sqref="F539" xr:uid="{00000000-0002-0000-0700-000013000000}">
      <formula1>$AO$509:$AO$512</formula1>
    </dataValidation>
    <dataValidation type="list" allowBlank="1" showInputMessage="1" showErrorMessage="1" sqref="H279:I279" xr:uid="{00000000-0002-0000-0700-000014000000}">
      <formula1>$AO$274:$AO$275</formula1>
    </dataValidation>
    <dataValidation type="list" allowBlank="1" showInputMessage="1" showErrorMessage="1" sqref="V500:X500" xr:uid="{00000000-0002-0000-0700-000015000000}">
      <formula1>$AR$476:$AR$478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302:R302 H311:R311 H320:R320 H329:R329 H338:R338 AA302:AK302 AA311:AK311 AA320:AK320 AA329:AK329 AA338:AK338" xr:uid="{00000000-0002-0000-0700-00001D000000}">
      <formula1>$AP$297:$AP$307</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 &amp;A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89" customWidth="1"/>
    <col min="11" max="11" width="2.5703125" style="890" customWidth="1"/>
    <col min="12" max="43" width="2.5703125" style="889" customWidth="1"/>
    <col min="44" max="47" width="2.5703125" style="889" hidden="1" customWidth="1"/>
    <col min="48" max="48" width="9.140625" style="889" hidden="1" customWidth="1"/>
    <col min="49" max="16384" width="9.140625" style="889" hidden="1"/>
  </cols>
  <sheetData>
    <row r="1" spans="1:57" ht="15" customHeight="1">
      <c r="A1" s="1531" t="s">
        <v>2192</v>
      </c>
      <c r="B1" s="1521"/>
      <c r="C1" s="1521"/>
      <c r="D1" s="1521"/>
      <c r="E1" s="1521"/>
      <c r="F1" s="1521"/>
      <c r="G1" s="1521"/>
      <c r="H1" s="1521"/>
      <c r="I1" s="1521"/>
      <c r="J1" s="1521"/>
      <c r="K1" s="1532"/>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row>
    <row r="2" spans="1:57" ht="15" customHeight="1">
      <c r="A2" s="1521"/>
      <c r="B2" s="1521"/>
      <c r="C2" s="1521"/>
      <c r="D2" s="1521"/>
      <c r="E2" s="1521"/>
      <c r="F2" s="1521"/>
      <c r="G2" s="1521"/>
      <c r="H2" s="1521"/>
      <c r="I2" s="1521"/>
      <c r="J2" s="1521"/>
      <c r="K2" s="1532"/>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row>
    <row r="3" spans="1:57">
      <c r="A3" s="891"/>
      <c r="B3" s="891"/>
      <c r="I3" s="892"/>
      <c r="K3" s="893"/>
    </row>
    <row r="4" spans="1:57" ht="14.25" customHeight="1">
      <c r="A4" s="1535" t="s">
        <v>2193</v>
      </c>
      <c r="B4" s="1521"/>
      <c r="C4" s="1521"/>
      <c r="D4" s="1521"/>
      <c r="E4" s="1521"/>
      <c r="F4" s="1521"/>
      <c r="G4" s="1521"/>
      <c r="H4" s="1521"/>
      <c r="I4" s="1521"/>
      <c r="J4" s="1521"/>
      <c r="K4" s="1532"/>
      <c r="L4" s="1521"/>
      <c r="M4" s="1521"/>
      <c r="N4" s="1521"/>
      <c r="O4" s="1521"/>
      <c r="P4" s="1521"/>
      <c r="Q4" s="1521"/>
      <c r="R4" s="1521"/>
      <c r="S4" s="1521"/>
      <c r="T4" s="1521"/>
      <c r="U4" s="1521"/>
      <c r="V4" s="1521"/>
      <c r="W4" s="1521"/>
      <c r="X4" s="1521"/>
      <c r="Y4" s="1521"/>
      <c r="Z4" s="1521"/>
      <c r="AA4" s="1521"/>
      <c r="AB4" s="1521"/>
      <c r="AC4" s="1521"/>
      <c r="AD4" s="1521"/>
      <c r="AE4" s="1521"/>
      <c r="AF4" s="1521"/>
      <c r="AG4" s="1521"/>
      <c r="AH4" s="1521"/>
      <c r="AI4" s="1521"/>
      <c r="AJ4" s="1521"/>
      <c r="AK4" s="1521"/>
      <c r="AL4" s="1521"/>
      <c r="AM4" s="1521"/>
      <c r="AN4" s="1521"/>
      <c r="AO4" s="1521"/>
      <c r="AP4" s="1521"/>
      <c r="AQ4" s="1521"/>
    </row>
    <row r="5" spans="1:57">
      <c r="A5" s="891"/>
      <c r="B5" s="891"/>
      <c r="I5" s="892"/>
      <c r="K5" s="893"/>
    </row>
    <row r="6" spans="1:57">
      <c r="A6" s="891"/>
      <c r="B6" s="891"/>
      <c r="D6" s="889" t="s">
        <v>2194</v>
      </c>
      <c r="I6" s="892"/>
      <c r="K6" s="893"/>
      <c r="U6" s="1536"/>
      <c r="V6" s="1060"/>
      <c r="W6" s="1060"/>
      <c r="BC6" s="889" t="s">
        <v>2195</v>
      </c>
    </row>
    <row r="7" spans="1:57">
      <c r="A7" s="891"/>
      <c r="B7" s="891"/>
      <c r="D7" s="181" t="s">
        <v>2196</v>
      </c>
      <c r="I7" s="892"/>
      <c r="K7" s="893"/>
      <c r="BC7" s="889" t="s">
        <v>2197</v>
      </c>
    </row>
    <row r="8" spans="1:57">
      <c r="A8" s="891"/>
      <c r="B8" s="891"/>
      <c r="D8" s="181"/>
      <c r="E8" s="889" t="s">
        <v>2198</v>
      </c>
      <c r="BC8" s="889" t="s">
        <v>2199</v>
      </c>
    </row>
    <row r="9" spans="1:57">
      <c r="A9" s="891"/>
      <c r="B9" s="891"/>
      <c r="E9" s="889" t="s">
        <v>2200</v>
      </c>
      <c r="I9" s="892"/>
      <c r="K9" s="893"/>
      <c r="P9" s="1533"/>
      <c r="Q9" s="1060"/>
      <c r="R9" s="1060"/>
      <c r="S9" s="1060"/>
      <c r="T9" s="1060"/>
    </row>
    <row r="10" spans="1:57">
      <c r="A10" s="891"/>
      <c r="B10" s="891"/>
      <c r="I10" s="892"/>
      <c r="K10" s="893"/>
    </row>
    <row r="11" spans="1:57">
      <c r="A11" s="1535" t="s">
        <v>2201</v>
      </c>
      <c r="B11" s="1521"/>
      <c r="C11" s="1521"/>
      <c r="D11" s="1521"/>
      <c r="E11" s="1521"/>
      <c r="F11" s="1521"/>
      <c r="G11" s="1521"/>
      <c r="H11" s="1521"/>
      <c r="I11" s="1521"/>
      <c r="J11" s="1521"/>
      <c r="K11" s="1532"/>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521"/>
      <c r="AM11" s="1521"/>
      <c r="AN11" s="1521"/>
      <c r="AO11" s="1521"/>
      <c r="AP11" s="1521"/>
      <c r="AQ11" s="1521"/>
      <c r="BC11" s="889" t="s">
        <v>71</v>
      </c>
    </row>
    <row r="12" spans="1:57">
      <c r="A12" s="891"/>
      <c r="B12" s="891"/>
      <c r="I12" s="892"/>
      <c r="K12" s="893"/>
      <c r="BC12" s="889" t="s">
        <v>14</v>
      </c>
    </row>
    <row r="13" spans="1:57">
      <c r="A13" s="891"/>
      <c r="B13" s="891"/>
      <c r="D13" s="889" t="s">
        <v>2202</v>
      </c>
      <c r="I13" s="892"/>
      <c r="K13" s="893"/>
      <c r="T13" s="1536"/>
      <c r="U13" s="1060"/>
      <c r="V13" s="1060"/>
    </row>
    <row r="14" spans="1:57">
      <c r="A14" s="891"/>
      <c r="B14" s="891"/>
      <c r="E14" s="889" t="s">
        <v>2203</v>
      </c>
      <c r="I14" s="892"/>
      <c r="K14" s="893"/>
      <c r="N14" s="1538"/>
      <c r="O14" s="1060"/>
      <c r="P14" s="1060"/>
      <c r="Q14" s="1060"/>
      <c r="R14" s="1060"/>
      <c r="S14" s="1060"/>
      <c r="T14" s="1060"/>
      <c r="U14" s="1060"/>
      <c r="V14" s="1060"/>
      <c r="W14" s="1060"/>
      <c r="X14" s="1060"/>
      <c r="Y14" s="1060"/>
      <c r="Z14" s="1060"/>
      <c r="AA14" s="1060"/>
      <c r="AB14" s="1060"/>
      <c r="AC14" s="1060"/>
      <c r="AD14" s="1060"/>
      <c r="AE14" s="1060"/>
    </row>
    <row r="15" spans="1:57">
      <c r="A15" s="891"/>
      <c r="B15" s="891"/>
      <c r="E15" s="889" t="s">
        <v>2204</v>
      </c>
      <c r="I15" s="892"/>
      <c r="K15" s="893"/>
      <c r="N15" s="908"/>
      <c r="O15" s="908"/>
      <c r="P15" s="908"/>
      <c r="Q15" s="908"/>
      <c r="R15" s="908"/>
      <c r="S15" s="908"/>
      <c r="T15" s="908"/>
      <c r="U15" s="908"/>
      <c r="V15" s="908"/>
      <c r="W15" s="908"/>
      <c r="X15" s="908"/>
      <c r="Y15" s="908"/>
      <c r="Z15" s="908"/>
      <c r="AA15" s="908"/>
      <c r="AB15" s="908"/>
      <c r="AC15" s="908"/>
      <c r="AD15" s="908"/>
      <c r="AE15" s="908"/>
      <c r="BC15" s="889" t="s">
        <v>2205</v>
      </c>
      <c r="BE15" s="889">
        <f>'Basis &amp; Credits'!AB55</f>
        <v>2500000</v>
      </c>
    </row>
    <row r="16" spans="1:57">
      <c r="A16" s="891"/>
      <c r="B16" s="891"/>
      <c r="BC16" s="889" t="s">
        <v>2206</v>
      </c>
      <c r="BE16" s="889">
        <f>'Basis &amp; Credits'!T11+'Basis &amp; Credits'!AD11</f>
        <v>25514460</v>
      </c>
    </row>
    <row r="17" spans="1:43">
      <c r="A17" s="891"/>
      <c r="B17" s="891"/>
      <c r="D17" s="889" t="s">
        <v>2207</v>
      </c>
      <c r="I17" s="892"/>
      <c r="K17" s="893"/>
      <c r="U17" s="1534" t="str">
        <f>IF(T13="yes",(BE15/BE16)," ")</f>
        <v xml:space="preserve"> </v>
      </c>
      <c r="V17" s="1093"/>
      <c r="W17" s="1093"/>
      <c r="X17" s="1093"/>
      <c r="Y17" s="1093"/>
    </row>
    <row r="18" spans="1:43">
      <c r="A18" s="891"/>
      <c r="B18" s="891"/>
      <c r="I18" s="892"/>
      <c r="K18" s="893"/>
    </row>
    <row r="19" spans="1:43">
      <c r="A19" s="1535" t="s">
        <v>2208</v>
      </c>
      <c r="B19" s="1521"/>
      <c r="C19" s="1521"/>
      <c r="D19" s="1521"/>
      <c r="E19" s="1521"/>
      <c r="F19" s="1521"/>
      <c r="G19" s="1521"/>
      <c r="H19" s="1521"/>
      <c r="I19" s="1521"/>
      <c r="J19" s="1521"/>
      <c r="K19" s="1532"/>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521"/>
      <c r="AM19" s="1521"/>
      <c r="AN19" s="1521"/>
      <c r="AO19" s="1521"/>
      <c r="AP19" s="1521"/>
      <c r="AQ19" s="1521"/>
    </row>
    <row r="20" spans="1:43">
      <c r="C20" s="891"/>
      <c r="D20" s="891"/>
      <c r="K20" s="892"/>
      <c r="M20" s="893"/>
    </row>
    <row r="21" spans="1:43">
      <c r="C21" s="891"/>
      <c r="D21" s="891"/>
      <c r="K21" s="892"/>
      <c r="M21" s="893"/>
    </row>
    <row r="22" spans="1:43">
      <c r="C22" s="894" t="s">
        <v>1950</v>
      </c>
      <c r="D22" s="894"/>
      <c r="E22" s="889" t="s">
        <v>2209</v>
      </c>
      <c r="H22" s="895"/>
      <c r="K22" s="889"/>
      <c r="Q22" s="1537">
        <f>ROUND('Basis &amp; Credits'!AB55,0)</f>
        <v>2500000</v>
      </c>
      <c r="R22" s="1521"/>
      <c r="S22" s="1521"/>
      <c r="T22" s="1521"/>
      <c r="U22" s="1521"/>
      <c r="V22" s="1521"/>
      <c r="W22" s="1521"/>
      <c r="X22" s="1521"/>
      <c r="Y22" s="895"/>
    </row>
    <row r="23" spans="1:43">
      <c r="C23" s="891"/>
      <c r="D23" s="891"/>
      <c r="G23" s="896"/>
      <c r="H23" s="896"/>
      <c r="I23" s="897"/>
      <c r="J23" s="897"/>
      <c r="K23" s="896"/>
      <c r="M23" s="890"/>
    </row>
    <row r="24" spans="1:43">
      <c r="C24" s="898"/>
      <c r="D24" s="898"/>
      <c r="E24" s="899"/>
      <c r="J24" s="897"/>
      <c r="K24" s="889"/>
      <c r="L24" s="1522" t="s">
        <v>2210</v>
      </c>
      <c r="M24" s="1521"/>
      <c r="N24" s="1521"/>
      <c r="P24" s="1526" t="s">
        <v>2211</v>
      </c>
      <c r="Q24" s="1521"/>
      <c r="R24" s="1521"/>
      <c r="S24" s="1521"/>
      <c r="T24" s="1521"/>
      <c r="V24" s="1526" t="s">
        <v>2212</v>
      </c>
      <c r="W24" s="1521"/>
      <c r="X24" s="1521"/>
    </row>
    <row r="25" spans="1:43">
      <c r="C25" s="894" t="s">
        <v>1954</v>
      </c>
      <c r="D25" s="894"/>
      <c r="E25" s="889" t="s">
        <v>2213</v>
      </c>
      <c r="J25" s="897"/>
      <c r="L25" s="1530" t="s">
        <v>2214</v>
      </c>
      <c r="M25" s="1093"/>
      <c r="N25" s="1093"/>
      <c r="P25" s="1530" t="s">
        <v>2215</v>
      </c>
      <c r="Q25" s="1093"/>
      <c r="R25" s="1093"/>
      <c r="S25" s="1093"/>
      <c r="T25" s="1093"/>
      <c r="V25" s="1530" t="s">
        <v>2214</v>
      </c>
      <c r="W25" s="1093"/>
      <c r="X25" s="1093"/>
    </row>
    <row r="26" spans="1:43">
      <c r="C26" s="891"/>
      <c r="D26" s="891"/>
      <c r="E26" s="900" t="s">
        <v>2216</v>
      </c>
      <c r="F26" s="900"/>
      <c r="J26" s="901"/>
      <c r="L26" s="1529">
        <f>Application!BN634</f>
        <v>38</v>
      </c>
      <c r="M26" s="1073"/>
      <c r="N26" s="1073"/>
      <c r="P26" s="1523">
        <v>0.9</v>
      </c>
      <c r="Q26" s="1073"/>
      <c r="R26" s="1073"/>
      <c r="S26" s="1073"/>
      <c r="T26" s="1073"/>
      <c r="V26" s="1523">
        <f>L26*P26</f>
        <v>34.200000000000003</v>
      </c>
      <c r="W26" s="1073"/>
      <c r="X26" s="1073"/>
    </row>
    <row r="27" spans="1:43">
      <c r="C27" s="891"/>
      <c r="D27" s="891"/>
      <c r="E27" s="889" t="s">
        <v>2217</v>
      </c>
      <c r="J27" s="901"/>
      <c r="L27" s="1525">
        <f>Application!BS634</f>
        <v>0</v>
      </c>
      <c r="M27" s="1521"/>
      <c r="N27" s="1521"/>
      <c r="P27" s="1520">
        <v>1</v>
      </c>
      <c r="Q27" s="1521"/>
      <c r="R27" s="1521"/>
      <c r="S27" s="1521"/>
      <c r="T27" s="1521"/>
      <c r="V27" s="1520">
        <f>L27*P27</f>
        <v>0</v>
      </c>
      <c r="W27" s="1521"/>
      <c r="X27" s="1521"/>
    </row>
    <row r="28" spans="1:43">
      <c r="C28" s="891"/>
      <c r="D28" s="891"/>
      <c r="E28" s="889" t="s">
        <v>2218</v>
      </c>
      <c r="J28" s="901"/>
      <c r="L28" s="1525">
        <f>Application!BX634</f>
        <v>0</v>
      </c>
      <c r="M28" s="1521"/>
      <c r="N28" s="1521"/>
      <c r="P28" s="1520">
        <v>1.25</v>
      </c>
      <c r="Q28" s="1521"/>
      <c r="R28" s="1521"/>
      <c r="S28" s="1521"/>
      <c r="T28" s="1521"/>
      <c r="V28" s="1520">
        <f>L28*P28</f>
        <v>0</v>
      </c>
      <c r="W28" s="1521"/>
      <c r="X28" s="1521"/>
    </row>
    <row r="29" spans="1:43">
      <c r="C29" s="891"/>
      <c r="D29" s="891"/>
      <c r="E29" s="889" t="s">
        <v>2219</v>
      </c>
      <c r="J29" s="901"/>
      <c r="L29" s="1525">
        <f>Application!CC634</f>
        <v>0</v>
      </c>
      <c r="M29" s="1521"/>
      <c r="N29" s="1521"/>
      <c r="P29" s="1520">
        <v>1.5</v>
      </c>
      <c r="Q29" s="1521"/>
      <c r="R29" s="1521"/>
      <c r="S29" s="1521"/>
      <c r="T29" s="1521"/>
      <c r="V29" s="1520">
        <f>L29*P29</f>
        <v>0</v>
      </c>
      <c r="W29" s="1521"/>
      <c r="X29" s="1521"/>
    </row>
    <row r="30" spans="1:43">
      <c r="C30" s="891"/>
      <c r="D30" s="891"/>
      <c r="E30" s="889" t="s">
        <v>2220</v>
      </c>
      <c r="J30" s="901"/>
      <c r="L30" s="1527">
        <f>Application!CH634+Application!CM634</f>
        <v>0</v>
      </c>
      <c r="M30" s="1093"/>
      <c r="N30" s="1093"/>
      <c r="P30" s="1520">
        <v>1.75</v>
      </c>
      <c r="Q30" s="1521"/>
      <c r="R30" s="1521"/>
      <c r="S30" s="1521"/>
      <c r="T30" s="1521"/>
      <c r="V30" s="1528">
        <f>L30*P30</f>
        <v>0</v>
      </c>
      <c r="W30" s="1093"/>
      <c r="X30" s="1093"/>
    </row>
    <row r="31" spans="1:43">
      <c r="C31" s="891"/>
      <c r="D31" s="891"/>
      <c r="L31" s="1529">
        <f>SUM(L26:N30)</f>
        <v>38</v>
      </c>
      <c r="M31" s="1073"/>
      <c r="N31" s="1073"/>
      <c r="V31" s="1523">
        <f>SUM(V26:X30)</f>
        <v>34.200000000000003</v>
      </c>
      <c r="W31" s="1073"/>
      <c r="X31" s="1073"/>
    </row>
    <row r="32" spans="1:43">
      <c r="C32" s="891"/>
      <c r="D32" s="891"/>
      <c r="K32" s="902"/>
    </row>
    <row r="33" spans="1:27">
      <c r="C33" s="894" t="s">
        <v>1957</v>
      </c>
      <c r="D33" s="894"/>
      <c r="E33" s="891" t="s">
        <v>2221</v>
      </c>
      <c r="H33" s="903"/>
      <c r="I33" s="904"/>
      <c r="J33" s="904"/>
      <c r="K33" s="902"/>
      <c r="M33" s="890"/>
      <c r="V33" s="1524">
        <f>IF(V31&gt;0,V31/Q22," ")</f>
        <v>1.3680000000000001E-5</v>
      </c>
      <c r="W33" s="973"/>
      <c r="X33" s="973"/>
      <c r="Y33" s="973"/>
      <c r="Z33" s="973"/>
      <c r="AA33" s="974"/>
    </row>
    <row r="34" spans="1:27">
      <c r="K34" s="889"/>
      <c r="M34" s="890"/>
    </row>
    <row r="35" spans="1:27">
      <c r="E35" s="891" t="s">
        <v>2222</v>
      </c>
      <c r="F35" s="891"/>
      <c r="G35" s="891"/>
      <c r="H35" s="891"/>
      <c r="I35" s="891"/>
      <c r="J35" s="891"/>
      <c r="K35" s="891"/>
      <c r="L35" s="891"/>
      <c r="M35" s="909"/>
      <c r="N35" s="891"/>
      <c r="O35" s="891"/>
      <c r="P35" s="891"/>
      <c r="Q35" s="891"/>
      <c r="R35" s="891"/>
      <c r="V35" s="1519">
        <f>IF(V31&gt;0,1/V33," ")</f>
        <v>73099.415204678357</v>
      </c>
      <c r="W35" s="973"/>
      <c r="X35" s="973"/>
      <c r="Y35" s="973"/>
      <c r="Z35" s="973"/>
      <c r="AA35" s="974"/>
    </row>
    <row r="36" spans="1:27" ht="12.75" customHeight="1">
      <c r="B36" s="905"/>
      <c r="C36" s="905"/>
      <c r="D36" s="905"/>
      <c r="E36" s="905"/>
      <c r="F36" s="905"/>
      <c r="G36" s="905"/>
      <c r="H36" s="905"/>
      <c r="I36" s="905"/>
    </row>
    <row r="37" spans="1:27">
      <c r="A37" s="905"/>
      <c r="B37" s="905"/>
      <c r="C37" s="905"/>
      <c r="D37" s="905"/>
      <c r="E37" s="905"/>
      <c r="F37" s="905"/>
      <c r="G37" s="905"/>
      <c r="H37" s="905"/>
      <c r="I37" s="905"/>
    </row>
    <row r="38" spans="1:27">
      <c r="A38" s="905"/>
      <c r="B38" s="905"/>
      <c r="C38" s="905"/>
      <c r="D38" s="905"/>
      <c r="E38" s="905"/>
      <c r="F38" s="905"/>
      <c r="G38" s="905"/>
      <c r="H38" s="905"/>
      <c r="I38" s="905"/>
    </row>
    <row r="39" spans="1:27">
      <c r="A39" s="905"/>
      <c r="B39" s="905"/>
      <c r="C39" s="905"/>
      <c r="D39" s="905"/>
      <c r="E39" s="905"/>
      <c r="F39" s="905"/>
      <c r="G39" s="905"/>
      <c r="H39" s="905"/>
      <c r="I39" s="905"/>
    </row>
  </sheetData>
  <sheetProtection algorithmName="SHA-512" hashValue="CbNd8PwnsM+agsWHyGo/kq0y2Kt9v3bOtPiX1GmjJDVo0qbGFi9rnw4PXU1i5RAp9rgVKxYcDHxXhsfJg6DhXQ==" saltValue="+hkkaokmn85c3qj3CDCRKg==" spinCount="100000" sheet="1" objects="1" scenarios="1"/>
  <mergeCells count="35">
    <mergeCell ref="U6:W6"/>
    <mergeCell ref="N14:AE14"/>
    <mergeCell ref="L31:N31"/>
    <mergeCell ref="P28:T28"/>
    <mergeCell ref="V28:X28"/>
    <mergeCell ref="A1:AQ2"/>
    <mergeCell ref="P9:T9"/>
    <mergeCell ref="L29:N29"/>
    <mergeCell ref="L25:N25"/>
    <mergeCell ref="U17:Y17"/>
    <mergeCell ref="V27:X27"/>
    <mergeCell ref="A4:AQ4"/>
    <mergeCell ref="V26:X26"/>
    <mergeCell ref="A19:AQ19"/>
    <mergeCell ref="T13:V13"/>
    <mergeCell ref="P27:T27"/>
    <mergeCell ref="V25:X25"/>
    <mergeCell ref="L27:N27"/>
    <mergeCell ref="V24:X24"/>
    <mergeCell ref="Q22:X22"/>
    <mergeCell ref="A11:AQ11"/>
    <mergeCell ref="V35:AA35"/>
    <mergeCell ref="V29:X29"/>
    <mergeCell ref="L24:N24"/>
    <mergeCell ref="P26:T26"/>
    <mergeCell ref="P29:T29"/>
    <mergeCell ref="V33:AA33"/>
    <mergeCell ref="L28:N28"/>
    <mergeCell ref="P30:T30"/>
    <mergeCell ref="P24:T24"/>
    <mergeCell ref="V31:X31"/>
    <mergeCell ref="L30:N30"/>
    <mergeCell ref="V30:X30"/>
    <mergeCell ref="L26:N26"/>
    <mergeCell ref="P25:T25"/>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2025-02-28T22:03:03Z</cp:lastPrinted>
  <dcterms:created xsi:type="dcterms:W3CDTF">2007-12-27T18:26:28Z</dcterms:created>
  <dcterms:modified xsi:type="dcterms:W3CDTF">2026-04-07T18:25:58Z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2026-03-13T22:27:10Z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1d5a2c1b-e67a-4354-baee-d985eef341f5</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